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persons/person.xml" ContentType="application/vnd.ms-excel.pers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Default Extension="png" ContentType="image/png"/>
  <Default Extension="emf" ContentType="image/x-emf"/>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xml" ContentType="application/vnd.openxmlformats-officedocument.drawing+xml"/>
  <Override PartName="/xl/worksheets/sheet7.xml" ContentType="application/vnd.openxmlformats-officedocument.spreadsheetml.worksheet+xml"/>
  <Override PartName="/xl/comments8.xml" ContentType="application/vnd.openxmlformats-officedocument.spreadsheetml.comments+xml"/>
  <Override PartName="/xl/threadedComments/threadedComments8.xml" ContentType="application/vnd.ms-excel.threadedcomments+xml"/>
  <Default Extension="vml" ContentType="application/vnd.openxmlformats-officedocument.vmlDrawing"/>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comments12.xml" ContentType="application/vnd.openxmlformats-officedocument.spreadsheetml.comments+xml"/>
  <Override PartName="/xl/threadedComments/threadedComments12.xml" ContentType="application/vnd.ms-excel.threadedcomments+xml"/>
  <Default Extension="bin" ContentType="application/vnd.openxmlformats-officedocument.spreadsheetml.printerSettings"/>
  <Override PartName="/xl/worksheets/sheet12.xml" ContentType="application/vnd.openxmlformats-officedocument.spreadsheetml.worksheet+xml"/>
  <Override PartName="/xl/comments13.xml" ContentType="application/vnd.openxmlformats-officedocument.spreadsheetml.comments+xml"/>
  <Override PartName="/xl/charts/chart2.xml" ContentType="application/vnd.openxmlformats-officedocument.drawingml.chart+xml"/>
  <Override PartName="/xl/drawings/drawing2.xml" ContentType="application/vnd.openxmlformats-officedocument.drawing+xml"/>
  <Override PartName="/xl/worksheets/sheet13.xml" ContentType="application/vnd.openxmlformats-officedocument.spreadsheetml.worksheet+xml"/>
  <Override PartName="/xl/comments14.xml" ContentType="application/vnd.openxmlformats-officedocument.spreadsheetml.comments+xml"/>
  <Override PartName="/xl/threadedComments/threadedComments14.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drawings/drawing3.xml" ContentType="application/vnd.openxmlformats-officedocument.drawing+xml"/>
  <Override PartName="/xl/worksheets/sheet14.xml" ContentType="application/vnd.openxmlformats-officedocument.spreadsheetml.worksheet+xml"/>
  <Override PartName="/xl/comments15.xml" ContentType="application/vnd.openxmlformats-officedocument.spreadsheetml.comments+xml"/>
  <Override PartName="/xl/threadedComments/threadedComments15.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worksheets/sheet15.xml" ContentType="application/vnd.openxmlformats-officedocument.spreadsheetml.worksheet+xml"/>
  <Override PartName="/xl/comments16.xml" ContentType="application/vnd.openxmlformats-officedocument.spreadsheetml.comments+xml"/>
  <Override PartName="/xl/threadedComments/threadedComments16.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chart28.xml" ContentType="application/vnd.openxmlformats-officedocument.drawingml.chart+xml"/>
  <Override PartName="/xl/drawings/drawing5.xml" ContentType="application/vnd.openxmlformats-officedocument.drawing+xml"/>
  <Override PartName="/xl/worksheets/sheet16.xml" ContentType="application/vnd.openxmlformats-officedocument.spreadsheetml.worksheet+xml"/>
  <Override PartName="/xl/comments17.xml" ContentType="application/vnd.openxmlformats-officedocument.spreadsheetml.comment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6.xml" ContentType="application/vnd.openxmlformats-officedocument.drawing+xml"/>
  <Override PartName="/xl/worksheets/sheet17.xml" ContentType="application/vnd.openxmlformats-officedocument.spreadsheetml.worksheet+xml"/>
  <Override PartName="/xl/sharedStrings.xml" ContentType="application/vnd.openxmlformats-officedocument.spreadsheetml.sharedString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Types>
</file>

<file path=_rels/.rels><?xml version="1.0" encoding="UTF-8" standalone="yes"?><Relationships xmlns="http://schemas.openxmlformats.org/package/2006/relationships"><Relationship Id="rId4" Type="http://schemas.openxmlformats.org/officeDocument/2006/relationships/custom-properties" Target="docProps/custom.xml" /><Relationship Id="rId2" Type="http://schemas.openxmlformats.org/package/2006/relationships/metadata/core-properties" Target="docProps/core.xml" /><Relationship Id="rId3"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7" rupBuild="27328"/>
  <workbookPr updateLinks="never" codeName="ThisWorkbook" defaultThemeVersion="124226" autoCompressPictures="0"/>
  <mc:AlternateContent xmlns:mc="http://schemas.openxmlformats.org/markup-compatibility/2006">
    <mc:Choice Requires="x15">
      <x15ac:absPath xmlns:x15ac="http://schemas.microsoft.com/office/spreadsheetml/2010/11/ac" url="C:\Models\SATIMGE_Veda\suppxls\"/>
    </mc:Choice>
  </mc:AlternateContent>
  <bookViews>
    <workbookView xWindow="1185" yWindow="105" windowWidth="25890" windowHeight="15435" activeTab="6"/>
  </bookViews>
  <sheets>
    <sheet name="ChangeLog" sheetId="37" r:id="rId4"/>
    <sheet name="REGIONS" sheetId="13" r:id="rId5"/>
    <sheet name="Index_SATIM" sheetId="1" r:id="rId6"/>
    <sheet name="Index_G2E" sheetId="45" r:id="rId7"/>
    <sheet name="Index_E2G" sheetId="46" r:id="rId8"/>
    <sheet name="POP_STATSSA" sheetId="52" r:id="rId9"/>
    <sheet name="DriversGams" sheetId="49" r:id="rId10"/>
    <sheet name="Drivers" sheetId="44" r:id="rId11"/>
    <sheet name="BY-DMD" sheetId="61" r:id="rId12"/>
    <sheet name="DMD" sheetId="47" r:id="rId13"/>
    <sheet name="AGR" sheetId="35" r:id="rId14"/>
    <sheet name="IND" sheetId="55" r:id="rId15"/>
    <sheet name="RES" sheetId="60" r:id="rId16"/>
    <sheet name="COM" sheetId="58" r:id="rId17"/>
    <sheet name="FTRA" sheetId="56" r:id="rId18"/>
    <sheet name="PTRA" sheetId="57" r:id="rId19"/>
    <sheet name="OtherTRA" sheetId="29" r:id="rId20"/>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29" l="1"/>
</calcChain>
</file>

<file path=xl/comments8.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r>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r>
      </text>
    </comment>
    <comment ref="C45" authorId="1" shapeId="0" xr:uid="{FD1C82D6-38BE-4900-9B6C-23368466B210}">
      <text>
        <r>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r>
      </text>
    </comment>
    <comment ref="L75" authorId="2" shapeId="0" xr:uid="{FB030EA0-582F-4DF6-928F-E85BD00F0526}">
      <text>
        <r>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r>
          <t>[Threaded comment]
Your version of Excel allows you to read this threaded comment; however, any edits to it will get removed if the file is opened in a newer version of Excel. Learn more: https://go.microsoft.com/fwlink/?linkid=870924
Comment:
    Linked to domestic demand rather than GVA</t>
        </r>
      </text>
    </comment>
    <comment ref="E47" authorId="1" shapeId="0" xr:uid="{E8478D76-DA85-460E-AE18-F88D6C571A6C}">
      <text>
        <r>
          <rPr>
            <b/>
            <sz val="8"/>
            <rFont val="Tahoma"/>
            <family val="2"/>
          </rPr>
          <t>Bruno Merven:</t>
        </r>
        <r>
          <rPr>
            <sz val="8"/>
            <rFont val="Tahoma"/>
            <family val="2"/>
          </rPr>
          <t xml:space="preserve">
Taken from Leap Inputs sheet of Industry workbook.</t>
        </r>
      </text>
    </comment>
    <comment ref="F47" authorId="1" shapeId="0" xr:uid="{F2CB8C35-A578-46E2-A537-E103E4EE0351}">
      <text>
        <r>
          <rPr>
            <b/>
            <sz val="8"/>
            <rFont val="Tahoma"/>
            <family val="2"/>
          </rPr>
          <t>Bruno Merven:</t>
        </r>
        <r>
          <rPr>
            <sz val="8"/>
            <rFont val="Tahoma"/>
            <family val="2"/>
          </rPr>
          <t xml:space="preserve">
Taken from Leap Inputs sheet of Industry workbook (interpolated).</t>
        </r>
      </text>
    </comment>
    <comment ref="G47" authorId="1" shapeId="0" xr:uid="{D657ADCE-0F86-41BC-9AA7-7D20BAFA6361}">
      <text>
        <r>
          <rPr>
            <b/>
            <sz val="8"/>
            <rFont val="Tahoma"/>
            <family val="2"/>
          </rPr>
          <t>Bruno Merven:</t>
        </r>
        <r>
          <rPr>
            <sz val="8"/>
            <rFont val="Tahoma"/>
            <family val="2"/>
          </rPr>
          <t xml:space="preserve">
guessed for now</t>
        </r>
      </text>
    </comment>
    <comment ref="T47" authorId="2" shapeId="0" xr:uid="{D319C864-44FA-4593-900B-F72E63D02616}">
      <text>
        <r>
          <t>[Threaded comment]
Your version of Excel allows you to read this threaded comment; however, any edits to it will get removed if the file is opened in a newer version of Excel. Learn more: https://go.microsoft.com/fwlink/?linkid=870924
Comment:
    adjusted to get back to 2019 value in 2021</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rFont val="Tahoma"/>
            <family val="2"/>
          </rPr>
          <t>Bruno Merven:</t>
        </r>
        <r>
          <rPr>
            <sz val="8"/>
            <rFont val="Tahoma"/>
            <family val="2"/>
          </rPr>
          <t xml:space="preserve">
From MyCS2007</t>
        </r>
      </text>
    </comment>
    <comment ref="F54" authorId="0" shapeId="0" xr:uid="{00000000-0006-0000-1000-000002000000}">
      <text>
        <r>
          <rPr>
            <b/>
            <sz val="8"/>
            <rFont val="Tahoma"/>
            <family val="2"/>
          </rPr>
          <t>Bruno Merven:</t>
        </r>
        <r>
          <rPr>
            <sz val="8"/>
            <rFont val="Tahoma"/>
            <family val="2"/>
          </rPr>
          <t xml:space="preserve">
This needs more work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rFont val="Tahoma"/>
            <family val="2"/>
          </rPr>
          <t>bruno merven:</t>
        </r>
        <r>
          <rPr>
            <sz val="9"/>
            <rFont val="Tahoma"/>
            <family val="2"/>
          </rPr>
          <t xml:space="preserve">
historical average</t>
        </r>
      </text>
    </comment>
    <comment ref="O23" authorId="0" shapeId="0" xr:uid="{59A0E19D-30DA-41B4-AF79-8601570C1996}">
      <text>
        <r>
          <rPr>
            <b/>
            <sz val="9"/>
            <rFont val="Tahoma"/>
            <family val="2"/>
          </rPr>
          <t>bruno merven:</t>
        </r>
        <r>
          <rPr>
            <sz val="9"/>
            <rFont val="Tahoma"/>
            <family val="2"/>
          </rPr>
          <t xml:space="preserve">
historical</t>
        </r>
      </text>
    </comment>
    <comment ref="P23" authorId="0" shapeId="0" xr:uid="{3C9AE639-A90E-4698-A71F-B81447E13025}">
      <text>
        <r>
          <rPr>
            <b/>
            <sz val="9"/>
            <rFont val="Tahoma"/>
            <family val="2"/>
          </rPr>
          <t>bruno merven:</t>
        </r>
        <r>
          <rPr>
            <sz val="9"/>
            <rFont val="Tahoma"/>
            <family val="2"/>
          </rPr>
          <t xml:space="preserve">
2 year lag</t>
        </r>
      </text>
    </comment>
    <comment ref="C27" authorId="1" shapeId="0" xr:uid="{31407D39-8A95-4840-AAC8-E0537CBC5432}">
      <text>
        <r>
          <rPr>
            <b/>
            <sz val="9"/>
            <rFont val="Tahoma"/>
            <family val="2"/>
          </rPr>
          <t>Bryce McCall:</t>
        </r>
        <r>
          <rPr>
            <sz val="9"/>
            <rFont val="Tahoma"/>
            <family val="2"/>
          </rPr>
          <t xml:space="preserve">
Adrian is using 20-22% in the commerce EE study with DoE</t>
        </r>
      </text>
    </comment>
    <comment ref="N57" authorId="2" shapeId="0" xr:uid="{9E8A773D-F1A7-41AC-99C9-A0428C6E91C5}">
      <text>
        <r>
          <rPr>
            <b/>
            <sz val="9"/>
            <rFont val="Calibri"/>
            <family val="2"/>
          </rPr>
          <t>ERC:</t>
        </r>
        <r>
          <rPr>
            <sz val="9"/>
            <rFont val="Calibri"/>
            <family val="2"/>
          </rPr>
          <t xml:space="preserve">
Check that this is the right link</t>
        </r>
      </text>
    </comment>
    <comment ref="F116" authorId="3" shapeId="0" xr:uid="{265657B1-FF8B-41BB-A508-A4FDB500BE3D}">
      <text>
        <r>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r>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r>
      </text>
    </comment>
    <comment ref="I25" authorId="1" shapeId="0" xr:uid="{2848DFBD-B6FC-4D96-905F-97F3DD01354C}">
      <text>
        <r>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r>
      </text>
    </comment>
    <comment ref="I32" authorId="2" shapeId="0" xr:uid="{0700AE34-E7CE-44A7-B816-11FAD9DE3A9D}">
      <text>
        <r>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tc={D9902DC5-DD9B-4A3B-BD8C-8CBCA2382B45}</author>
    <author>Bruno Merven</author>
    <author>tc={4CF9E40C-9597-4637-B016-2BDD5D7DD8AB}</author>
    <author>tc={C6BA0230-1B27-4726-BB16-135DAA6A5150}</author>
    <author>Fadiel</author>
    <author>tc={241A1F92-88C5-4CB6-ACEE-9E881B1FC1E2}</author>
    <author>tc={234ED798-0FD1-4968-8132-D37398A8A74E}</author>
  </authors>
  <commentList>
    <comment ref="E25" authorId="0" shapeId="0" xr:uid="{F7D21E10-14CB-442D-8FB9-7A4247653C90}">
      <text>
        <r>
          <t>[Threaded comment]
Your version of Excel allows you to read this threaded comment; however, any edits to it will get removed if the file is opened in a newer version of Excel. Learn more: https://go.microsoft.com/fwlink/?linkid=870924
Comment:
    TRA!Calib_2017'!$H$86</t>
        </r>
      </text>
    </comment>
    <comment ref="E27" authorId="1" shapeId="0" xr:uid="{7DFEBD06-9A54-498B-BCCB-63A88E9944A3}">
      <text>
        <r>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r>
      </text>
    </comment>
    <comment ref="E30" authorId="2" shapeId="0" xr:uid="{15F8ED98-2D62-4BE3-877F-6E4C0120A018}">
      <text>
        <r>
          <t>[Threaded comment]
Your version of Excel allows you to read this threaded comment; however, any edits to it will get removed if the file is opened in a newer version of Excel. Learn more: https://go.microsoft.com/fwlink/?linkid=870924
Comment:
    TRA!Calib_2017'!$H$87</t>
        </r>
      </text>
    </comment>
    <comment ref="E35" authorId="3" shapeId="0" xr:uid="{D9902DC5-DD9B-4A3B-BD8C-8CBCA2382B45}">
      <text>
        <r>
          <t>[Threaded comment]
Your version of Excel allows you to read this threaded comment; however, any edits to it will get removed if the file is opened in a newer version of Excel. Learn more: https://go.microsoft.com/fwlink/?linkid=870924
Comment:
    TRA!Calib_2017'!$H$113</t>
        </r>
      </text>
    </comment>
    <comment ref="B53" authorId="4" shapeId="0" xr:uid="{8DBA06B5-128D-455B-9F19-5D56055135FD}">
      <text>
        <r>
          <rPr>
            <b/>
            <sz val="8"/>
            <rFont val="Tahoma"/>
            <family val="2"/>
          </rPr>
          <t>Bruno Merven:</t>
        </r>
        <r>
          <rPr>
            <sz val="8"/>
            <rFont val="Tahoma"/>
            <family val="2"/>
          </rPr>
          <t xml:space="preserve">
priv veh cover cars, SUV's and motorbikes that arent used for public transport (owned either by hh or by company/gov)</t>
        </r>
      </text>
    </comment>
    <comment ref="E64" authorId="5" shapeId="0" xr:uid="{4CF9E40C-9597-4637-B016-2BDD5D7DD8AB}">
      <text>
        <r>
          <t>[Threaded comment]
Your version of Excel allows you to read this threaded comment; however, any edits to it will get removed if the file is opened in a newer version of Excel. Learn more: https://go.microsoft.com/fwlink/?linkid=870924
Comment:
    TRA!Calib_2017'!$H$98</t>
        </r>
      </text>
    </comment>
    <comment ref="E67" authorId="6" shapeId="0" xr:uid="{C6BA0230-1B27-4726-BB16-135DAA6A5150}">
      <text>
        <r>
          <t>[Threaded comment]
Your version of Excel allows you to read this threaded comment; however, any edits to it will get removed if the file is opened in a newer version of Excel. Learn more: https://go.microsoft.com/fwlink/?linkid=870924
Comment:
    TRA!Calib_2017'!$H$102</t>
        </r>
      </text>
    </comment>
    <comment ref="C71" authorId="7" shapeId="0" xr:uid="{23ED4679-E7ED-47BC-A526-E2E01A3BD1BC}">
      <text>
        <r>
          <rPr>
            <b/>
            <sz val="9"/>
            <rFont val="Tahoma"/>
            <family val="2"/>
          </rPr>
          <t xml:space="preserve">Fadiel:pkm check for passenger rail
</t>
        </r>
        <r>
          <rPr>
            <sz val="9"/>
            <rFont val="Tahoma"/>
            <family val="2"/>
          </rPr>
          <t>old data though</t>
        </r>
      </text>
    </comment>
    <comment ref="E73" authorId="8" shapeId="0" xr:uid="{241A1F92-88C5-4CB6-ACEE-9E881B1FC1E2}">
      <text>
        <r>
          <t>[Threaded comment]
Your version of Excel allows you to read this threaded comment; however, any edits to it will get removed if the file is opened in a newer version of Excel. Learn more: https://go.microsoft.com/fwlink/?linkid=870924
Comment:
    TRA!Calib_2017'!$H$100</t>
        </r>
      </text>
    </comment>
    <comment ref="C138" authorId="7" shapeId="0" xr:uid="{48CF8539-165E-4953-9802-A2266282C685}">
      <text/>
    </comment>
    <comment ref="E139" authorId="7" shapeId="0" xr:uid="{C94DF54F-C4A2-448F-B91C-AFC8BB0423F0}">
      <text>
        <r>
          <rPr>
            <b/>
            <sz val="9"/>
            <rFont val="Tahoma"/>
            <family val="2"/>
          </rPr>
          <t>Fadiel:</t>
        </r>
        <r>
          <rPr>
            <sz val="9"/>
            <rFont val="Tahoma"/>
            <family val="2"/>
          </rPr>
          <t xml:space="preserve">
from GHS 2018 statssa (2019)</t>
        </r>
      </text>
    </comment>
    <comment ref="O139" authorId="7" shapeId="0" xr:uid="{5B21F091-F42F-4A99-AC82-622C1F4A6D30}">
      <text>
        <r>
          <rPr>
            <b/>
            <sz val="9"/>
            <rFont val="Tahoma"/>
            <family val="2"/>
          </rPr>
          <t>Fadiel:</t>
        </r>
        <r>
          <rPr>
            <sz val="9"/>
            <rFont val="Tahoma"/>
            <family val="2"/>
          </rPr>
          <t xml:space="preserve">
from GHS 2018 statssa (2019)</t>
        </r>
      </text>
    </comment>
    <comment ref="D141" authorId="7" shapeId="0" xr:uid="{5E8D7E90-B9E7-4FED-BA44-0755A9096DFE}">
      <text>
        <r>
          <rPr>
            <b/>
            <sz val="9"/>
            <rFont val="Tahoma"/>
            <family val="2"/>
          </rPr>
          <t>Fadiel:</t>
        </r>
        <r>
          <rPr>
            <sz val="9"/>
            <rFont val="Tahoma"/>
            <family val="2"/>
          </rPr>
          <t xml:space="preserve">
Occupancy growth</t>
        </r>
      </text>
    </comment>
    <comment ref="E142" authorId="9" shapeId="0" xr:uid="{234ED798-0FD1-4968-8132-D37398A8A74E}">
      <text>
        <r>
          <t>[Threaded comment]
Your version of Excel allows you to read this threaded comment; however, any edits to it will get removed if the file is opened in a newer version of Excel. Learn more: https://go.microsoft.com/fwlink/?linkid=870924
Comment:
    TRA!Calib_2017'!$k$71</t>
        </r>
      </text>
    </comment>
    <comment ref="E143" authorId="7" shapeId="0" xr:uid="{B462126C-51DE-471A-BBC5-F6FBF37623C9}">
      <text>
        <r>
          <rPr>
            <b/>
            <sz val="9"/>
            <rFont val="Tahoma"/>
            <family val="2"/>
          </rPr>
          <t>Fadiel:</t>
        </r>
        <r>
          <rPr>
            <sz val="9"/>
            <rFont val="Tahoma"/>
            <family val="2"/>
          </rPr>
          <t xml:space="preserve">
Fadiel:
Assume max occupancy of 14  https://businesstech.co.za/news/motoring/300268/south-africas-favourite-minibus-taxi-brand-is-getting-a-new-design-and-better-safety-features/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rFont val="Tahoma"/>
            <family val="2"/>
          </rPr>
          <t>Fadiel:</t>
        </r>
        <r>
          <rPr>
            <sz val="9"/>
            <rFont val="Tahoma"/>
            <family val="2"/>
          </rPr>
          <t xml:space="preserve">
tonkm by air data (old)
1.06b-tkm in 2014</t>
        </r>
      </text>
    </comment>
    <comment ref="AJ7" authorId="0" shapeId="0" xr:uid="{1DBA8410-1257-4C76-A041-5BD8E56DED1B}">
      <text>
        <r>
          <rPr>
            <b/>
            <sz val="9"/>
            <rFont val="Tahoma"/>
            <family val="2"/>
          </rPr>
          <t>Fadiel:</t>
        </r>
        <r>
          <rPr>
            <sz val="9"/>
            <rFont val="Tahoma"/>
            <family val="2"/>
          </rPr>
          <t xml:space="preserve">
</t>
        </r>
      </text>
    </comment>
    <comment ref="U11" authorId="0" shapeId="0" xr:uid="{FB317A8F-B810-4B8D-BB2E-8D852868E1BA}">
      <text>
        <r>
          <rPr>
            <b/>
            <sz val="9"/>
            <rFont val="Tahoma"/>
            <family val="2"/>
          </rPr>
          <t>Fadiel:</t>
        </r>
        <r>
          <rPr>
            <sz val="9"/>
            <rFont val="Tahoma"/>
            <family val="2"/>
          </rPr>
          <t xml:space="preserve">
I changed IEA milestone years  to 2030,2050 from 2025,2030</t>
        </r>
      </text>
    </comment>
    <comment ref="B21" authorId="1" shapeId="0" xr:uid="{00000000-0006-0000-1600-000001000000}">
      <text>
        <r>
          <rPr>
            <b/>
            <sz val="8"/>
            <rFont val="Tahoma"/>
            <family val="2"/>
          </rPr>
          <t>Bruno Merven:</t>
        </r>
        <r>
          <rPr>
            <sz val="8"/>
            <rFont val="Tahoma"/>
            <family val="2"/>
          </rPr>
          <t xml:space="preserve">
We could link this to tourism industry at a later stage.</t>
        </r>
      </text>
    </comment>
    <comment ref="J21" authorId="1" shapeId="0" xr:uid="{00000000-0006-0000-1600-000002000000}">
      <text>
        <r>
          <rPr>
            <b/>
            <sz val="8"/>
            <rFont val="Tahoma"/>
            <family val="2"/>
          </rPr>
          <t>Bruno Merven:</t>
        </r>
        <r>
          <rPr>
            <sz val="8"/>
            <rFont val="Tahoma"/>
            <family val="2"/>
          </rPr>
          <t xml:space="preserve">
From 2006 Energy Balance</t>
        </r>
      </text>
    </comment>
    <comment ref="K27" authorId="2" shapeId="0" xr:uid="{00000000-0006-0000-1600-000003000000}">
      <text>
        <r>
          <rPr>
            <b/>
            <sz val="9"/>
            <rFont val="Tahoma"/>
            <family val="2"/>
          </rPr>
          <t>bruno merven:</t>
        </r>
        <r>
          <rPr>
            <sz val="9"/>
            <rFont val="Tahoma"/>
            <family val="2"/>
          </rPr>
          <t xml:space="preserve">
2013 EB
</t>
        </r>
      </text>
    </comment>
    <comment ref="L27" authorId="0" shapeId="0" xr:uid="{E3163AC2-3C5B-42D1-A2FF-C25D9C6AE974}">
      <text>
        <r>
          <rPr>
            <b/>
            <sz val="9"/>
            <rFont val="Tahoma"/>
            <family val="2"/>
          </rPr>
          <t>Fadiel:</t>
        </r>
        <r>
          <rPr>
            <sz val="9"/>
            <rFont val="Tahoma"/>
            <family val="2"/>
          </rPr>
          <t xml:space="preserve">
NDC2020 data from EB2017</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<sst xmlns="http://schemas.openxmlformats.org/spreadsheetml/2006/main" count="4626" uniqueCount="803">
  <si>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</si>
  <si>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</si>
  <si>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</si>
  <si>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</si>
  <si>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</si>
  <si>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</si>
  <si>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</si>
  <si>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</si>
  <si>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</si>
  <si>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</si>
  <si>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</si>
  <si>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</si>
  <si>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</si>
  <si>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</si>
  <si>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</si>
  <si>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</si>
  <si>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</si>
  <si>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</si>
  <si>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</si>
  <si>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</si>
  <si>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</si>
  <si>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</si>
  <si>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</si>
  <si>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</si>
  <si>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</si>
  <si>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</si>
  <si>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</si>
  <si>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</si>
  <si>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</si>
  <si>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</si>
  <si>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</si>
  <si>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</si>
  <si>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</si>
  <si>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</si>
  <si>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</si>
  <si>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</si>
  <si>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</si>
  <si>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</si>
  <si>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</si>
  <si>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</si>
  <si>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</si>
  <si>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</si>
  <si>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</si>
  <si>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</si>
  <si>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</si>
  <si>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</si>
  <si>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</si>
  <si>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</si>
  <si>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</si>
  <si>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</si>
  <si>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</si>
  <si>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</si>
  <si>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</si>
  <si>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</si>
  <si>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</si>
  <si>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</si>
  <si>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</si>
  <si>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</si>
  <si>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</si>
  <si>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</si>
  <si>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</si>
  <si>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</si>
  <si>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</si>
  <si>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</si>
  <si>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</si>
  <si>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</si>
  <si>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</si>
  <si>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</si>
  <si>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</si>
  <si>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</si>
  <si>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</si>
  <si>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</si>
  <si>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</si>
  <si>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</si>
  <si>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</si>
  <si>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</si>
  <si>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</si>
  <si>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</si>
  <si>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</si>
  <si>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</si>
  <si>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</si>
  <si>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</si>
  <si>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</si>
  <si>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</si>
  <si>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</si>
  <si>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</si>
  <si>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</si>
  <si>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</si>
  <si>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</si>
  <si>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</si>
  <si>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</si>
  <si>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</si>
  <si>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</si>
  <si>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</si>
  <si>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</si>
  <si>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</si>
  <si>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</si>
  <si>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</si>
  <si>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</si>
  <si>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</si>
  <si>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</si>
  <si>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</si>
  <si>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</si>
  <si>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</si>
  <si>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</si>
  <si>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</si>
  <si>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</si>
  <si>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</si>
  <si>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</si>
  <si>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</si>
  <si>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</si>
  <si>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</si>
  <si>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</si>
  <si>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</si>
  <si>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</si>
  <si>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</si>
  <si>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</si>
  <si>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</si>
  <si>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</si>
  <si>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</si>
  <si>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</si>
  <si>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</si>
  <si>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</si>
  <si>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</si>
  <si>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</si>
  <si>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</si>
  <si>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</si>
  <si>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</si>
  <si>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</si>
  <si>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</si>
  <si>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</si>
  <si>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</si>
  <si>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</si>
  <si>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</si>
  <si>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</si>
  <si>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</si>
  <si>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</si>
  <si>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</si>
  <si>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</si>
  <si>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</si>
  <si>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</si>
  <si>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</si>
  <si>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</si>
  <si>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</si>
  <si>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</si>
  <si>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</si>
  <si>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</si>
  <si>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</si>
  <si>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</si>
  <si>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</si>
  <si>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</si>
  <si>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</si>
  <si>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</si>
  <si>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</si>
  <si>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</si>
  <si>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</si>
  <si>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</si>
  <si>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</si>
  <si>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</si>
  <si>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</si>
  <si>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</si>
  <si>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</si>
  <si>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</si>
  <si>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</si>
  <si>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</si>
  <si>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</si>
  <si>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</si>
  <si>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</si>
  <si>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</si>
  <si>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</si>
  <si>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</si>
  <si>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</si>
  <si>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</si>
  <si>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</si>
  <si>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</si>
  <si>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</si>
  <si>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</si>
  <si>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</si>
  <si>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</si>
  <si>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</si>
  <si>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val="single"/>
        <sz val="11"/>
        <color indexed="56"/>
        <rFont val="Calibri"/>
        <family val="2"/>
      </rPr>
      <t>with</t>
    </r>
    <r>
      <rPr>
        <b/>
        <sz val="11"/>
        <color indexed="56"/>
        <rFont val="Calibri"/>
        <family val="2"/>
      </rPr>
      <t xml:space="preserve"> a priv. veh</t>
    </r>
  </si>
  <si>
    <r>
      <t xml:space="preserve">pers </t>
    </r>
    <r>
      <rPr>
        <b/>
        <u val="single"/>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</si>
  <si>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</si>
  <si>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</si>
  <si>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</si>
  <si>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</si>
  <si>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</si>
  <si>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same as above</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</si>
  <si>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</si>
  <si>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</si>
  <si>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</si>
  <si>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</si>
  <si>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</si>
  <si>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</si>
  <si>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</si>
  <si>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</si>
  <si>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</si>
  <si>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</si>
  <si>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</si>
  <si>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</si>
  <si>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</si>
  <si>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</si>
  <si>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</si>
  <si>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</si>
  <si>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</si>
  <si>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</si>
  <si>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</si>
  <si>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</si>
  <si>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</si>
  <si>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</si>
  <si>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</si>
  <si>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</si>
  <si>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</si>
  <si>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</si>
  <si>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</si>
  <si>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</si>
  <si>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</si>
  <si>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</si>
  <si>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</si>
  <si>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</si>
  <si>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</si>
  <si>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</si>
  <si>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</si>
  <si>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</si>
  <si>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</si>
  <si>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</si>
  <si>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</si>
  <si>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</si>
  <si>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</si>
  <si>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</si>
  <si>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</si>
  <si>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</si>
  <si>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</si>
  <si>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</si>
  <si>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</si>
  <si>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</si>
  <si>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</si>
  <si>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</si>
  <si>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</si>
  <si>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</si>
  <si>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</si>
  <si>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</si>
  <si>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</si>
  <si>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</si>
  <si>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</si>
  <si>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</si>
  <si>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</si>
  <si>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</si>
  <si>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</si>
  <si>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</si>
  <si>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</si>
  <si>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</si>
  <si>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</si>
  <si>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</si>
  <si>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</si>
  <si>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</si>
  <si>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</si>
  <si>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</si>
  <si>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</si>
  <si>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</si>
  <si>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</si>
  <si>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</si>
  <si>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</si>
  <si>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</si>
  <si>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</si>
  <si>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</si>
  <si>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</si>
  <si>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</si>
  <si>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</si>
  <si>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</si>
  <si>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</si>
  <si>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</si>
  <si>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</si>
  <si>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</si>
  <si>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</si>
  <si>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</si>
  <si>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</si>
  <si>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</si>
  <si>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</si>
  <si>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</si>
  <si>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</si>
  <si>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</si>
  <si>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</si>
  <si>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</si>
  <si>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</si>
  <si>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</si>
  <si>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</si>
  <si>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</si>
  <si>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</si>
  <si>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</si>
  <si>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</si>
  <si>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</si>
  <si>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</si>
  <si>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</si>
  <si>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</si>
  <si>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</si>
  <si>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</si>
  <si>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</si>
  <si>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</si>
  <si>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</si>
  <si>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</si>
  <si>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</si>
  <si>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</si>
  <si>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</si>
  <si>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</si>
  <si>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</si>
  <si>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</si>
  <si>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</si>
  <si>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</si>
  <si>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</si>
  <si>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</si>
  <si>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</si>
  <si>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</si>
  <si>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</si>
  <si>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</si>
  <si>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</si>
  <si>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</si>
  <si>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</si>
  <si>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</si>
  <si>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</si>
  <si>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</si>
  <si>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</si>
  <si>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</si>
  <si>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</si>
  <si>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</si>
  <si>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</si>
  <si>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</si>
  <si>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</si>
  <si>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</si>
  <si>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</si>
  <si>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</si>
  <si>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</si>
  <si>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</si>
  <si>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</si>
  <si>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</si>
  <si>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</si>
  <si>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</si>
  <si>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</si>
  <si>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</si>
  <si>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</si>
  <si>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</si>
  <si>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</si>
  <si>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</si>
  <si>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</si>
  <si>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</si>
  <si>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</si>
  <si>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</si>
  <si>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</si>
  <si>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</si>
  <si>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</si>
  <si>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</si>
  <si>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</si>
  <si>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</si>
  <si>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</si>
  <si>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</si>
  <si>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</si>
  <si>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</si>
  <si>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</si>
  <si>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</si>
  <si>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</si>
  <si>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</si>
  <si>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</si>
  <si>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</si>
  <si>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</si>
  <si>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</si>
  <si>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</si>
  <si>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</si>
  <si>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</si>
  <si>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</si>
  <si>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</si>
  <si>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</si>
  <si>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</si>
  <si>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</si>
  <si>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</si>
  <si>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</si>
  <si>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</si>
  <si>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</si>
  <si>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</si>
  <si>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</si>
  <si>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</si>
  <si>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</si>
  <si>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</si>
  <si>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</si>
  <si>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</si>
  <si>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</si>
  <si>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</si>
  <si>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</si>
  <si>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</si>
  <si>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</si>
  <si>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</si>
  <si>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</si>
  <si>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</si>
  <si>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</si>
  <si>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</si>
  <si>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</si>
  <si>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</si>
  <si>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</si>
  <si>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</si>
  <si>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</si>
  <si>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</si>
  <si>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</si>
  <si>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</si>
  <si>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</si>
  <si>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</si>
  <si>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</si>
  <si>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</si>
  <si>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</si>
  <si>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</si>
  <si>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</si>
  <si>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</si>
  <si>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</si>
  <si>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</si>
  <si>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</si>
  <si>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</si>
  <si>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</si>
  <si>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</si>
  <si>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</si>
  <si>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</si>
  <si>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</si>
  <si>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</si>
  <si>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</si>
  <si>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</si>
  <si>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</si>
  <si>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</si>
  <si>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</si>
  <si>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</si>
  <si>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</si>
  <si>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</si>
  <si>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</si>
  <si>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</si>
  <si>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</si>
  <si>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</si>
  <si>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</si>
  <si>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</si>
  <si>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</si>
  <si>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</si>
  <si>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</si>
  <si>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</si>
  <si>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</si>
  <si>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</si>
  <si>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</si>
  <si>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</si>
  <si>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</si>
  <si>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</si>
  <si>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</si>
  <si>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</si>
  <si>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</si>
  <si>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</si>
  <si>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</si>
  <si>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</si>
  <si>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</si>
  <si>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</si>
  <si>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</si>
  <si>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</si>
  <si>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</si>
  <si>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</si>
  <si>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</si>
  <si>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</si>
  <si>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</si>
  <si>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</si>
  <si>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</si>
  <si>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</si>
  <si>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</si>
  <si>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</si>
  <si>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</si>
  <si>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</si>
  <si>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</si>
  <si>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</si>
  <si>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</si>
  <si>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</si>
  <si>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</si>
  <si>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</si>
  <si>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</si>
  <si>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</si>
  <si>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</si>
  <si>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</si>
  <si>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</si>
  <si>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</si>
  <si>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</si>
  <si>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</si>
  <si>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</si>
  <si>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</si>
  <si>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</si>
  <si>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</si>
  <si>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</si>
  <si>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</si>
  <si>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</si>
  <si>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</si>
  <si>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</si>
  <si>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</si>
  <si>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</si>
  <si>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</si>
  <si>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</si>
  <si>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</si>
  <si>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</si>
  <si>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</si>
  <si>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</si>
  <si>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</si>
  <si>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</si>
  <si>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</si>
  <si>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</si>
  <si>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</si>
  <si>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</si>
  <si>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</si>
  <si>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</si>
  <si>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</si>
  <si>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</si>
  <si>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</si>
  <si>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</si>
  <si>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</si>
  <si>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</si>
  <si>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</si>
  <si>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</si>
  <si>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</si>
  <si>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</si>
  <si>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</si>
  <si>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</si>
  <si>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</si>
  <si>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</si>
  <si>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</si>
  <si>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</si>
  <si>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</si>
  <si>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</si>
  <si>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</si>
  <si>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</si>
  <si>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</si>
  <si>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</si>
  <si>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</si>
  <si>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</si>
  <si>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</si>
  <si>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</si>
  <si>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</si>
  <si>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</si>
  <si>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</si>
  <si>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</si>
  <si>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</si>
  <si>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</si>
  <si>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</si>
  <si>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</si>
  <si>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</si>
  <si>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</si>
  <si>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</si>
  <si>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</si>
  <si>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</si>
  <si>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</si>
  <si>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</si>
  <si>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</si>
  <si>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</si>
  <si>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</si>
  <si>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</si>
  <si>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</si>
  <si>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</si>
  <si>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</si>
  <si>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</si>
  <si>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</si>
  <si>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</si>
  <si>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</si>
  <si>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</si>
  <si>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</si>
  <si>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</si>
  <si>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</si>
  <si>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</si>
  <si>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</si>
  <si>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</si>
  <si>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</si>
  <si>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</si>
  <si>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</si>
  <si>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</si>
  <si>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</si>
  <si>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</si>
  <si>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</si>
  <si>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</si>
  <si>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</si>
  <si>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</si>
  <si>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</si>
  <si>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</si>
  <si>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</si>
  <si>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</si>
  <si>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</si>
  <si>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</si>
  <si>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</si>
  <si>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</si>
  <si>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</si>
  <si>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</si>
  <si>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</si>
  <si>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</si>
  <si>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</si>
  <si>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</si>
  <si>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</si>
  <si>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</si>
  <si>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</si>
  <si>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</si>
  <si>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</si>
  <si>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</si>
  <si>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</si>
  <si>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</si>
  <si>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</si>
  <si>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</si>
  <si>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</si>
  <si>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</si>
  <si>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</si>
  <si>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</si>
  <si>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</si>
  <si>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</si>
  <si>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</si>
  <si>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</si>
  <si>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</si>
  <si>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</si>
  <si>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</si>
  <si>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</si>
  <si>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</si>
  <si>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</si>
  <si>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</si>
  <si>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</si>
  <si>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</si>
  <si>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</si>
  <si>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</si>
  <si>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</si>
  <si>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</si>
  <si>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</si>
  <si>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</si>
  <si>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</si>
  <si>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</si>
  <si>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</si>
  <si>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</si>
  <si>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</si>
  <si>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</si>
  <si>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</si>
  <si>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</si>
  <si>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</si>
  <si>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</si>
  <si>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</si>
  <si>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</si>
  <si>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</si>
  <si>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</si>
  <si>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</si>
  <si>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</si>
  <si>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</si>
  <si>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</si>
  <si>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</si>
  <si>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</si>
  <si>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</si>
  <si>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</si>
  <si>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</si>
  <si>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</si>
  <si>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</si>
  <si>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</si>
  <si>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</si>
  <si>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</si>
  <si>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</si>
  <si>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</si>
  <si>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</si>
  <si>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</si>
  <si>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</si>
  <si>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</si>
  <si>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</si>
  <si>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</si>
  <si>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</si>
  <si>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</si>
  <si>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</si>
  <si>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</si>
  <si>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</si>
  <si>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</si>
  <si>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</si>
  <si>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</si>
  <si>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</si>
  <si>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</si>
  <si>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</si>
  <si>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</si>
  <si>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</si>
  <si>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</si>
  <si>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</si>
  <si>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</si>
  <si>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</si>
  <si>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</si>
  <si>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</si>
  <si>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</si>
  <si>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</si>
  <si>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</si>
  <si>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</si>
  <si>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</si>
  <si>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</si>
  <si>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</si>
  <si>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</si>
  <si>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</si>
  <si>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</si>
  <si>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</si>
  <si>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</si>
  <si>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</si>
  <si>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</si>
  <si>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</si>
  <si>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</si>
  <si>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</si>
  <si>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</si>
  <si>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</si>
  <si>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</si>
  <si>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</si>
  <si>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</si>
  <si>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</si>
  <si>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</si>
  <si>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</si>
  <si>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</si>
  <si>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</si>
  <si>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</si>
  <si>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</si>
  <si>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</si>
  <si>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</si>
  <si>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</si>
  <si>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</si>
  <si>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</si>
  <si>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</si>
  <si>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</si>
  <si>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</si>
  <si>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</si>
  <si>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</si>
  <si>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</si>
  <si>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</si>
  <si>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</si>
  <si>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</si>
  <si>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</si>
  <si>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</si>
  <si>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</si>
  <si>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</si>
  <si>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</si>
  <si>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</si>
  <si>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</si>
  <si>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</si>
  <si>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</si>
  <si>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</si>
  <si>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</si>
  <si>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</si>
  <si>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</si>
  <si>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</si>
  <si>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</si>
  <si>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</si>
  <si>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</si>
  <si>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</si>
  <si>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</si>
  <si>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</si>
  <si>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</si>
  <si>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</si>
  <si>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</si>
  <si>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</si>
  <si>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</si>
  <si>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</si>
  <si>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</si>
  <si>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</si>
  <si>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</si>
  <si>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</si>
  <si>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</si>
  <si>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</si>
  <si>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</si>
  <si>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</si>
  <si>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</si>
  <si>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</si>
  <si>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</si>
  <si>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</si>
  <si>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</si>
  <si>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</si>
  <si>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</si>
  <si>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</si>
  <si>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</si>
  <si>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</si>
  <si>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</si>
  <si>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</si>
  <si>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</si>
  <si>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</si>
  <si>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</si>
  <si>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</si>
  <si>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</si>
  <si>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</si>
  <si>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</si>
  <si>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</si>
  <si>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</si>
  <si>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</si>
  <si>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</si>
  <si>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</si>
  <si>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</si>
  <si>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</si>
  <si>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</si>
  <si>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</si>
  <si>
    <t>reduction from previous year</t>
  </si>
  <si>
    <t>Precalculated in Drivers workbook</t>
  </si>
  <si>
    <t>Public share</t>
  </si>
  <si>
    <t>pkm graph below</t>
  </si>
  <si>
    <t>* vehicle by income group graph below</t>
  </si>
  <si>
    <t>* sumproduct: occupancy * mileage * income group * split between cars, SUVS and motorbikes</t>
  </si>
  <si>
    <t>*priv pkms</t>
  </si>
  <si>
    <t>* pub road pkms</t>
  </si>
  <si>
    <t>* pub rail pkms</t>
  </si>
  <si>
    <t>* occupancy * veh km</t>
  </si>
  <si>
    <t>* pkm from above</t>
  </si>
  <si>
    <t>* calc: pop * prv veh ownership * veh/pers</t>
  </si>
  <si>
    <t>* from other calc row 49 above</t>
  </si>
  <si>
    <t>* keep constant for now</t>
  </si>
  <si>
    <t>* Story: special lanes for higher occupancy vehicles increases average occupancy</t>
  </si>
  <si>
    <t>* decadal growth set to zero for now - see sheet drivers above</t>
  </si>
  <si>
    <t>PTRA SHEET DEMAND DRIVERS</t>
  </si>
  <si>
    <r>
      <t>*</t>
    </r>
    <r>
      <rPr>
        <sz val="11"/>
        <color rgb="FF7030A0"/>
        <rFont val="Calibri"/>
        <family val="2"/>
        <scheme val="minor"/>
      </rPr>
      <t xml:space="preserve"> adjusted by sheet drivers</t>
    </r>
  </si>
  <si>
    <t>* calc corrected, adjusting pub transport switch down</t>
  </si>
  <si>
    <r>
      <t xml:space="preserve">Story: Public transport </t>
    </r>
    <r>
      <rPr>
        <b/>
        <sz val="11"/>
        <color rgb="FF7030A0"/>
        <rFont val="Calibri"/>
        <family val="2"/>
        <scheme val="minor"/>
      </rPr>
      <t>SLIGHT ENCOURAGEMENT</t>
    </r>
    <r>
      <rPr>
        <sz val="11"/>
        <color theme="1"/>
        <rFont val="Calibri"/>
        <family val="2"/>
        <scheme val="minor"/>
      </rPr>
      <t xml:space="preserve"> through taxing of private veh or further subsidy of public transport or both results in lower car ownership</t>
    </r>
  </si>
  <si>
    <t>trana</t>
  </si>
  <si>
    <t>tmp fix on ferroalloys until this sector is split out in the CGE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</si>
</sst>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_)"/>
    <numFmt numFmtId="179" formatCode="0%;\ \(0%\);\ \-"/>
    <numFmt numFmtId="180" formatCode="[$£-809]#,##0.000;[Red]&quot;-&quot;[$£-809]#,##0.000"/>
    <numFmt numFmtId="181" formatCode="0.000_)"/>
    <numFmt numFmtId="182" formatCode="#,##0.0_);\(#,##0.0\);&quot;-&quot;_);@"/>
    <numFmt numFmtId="183" formatCode="_-&quot;£&quot;* #,##0.00_-;\-&quot;£&quot;* #,##0.00_-;_-&quot;£&quot;* &quot;-&quot;??_-;_-@_-"/>
    <numFmt numFmtId="184" formatCode="0_(&quot;$&quot;* #,##0;_)_(&quot;$&quot;* \(#,##0;\)_(&quot;$&quot;* &quot;-&quot;;_)_(@"/>
    <numFmt numFmtId="185" formatCode="#,##0.000"/>
    <numFmt numFmtId="186" formatCode="0.000%"/>
    <numFmt numFmtId="187" formatCode="0.0000%"/>
  </numFmts>
  <fonts count="171">
    <font>
      <sz val="11"/>
      <color theme="1"/>
      <name val="Calibri"/>
      <family val="2"/>
      <scheme val="minor"/>
    </font>
    <font>
      <sz val="10"/>
      <color theme="1"/>
      <name val="Arial"/>
      <family val="2"/>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name val="Tahoma"/>
      <family val="2"/>
    </font>
    <font>
      <b/>
      <sz val="8"/>
      <name val="Tahoma"/>
      <family val="2"/>
    </font>
    <font>
      <b/>
      <sz val="8"/>
      <name val="Arial"/>
      <family val="2"/>
    </font>
    <font>
      <sz val="8"/>
      <name val="Arial"/>
      <family val="2"/>
    </font>
    <font>
      <b/>
      <sz val="11"/>
      <color indexed="56"/>
      <name val="Calibri"/>
      <family val="2"/>
    </font>
    <font>
      <b/>
      <u val="single"/>
      <sz val="11"/>
      <color indexed="56"/>
      <name val="Calibri"/>
      <family val="2"/>
    </font>
    <font>
      <b/>
      <sz val="9"/>
      <name val="Tahoma"/>
      <family val="2"/>
    </font>
    <font>
      <sz val="9"/>
      <name val="Tahoma"/>
      <family val="2"/>
    </font>
    <font>
      <sz val="11"/>
      <color rgb="FF9C0006"/>
      <name val="Calibri"/>
      <family val="2"/>
      <scheme val="minor"/>
    </font>
    <font>
      <sz val="10"/>
      <color theme="4"/>
      <name val="Arial"/>
      <family val="2"/>
    </font>
    <font>
      <b/>
      <sz val="11"/>
      <color rgb="FFFA7D00"/>
      <name val="Calibri"/>
      <family val="2"/>
      <scheme val="minor"/>
    </font>
    <font>
      <sz val="10"/>
      <color theme="1"/>
      <name val="Verdana1"/>
      <family val="2"/>
    </font>
    <font>
      <sz val="10"/>
      <color theme="1"/>
      <name val="Arial Unicode MS"/>
      <family val="2"/>
    </font>
    <font>
      <sz val="10"/>
      <color theme="6" tint="-0.249880000948906"/>
      <name val="Arial"/>
      <family val="2"/>
    </font>
    <font>
      <b/>
      <i/>
      <sz val="16"/>
      <color theme="1"/>
      <name val="Arial1"/>
      <family val="2"/>
    </font>
    <font>
      <b/>
      <sz val="13"/>
      <color theme="3"/>
      <name val="Calibri"/>
      <family val="2"/>
      <scheme val="minor"/>
    </font>
    <font>
      <b/>
      <sz val="11"/>
      <color theme="3"/>
      <name val="Calibri"/>
      <family val="2"/>
      <scheme val="minor"/>
    </font>
    <font>
      <u val="single"/>
      <sz val="10"/>
      <color theme="10"/>
      <name val="Arial"/>
      <family val="2"/>
    </font>
    <font>
      <sz val="11"/>
      <color rgb="FF3F3F76"/>
      <name val="Calibri"/>
      <family val="2"/>
      <scheme val="minor"/>
    </font>
    <font>
      <sz val="10"/>
      <color theme="9" tint="-0.249880000948906"/>
      <name val="Arial"/>
      <family val="2"/>
    </font>
    <font>
      <sz val="11"/>
      <color rgb="FF9C6500"/>
      <name val="Calibri"/>
      <family val="2"/>
      <scheme val="minor"/>
    </font>
    <font>
      <sz val="11"/>
      <color theme="1"/>
      <name val="Arial1"/>
      <family val="2"/>
    </font>
    <font>
      <sz val="12"/>
      <color theme="1"/>
      <name val="Calibri"/>
      <family val="2"/>
      <scheme val="minor"/>
    </font>
    <font>
      <b/>
      <i/>
      <u val="single"/>
      <sz val="11"/>
      <color theme="1"/>
      <name val="Arial1"/>
      <family val="2"/>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indexed="8"/>
      <name val="Arial"/>
      <family val="2"/>
    </font>
    <font>
      <sz val="11"/>
      <color indexed="8"/>
      <name val="Cambria"/>
      <family val="2"/>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amily val="2"/>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amily val="2"/>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
      <color indexed="8"/>
      <name val="Courier"/>
      <family val="3"/>
    </font>
    <font>
      <i/>
      <sz val="1"/>
      <color indexed="8"/>
      <name val="Courier"/>
      <family val="3"/>
    </font>
    <font>
      <u val="single"/>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amily val="2"/>
    </font>
    <font>
      <u val="single"/>
      <sz val="10"/>
      <color theme="10"/>
      <name val="Calibri"/>
      <family val="1"/>
      <scheme val="minor"/>
    </font>
    <font>
      <u val="single"/>
      <sz val="10"/>
      <color indexed="12"/>
      <name val="Calibri"/>
      <family val="1"/>
      <charset val="134"/>
    </font>
    <font>
      <u val="single"/>
      <sz val="10"/>
      <color indexed="12"/>
      <name val="Cambria"/>
      <family val="1"/>
    </font>
    <font>
      <u val="single"/>
      <sz val="10"/>
      <color indexed="12"/>
      <name val="Arial"/>
      <family val="2"/>
    </font>
    <font>
      <u val="single"/>
      <sz val="8.5"/>
      <color indexed="12"/>
      <name val="Cambria"/>
      <family val="1"/>
      <charset val="134"/>
    </font>
    <font>
      <u val="single"/>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amily val="2"/>
    </font>
    <font>
      <sz val="11"/>
      <color indexed="8"/>
      <name val="Arial1"/>
      <family val="2"/>
    </font>
    <font>
      <sz val="12"/>
      <color indexed="8"/>
      <name val="Calibri"/>
      <family val="2"/>
    </font>
    <font>
      <sz val="12"/>
      <color indexed="8"/>
      <name val="Cambria"/>
      <family val="2"/>
    </font>
    <font>
      <sz val="8"/>
      <name val="Calibri"/>
      <family val="1"/>
      <scheme val="minor"/>
    </font>
    <font>
      <sz val="8"/>
      <name val="Cambria"/>
      <family val="1"/>
      <charset val="134"/>
    </font>
    <font>
      <sz val="8"/>
      <name val="Calibri"/>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val="single"/>
      <sz val="11"/>
      <color indexed="8"/>
      <name val="Arial1"/>
      <family val="2"/>
    </font>
    <font>
      <u val="single"/>
      <sz val="10"/>
      <color theme="5" tint="0.79992002248764"/>
      <name val="Calibri"/>
      <family val="1"/>
      <scheme val="minor"/>
    </font>
    <font>
      <u val="single"/>
      <sz val="10"/>
      <color indexed="45"/>
      <name val="Calibri"/>
      <family val="1"/>
    </font>
    <font>
      <u val="single"/>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val="single"/>
      <sz val="11"/>
      <color theme="10"/>
      <name val="Calibri"/>
      <family val="2"/>
      <scheme val="minor"/>
    </font>
    <font>
      <u val="single"/>
      <sz val="11"/>
      <color theme="11"/>
      <name val="Calibri"/>
      <family val="2"/>
      <scheme val="minor"/>
    </font>
    <font>
      <sz val="9"/>
      <name val="Calibri"/>
      <family val="2"/>
    </font>
    <font>
      <b/>
      <sz val="9"/>
      <name val="Calibri"/>
      <family val="2"/>
    </font>
    <font>
      <sz val="11"/>
      <color rgb="FFC00000"/>
      <name val="Calibri"/>
      <family val="2"/>
      <scheme val="minor"/>
    </font>
    <font>
      <b/>
      <sz val="11"/>
      <color theme="0" tint="-0.499909996986389"/>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b/>
      <sz val="11"/>
      <color rgb="FFFF0000"/>
      <name val="Calibri"/>
      <family val="2"/>
      <scheme val="minor"/>
    </font>
    <font>
      <b/>
      <i/>
      <sz val="11"/>
      <color theme="1"/>
      <name val="Calibri"/>
      <family val="2"/>
      <scheme val="minor"/>
    </font>
    <font>
      <sz val="11"/>
      <color theme="9" tint="-0.249909996986389"/>
      <name val="Calibri"/>
      <family val="2"/>
      <scheme val="minor"/>
    </font>
    <font>
      <sz val="9"/>
      <color theme="1"/>
      <name val="Calibri"/>
      <family val="2"/>
      <scheme val="minor"/>
    </font>
    <font>
      <sz val="11"/>
      <color rgb="FF7030A0"/>
      <name val="Calibri"/>
      <family val="2"/>
      <scheme val="minor"/>
    </font>
    <font>
      <b/>
      <sz val="11"/>
      <color rgb="FF7030A0"/>
      <name val="Calibri"/>
      <family val="2"/>
      <scheme val="minor"/>
    </font>
    <font>
      <b/>
      <sz val="16"/>
      <color rgb="FF7030A0"/>
      <name val="Calibri"/>
      <family val="2"/>
      <scheme val="minor"/>
    </font>
    <font>
      <strike/>
      <sz val="11"/>
      <color theme="1"/>
      <name val="Calibri"/>
      <family val="2"/>
      <scheme val="minor"/>
    </font>
    <font>
      <sz val="14"/>
      <color theme="1" tint="0.35"/>
      <name val="Calibri"/>
      <family val="2"/>
      <scheme val="minor"/>
    </font>
    <font>
      <sz val="9"/>
      <color theme="1" tint="0.35"/>
      <name val="Calibri"/>
      <family val="2"/>
      <scheme val="minor"/>
    </font>
    <font>
      <sz val="10"/>
      <color rgb="FF000000"/>
      <name val="Calibri"/>
      <family val="2"/>
    </font>
    <font>
      <sz val="8.45"/>
      <color rgb="FF000000"/>
      <name val="Calibri"/>
      <family val="2"/>
    </font>
    <font>
      <sz val="5.95"/>
      <color rgb="FF000000"/>
      <name val="Calibri"/>
      <family val="2"/>
    </font>
    <font>
      <sz val="9.25"/>
      <color rgb="FF000000"/>
      <name val="Calibri"/>
      <family val="2"/>
    </font>
    <font>
      <sz val="10"/>
      <name val="Calibri"/>
      <family val="2"/>
    </font>
  </fonts>
  <fills count="70">
    <fill>
      <patternFill patternType="none"/>
    </fill>
    <fill>
      <patternFill patternType="gray125"/>
    </fill>
    <fill>
      <patternFill patternType="solid">
        <fgColor indexed="27"/>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rgb="FFFFEB9C"/>
        <bgColor indexed="64"/>
      </patternFill>
    </fill>
    <fill>
      <patternFill patternType="solid">
        <fgColor indexed="55"/>
        <bgColor indexed="64"/>
      </patternFill>
    </fill>
    <fill>
      <patternFill patternType="solid">
        <fgColor rgb="FFFFFFCC"/>
        <bgColor indexed="64"/>
      </patternFill>
    </fill>
    <fill>
      <patternFill patternType="solid">
        <fgColor theme="6" tint="0.399949997663498"/>
        <bgColor indexed="64"/>
      </patternFill>
    </fill>
    <fill>
      <patternFill patternType="solid">
        <fgColor theme="4" tint="0.79992002248764"/>
        <bgColor indexed="64"/>
      </patternFill>
    </fill>
    <fill>
      <patternFill patternType="solid">
        <fgColor indexed="31"/>
        <bgColor indexed="64"/>
      </patternFill>
    </fill>
    <fill>
      <patternFill patternType="solid">
        <fgColor theme="5" tint="0.79992002248764"/>
        <bgColor indexed="64"/>
      </patternFill>
    </fill>
    <fill>
      <patternFill patternType="solid">
        <fgColor indexed="45"/>
        <bgColor indexed="64"/>
      </patternFill>
    </fill>
    <fill>
      <patternFill patternType="solid">
        <fgColor theme="6" tint="0.79992002248764"/>
        <bgColor indexed="64"/>
      </patternFill>
    </fill>
    <fill>
      <patternFill patternType="solid">
        <fgColor indexed="42"/>
        <bgColor indexed="64"/>
      </patternFill>
    </fill>
    <fill>
      <patternFill patternType="solid">
        <fgColor theme="7" tint="0.79992002248764"/>
        <bgColor indexed="64"/>
      </patternFill>
    </fill>
    <fill>
      <patternFill patternType="solid">
        <fgColor indexed="46"/>
        <bgColor indexed="64"/>
      </patternFill>
    </fill>
    <fill>
      <patternFill patternType="solid">
        <fgColor theme="8" tint="0.79992002248764"/>
        <bgColor indexed="64"/>
      </patternFill>
    </fill>
    <fill>
      <patternFill patternType="solid">
        <fgColor indexed="47"/>
        <bgColor indexed="64"/>
      </patternFill>
    </fill>
    <fill>
      <patternFill patternType="solid">
        <fgColor theme="9" tint="0.79992002248764"/>
        <bgColor indexed="64"/>
      </patternFill>
    </fill>
    <fill>
      <patternFill patternType="solid">
        <fgColor theme="4" tint="0.599929988384247"/>
        <bgColor indexed="64"/>
      </patternFill>
    </fill>
    <fill>
      <patternFill patternType="solid">
        <fgColor indexed="44"/>
        <bgColor indexed="64"/>
      </patternFill>
    </fill>
    <fill>
      <patternFill patternType="solid">
        <fgColor theme="5" tint="0.599929988384247"/>
        <bgColor indexed="64"/>
      </patternFill>
    </fill>
    <fill>
      <patternFill patternType="solid">
        <fgColor indexed="29"/>
        <bgColor indexed="64"/>
      </patternFill>
    </fill>
    <fill>
      <patternFill patternType="solid">
        <fgColor theme="6" tint="0.599929988384247"/>
        <bgColor indexed="64"/>
      </patternFill>
    </fill>
    <fill>
      <patternFill patternType="solid">
        <fgColor indexed="11"/>
        <bgColor indexed="64"/>
      </patternFill>
    </fill>
    <fill>
      <patternFill patternType="solid">
        <fgColor theme="7" tint="0.599929988384247"/>
        <bgColor indexed="64"/>
      </patternFill>
    </fill>
    <fill>
      <patternFill patternType="solid">
        <fgColor theme="8" tint="0.599929988384247"/>
        <bgColor indexed="64"/>
      </patternFill>
    </fill>
    <fill>
      <patternFill patternType="solid">
        <fgColor theme="9" tint="0.599929988384247"/>
        <bgColor indexed="64"/>
      </patternFill>
    </fill>
    <fill>
      <patternFill patternType="solid">
        <fgColor indexed="51"/>
        <bgColor indexed="64"/>
      </patternFill>
    </fill>
    <fill>
      <patternFill patternType="solid">
        <fgColor theme="4" tint="0.399980008602142"/>
        <bgColor indexed="64"/>
      </patternFill>
    </fill>
    <fill>
      <patternFill patternType="solid">
        <fgColor indexed="30"/>
        <bgColor indexed="64"/>
      </patternFill>
    </fill>
    <fill>
      <patternFill patternType="solid">
        <fgColor theme="5" tint="0.399980008602142"/>
        <bgColor indexed="64"/>
      </patternFill>
    </fill>
    <fill>
      <patternFill patternType="solid">
        <fgColor theme="6" tint="0.399980008602142"/>
        <bgColor indexed="64"/>
      </patternFill>
    </fill>
    <fill>
      <patternFill patternType="solid">
        <fgColor theme="7" tint="0.399980008602142"/>
        <bgColor indexed="64"/>
      </patternFill>
    </fill>
    <fill>
      <patternFill patternType="solid">
        <fgColor indexed="36"/>
        <bgColor indexed="64"/>
      </patternFill>
    </fill>
    <fill>
      <patternFill patternType="solid">
        <fgColor theme="8" tint="0.399980008602142"/>
        <bgColor indexed="64"/>
      </patternFill>
    </fill>
    <fill>
      <patternFill patternType="solid">
        <fgColor indexed="49"/>
        <bgColor indexed="64"/>
      </patternFill>
    </fill>
    <fill>
      <patternFill patternType="solid">
        <fgColor theme="9" tint="0.399980008602142"/>
        <bgColor indexed="64"/>
      </patternFill>
    </fill>
    <fill>
      <patternFill patternType="solid">
        <fgColor indexed="52"/>
        <bgColor indexed="64"/>
      </patternFill>
    </fill>
    <fill>
      <patternFill patternType="solid">
        <fgColor theme="4"/>
        <bgColor indexed="64"/>
      </patternFill>
    </fill>
    <fill>
      <patternFill patternType="solid">
        <fgColor indexed="62"/>
        <bgColor indexed="64"/>
      </patternFill>
    </fill>
    <fill>
      <patternFill patternType="solid">
        <fgColor theme="5"/>
        <bgColor indexed="64"/>
      </patternFill>
    </fill>
    <fill>
      <patternFill patternType="solid">
        <fgColor indexed="10"/>
        <bgColor indexed="64"/>
      </patternFill>
    </fill>
    <fill>
      <patternFill patternType="solid">
        <fgColor theme="6"/>
        <bgColor indexed="64"/>
      </patternFill>
    </fill>
    <fill>
      <patternFill patternType="solid">
        <fgColor indexed="57"/>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indexed="53"/>
        <bgColor indexed="64"/>
      </patternFill>
    </fill>
    <fill>
      <patternFill patternType="solid">
        <fgColor theme="7" tint="0.399949997663498"/>
        <bgColor indexed="64"/>
      </patternFill>
    </fill>
    <fill>
      <patternFill patternType="solid">
        <fgColor theme="6" tint="0.599900007247925"/>
        <bgColor indexed="64"/>
      </patternFill>
    </fill>
    <fill>
      <patternFill patternType="solid">
        <fgColor indexed="22"/>
        <bgColor indexed="64"/>
      </patternFill>
    </fill>
    <fill>
      <patternFill patternType="solid">
        <fgColor rgb="FFA5A5A5"/>
        <bgColor indexed="64"/>
      </patternFill>
    </fill>
    <fill>
      <patternFill patternType="solid">
        <fgColor rgb="FFC6EFCE"/>
        <bgColor indexed="64"/>
      </patternFill>
    </fill>
    <fill>
      <patternFill patternType="solid">
        <fgColor theme="8" tint="0.599900007247925"/>
        <bgColor indexed="64"/>
      </patternFill>
    </fill>
    <fill>
      <patternFill patternType="solid">
        <fgColor theme="8" tint="0.399949997663498"/>
        <bgColor indexed="64"/>
      </patternFill>
    </fill>
    <fill>
      <patternFill patternType="solid">
        <fgColor indexed="43"/>
        <bgColor indexed="64"/>
      </patternFill>
    </fill>
    <fill>
      <patternFill patternType="solid">
        <fgColor indexed="26"/>
        <bgColor indexed="64"/>
      </patternFill>
    </fill>
    <fill>
      <patternFill patternType="solid">
        <fgColor rgb="FFAADC9B"/>
        <bgColor indexed="64"/>
      </patternFill>
    </fill>
    <fill>
      <patternFill patternType="solid">
        <fgColor rgb="FFFFFF00"/>
        <bgColor indexed="64"/>
      </patternFill>
    </fill>
    <fill>
      <patternFill patternType="solid">
        <fgColor rgb="FFFFC000"/>
        <bgColor indexed="64"/>
      </patternFill>
    </fill>
    <fill>
      <patternFill patternType="solid">
        <fgColor theme="0" tint="-0.349920004606247"/>
        <bgColor indexed="64"/>
      </patternFill>
    </fill>
    <fill>
      <patternFill patternType="solid">
        <fgColor theme="0" tint="-0.149930000305176"/>
        <bgColor indexed="64"/>
      </patternFill>
    </fill>
    <fill>
      <patternFill patternType="solid">
        <fgColor theme="3" tint="-0.249909996986389"/>
        <bgColor indexed="64"/>
      </patternFill>
    </fill>
    <fill>
      <patternFill patternType="solid">
        <fgColor theme="3" tint="0.599929988384247"/>
        <bgColor indexed="64"/>
      </patternFill>
    </fill>
    <fill>
      <patternFill patternType="solid">
        <fgColor theme="0" tint="-0.249909996986389"/>
        <bgColor indexed="64"/>
      </patternFill>
    </fill>
    <fill>
      <patternFill patternType="solid">
        <fgColor theme="0"/>
        <bgColor indexed="64"/>
      </patternFill>
    </fill>
    <fill>
      <patternFill patternType="solid">
        <fgColor theme="9" tint="-0.499909996986389"/>
        <bgColor indexed="64"/>
      </patternFill>
    </fill>
  </fills>
  <borders count="70">
    <border>
      <left/>
      <right/>
      <top/>
      <bottom/>
      <diagonal/>
    </border>
    <border>
      <left style="thin">
        <color auto="1"/>
      </left>
      <right style="thin">
        <color auto="1"/>
      </right>
      <top style="thin">
        <color auto="1"/>
      </top>
      <bottom style="thin">
        <color auto="1"/>
      </bottom>
    </border>
    <border>
      <left style="thin">
        <color rgb="FF7F7F7F"/>
      </left>
      <right style="thin">
        <color rgb="FF7F7F7F"/>
      </right>
      <top style="thin">
        <color rgb="FF7F7F7F"/>
      </top>
      <bottom style="thin">
        <color rgb="FF7F7F7F"/>
      </bottom>
    </border>
    <border>
      <left/>
      <right/>
      <top/>
      <bottom style="medium">
        <color auto="1"/>
      </bottom>
    </border>
    <border>
      <left/>
      <right/>
      <top/>
      <bottom style="thick">
        <color theme="4" tint="0.499920010566711"/>
      </bottom>
    </border>
    <border>
      <left/>
      <right/>
      <top/>
      <bottom style="medium">
        <color theme="4" tint="0.399980008602142"/>
      </bottom>
    </border>
    <border>
      <left style="thin">
        <color rgb="FFB2B2B2"/>
      </left>
      <right style="thin">
        <color rgb="FFB2B2B2"/>
      </right>
      <top style="thin">
        <color rgb="FFB2B2B2"/>
      </top>
      <bottom style="thin">
        <color rgb="FFB2B2B2"/>
      </bottom>
    </border>
    <border>
      <left/>
      <right/>
      <top/>
      <bottom style="thick">
        <color theme="4"/>
      </bottom>
    </border>
    <border>
      <left style="thin">
        <color theme="6" tint="-0.499909996986389"/>
      </left>
      <right style="thin">
        <color theme="6" tint="-0.499909996986389"/>
      </right>
      <top style="thin">
        <color theme="6" tint="-0.499909996986389"/>
      </top>
      <bottom style="thin">
        <color theme="6" tint="-0.499909996986389"/>
      </bottom>
    </border>
    <border>
      <left style="thin">
        <color theme="7" tint="-0.249880000948906"/>
      </left>
      <right style="thin">
        <color theme="7" tint="-0.249880000948906"/>
      </right>
      <top style="thin">
        <color theme="7" tint="-0.249880000948906"/>
      </top>
      <bottom style="thin">
        <color theme="7" tint="-0.249880000948906"/>
      </bottom>
    </border>
    <border>
      <left style="thin">
        <color indexed="36"/>
      </left>
      <right style="thin">
        <color indexed="36"/>
      </right>
      <top style="thin">
        <color indexed="36"/>
      </top>
      <bottom style="thin">
        <color indexed="36"/>
      </bottom>
    </border>
    <border>
      <left style="thin">
        <color indexed="17"/>
      </left>
      <right style="thin">
        <color indexed="17"/>
      </right>
      <top style="thin">
        <color indexed="17"/>
      </top>
      <bottom style="thin">
        <color indexed="17"/>
      </bottom>
    </border>
    <border>
      <left style="thin">
        <color indexed="23"/>
      </left>
      <right style="thin">
        <color indexed="23"/>
      </right>
      <top style="thin">
        <color indexed="23"/>
      </top>
      <bottom style="thin">
        <color indexed="23"/>
      </bottom>
    </border>
    <border>
      <left style="double">
        <color rgb="FF3F3F3F"/>
      </left>
      <right style="double">
        <color rgb="FF3F3F3F"/>
      </right>
      <top style="double">
        <color rgb="FF3F3F3F"/>
      </top>
      <bottom style="double">
        <color rgb="FF3F3F3F"/>
      </bottom>
    </border>
    <border>
      <left style="double">
        <color indexed="63"/>
      </left>
      <right style="double">
        <color indexed="63"/>
      </right>
      <top style="double">
        <color indexed="63"/>
      </top>
      <bottom style="double">
        <color indexed="63"/>
      </bottom>
    </border>
    <border>
      <left/>
      <right/>
      <top style="medium">
        <color auto="1"/>
      </top>
      <bottom style="medium">
        <color auto="1"/>
      </bottom>
    </border>
    <border>
      <left/>
      <right/>
      <top style="thin">
        <color auto="1"/>
      </top>
      <bottom style="thin">
        <color auto="1"/>
      </bottom>
    </border>
    <border>
      <left/>
      <right/>
      <top/>
      <bottom style="thick">
        <color indexed="62"/>
      </bottom>
    </border>
    <border>
      <left/>
      <right/>
      <top/>
      <bottom style="thick">
        <color indexed="22"/>
      </bottom>
    </border>
    <border>
      <left/>
      <right/>
      <top/>
      <bottom style="medium">
        <color indexed="30"/>
      </bottom>
    </border>
    <border>
      <left style="thin">
        <color theme="8" tint="-0.499909996986389"/>
      </left>
      <right style="thin">
        <color theme="8" tint="-0.499909996986389"/>
      </right>
      <top style="thin">
        <color theme="8" tint="-0.499909996986389"/>
      </top>
      <bottom style="thin">
        <color theme="8" tint="-0.499909996986389"/>
      </bottom>
    </border>
    <border>
      <left style="thin">
        <color indexed="21"/>
      </left>
      <right style="thin">
        <color indexed="21"/>
      </right>
      <top style="thin">
        <color indexed="21"/>
      </top>
      <bottom style="thin">
        <color indexed="21"/>
      </bottom>
    </border>
    <border>
      <left/>
      <right/>
      <top/>
      <bottom style="double">
        <color rgb="FFFF8001"/>
      </bottom>
    </border>
    <border>
      <left/>
      <right/>
      <top/>
      <bottom style="double">
        <color indexed="52"/>
      </bottom>
    </border>
    <border>
      <left style="thin">
        <color indexed="22"/>
      </left>
      <right style="thin">
        <color indexed="22"/>
      </right>
      <top style="thin">
        <color indexed="22"/>
      </top>
      <bottom style="thin">
        <color indexed="22"/>
      </bottom>
    </border>
    <border>
      <left style="thin">
        <color rgb="FF3F3F3F"/>
      </left>
      <right style="thin">
        <color rgb="FF3F3F3F"/>
      </right>
      <top style="thin">
        <color rgb="FF3F3F3F"/>
      </top>
      <bottom style="thin">
        <color rgb="FF3F3F3F"/>
      </bottom>
    </border>
    <border>
      <left style="thin">
        <color indexed="63"/>
      </left>
      <right style="thin">
        <color indexed="63"/>
      </right>
      <top style="thin">
        <color indexed="63"/>
      </top>
      <bottom style="thin">
        <color indexed="63"/>
      </bottom>
    </border>
    <border>
      <left/>
      <right/>
      <top style="thin">
        <color auto="1"/>
      </top>
      <bottom style="thin">
        <color theme="0" tint="-0.249880000948906"/>
      </bottom>
    </border>
    <border>
      <left/>
      <right/>
      <top style="thin">
        <color theme="4"/>
      </top>
      <bottom style="double">
        <color theme="4"/>
      </bottom>
    </border>
    <border>
      <left/>
      <right/>
      <top style="thin">
        <color indexed="62"/>
      </top>
      <bottom style="double">
        <color indexed="62"/>
      </bottom>
    </border>
    <border>
      <left style="thin">
        <color auto="1"/>
      </left>
      <right/>
      <top/>
      <bottom/>
    </border>
    <border>
      <left/>
      <right/>
      <top/>
      <bottom style="thin">
        <color auto="1"/>
      </bottom>
    </border>
    <border>
      <left/>
      <right/>
      <top/>
      <bottom style="medium">
        <color theme="3" tint="0.599929988384247"/>
      </bottom>
    </border>
    <border>
      <left style="thin">
        <color rgb="FF7F7F7F"/>
      </left>
      <right/>
      <top style="thin">
        <color rgb="FF7F7F7F"/>
      </top>
      <bottom style="thin">
        <color rgb="FF7F7F7F"/>
      </bottom>
    </border>
    <border>
      <left style="thin">
        <color auto="1"/>
      </left>
      <right/>
      <top style="thin">
        <color auto="1"/>
      </top>
      <bottom/>
    </border>
    <border>
      <left/>
      <right/>
      <top style="thin">
        <color auto="1"/>
      </top>
      <bottom/>
    </border>
    <border>
      <left style="thin">
        <color auto="1"/>
      </left>
      <right/>
      <top/>
      <bottom style="thin">
        <color auto="1"/>
      </bottom>
    </border>
    <border>
      <left/>
      <right style="thin">
        <color auto="1"/>
      </right>
      <top style="thin">
        <color auto="1"/>
      </top>
      <bottom/>
    </border>
    <border>
      <left/>
      <right style="thin">
        <color auto="1"/>
      </right>
      <top/>
      <bottom/>
    </border>
    <border>
      <left/>
      <right style="thin">
        <color auto="1"/>
      </right>
      <top/>
      <bottom style="thin">
        <color auto="1"/>
      </bottom>
    </border>
    <border>
      <left style="thin">
        <color auto="1"/>
      </left>
      <right style="thin">
        <color auto="1"/>
      </right>
      <top style="thin">
        <color auto="1"/>
      </top>
      <bottom/>
    </border>
    <border>
      <left style="thin">
        <color auto="1"/>
      </left>
      <right style="thin">
        <color auto="1"/>
      </right>
      <top/>
      <bottom/>
    </border>
    <border>
      <left style="thin">
        <color auto="1"/>
      </left>
      <right style="thin">
        <color auto="1"/>
      </right>
      <top/>
      <bottom style="thin">
        <color auto="1"/>
      </bottom>
    </border>
    <border>
      <left/>
      <right style="thin">
        <color auto="1"/>
      </right>
      <top/>
      <bottom style="medium">
        <color theme="4" tint="0.399980008602142"/>
      </bottom>
    </border>
    <border>
      <left style="thin">
        <color rgb="FF7F7F7F"/>
      </left>
      <right style="thin">
        <color auto="1"/>
      </right>
      <top style="thin">
        <color rgb="FF7F7F7F"/>
      </top>
      <bottom style="thin">
        <color rgb="FF7F7F7F"/>
      </bottom>
    </border>
    <border>
      <left/>
      <right style="thin">
        <color rgb="FF7F7F7F"/>
      </right>
      <top style="thin">
        <color rgb="FF7F7F7F"/>
      </top>
      <bottom style="thin">
        <color rgb="FF7F7F7F"/>
      </bottom>
    </border>
    <border>
      <left/>
      <right style="thin">
        <color auto="1"/>
      </right>
      <top style="thin">
        <color rgb="FF7F7F7F"/>
      </top>
      <bottom/>
    </border>
    <border>
      <left/>
      <right style="thin">
        <color auto="1"/>
      </right>
      <top/>
      <bottom style="medium">
        <color theme="3" tint="0.599929988384247"/>
      </bottom>
    </border>
    <border>
      <left style="thin">
        <color auto="1"/>
      </left>
      <right/>
      <top style="thin">
        <color auto="1"/>
      </top>
      <bottom style="thin">
        <color auto="1"/>
      </bottom>
    </border>
    <border>
      <left style="thick">
        <color rgb="FF7030A0"/>
      </left>
      <right/>
      <top style="thick">
        <color rgb="FF7030A0"/>
      </top>
      <bottom/>
    </border>
    <border>
      <left/>
      <right/>
      <top style="thick">
        <color rgb="FF7030A0"/>
      </top>
      <bottom/>
    </border>
    <border>
      <left/>
      <right style="thick">
        <color rgb="FF7030A0"/>
      </right>
      <top style="thick">
        <color rgb="FF7030A0"/>
      </top>
      <bottom/>
    </border>
    <border>
      <left style="thick">
        <color rgb="FF7030A0"/>
      </left>
      <right/>
      <top/>
      <bottom/>
    </border>
    <border>
      <left/>
      <right style="thick">
        <color rgb="FF7030A0"/>
      </right>
      <top/>
      <bottom/>
    </border>
    <border>
      <left style="thick">
        <color rgb="FF7030A0"/>
      </left>
      <right/>
      <top/>
      <bottom style="thick">
        <color rgb="FF7030A0"/>
      </bottom>
    </border>
    <border>
      <left/>
      <right/>
      <top/>
      <bottom style="thick">
        <color rgb="FF7030A0"/>
      </bottom>
    </border>
    <border>
      <left style="thin">
        <color rgb="FF7F7F7F"/>
      </left>
      <right style="thin">
        <color rgb="FF7F7F7F"/>
      </right>
      <top style="thin">
        <color rgb="FF7F7F7F"/>
      </top>
      <bottom/>
    </border>
    <border>
      <left style="thin">
        <color rgb="FF7F7F7F"/>
      </left>
      <right style="thin">
        <color rgb="FF7F7F7F"/>
      </right>
      <top/>
      <bottom style="thin">
        <color rgb="FF7F7F7F"/>
      </bottom>
    </border>
    <border>
      <left/>
      <right style="thick">
        <color rgb="FF7030A0"/>
      </right>
      <top/>
      <bottom style="thick">
        <color rgb="FF7030A0"/>
      </bottom>
    </border>
    <border>
      <left style="medium">
        <color auto="1"/>
      </left>
      <right/>
      <top style="medium">
        <color auto="1"/>
      </top>
      <bottom/>
    </border>
    <border>
      <left/>
      <right/>
      <top style="medium">
        <color auto="1"/>
      </top>
      <bottom/>
    </border>
    <border>
      <left/>
      <right style="medium">
        <color auto="1"/>
      </right>
      <top style="medium">
        <color auto="1"/>
      </top>
      <bottom/>
    </border>
    <border>
      <left style="medium">
        <color auto="1"/>
      </left>
      <right/>
      <top/>
      <bottom/>
    </border>
    <border>
      <left/>
      <right style="medium">
        <color auto="1"/>
      </right>
      <top/>
      <bottom/>
    </border>
    <border>
      <left style="medium">
        <color auto="1"/>
      </left>
      <right/>
      <top/>
      <bottom style="medium">
        <color auto="1"/>
      </bottom>
    </border>
    <border>
      <left/>
      <right style="medium">
        <color auto="1"/>
      </right>
      <top/>
      <bottom style="medium">
        <color auto="1"/>
      </bottom>
    </border>
    <border>
      <left/>
      <right/>
      <top style="thin">
        <color rgb="FF7F7F7F"/>
      </top>
      <bottom style="thin">
        <color rgb="FF7F7F7F"/>
      </bottom>
    </border>
    <border>
      <left/>
      <right/>
      <top style="thin">
        <color rgb="FF7F7F7F"/>
      </top>
      <bottom style="thick">
        <color rgb="FF7030A0"/>
      </bottom>
    </border>
    <border>
      <left style="medium">
        <color auto="1"/>
      </left>
      <right style="medium">
        <color auto="1"/>
      </right>
      <top style="medium">
        <color auto="1"/>
      </top>
      <bottom/>
    </border>
    <border>
      <left style="medium">
        <color auto="1"/>
      </left>
      <right style="medium">
        <color auto="1"/>
      </right>
      <top style="thin">
        <color rgb="FF7F7F7F"/>
      </top>
      <bottom style="medium">
        <color auto="1"/>
      </bottom>
    </border>
  </borders>
  <cellStyleXfs count="4450">
    <xf numFmtId="0"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0"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167" fontId="0" fillId="0" borderId="0" applyFont="0" applyFill="0" applyBorder="0" applyAlignment="0" applyProtection="0"/>
    <xf numFmtId="41" fontId="1" fillId="0" borderId="0" applyFont="0" applyFill="0" applyBorder="0" applyAlignment="0" applyProtection="0"/>
    <xf numFmtId="0" fontId="3" fillId="0" borderId="0" applyNumberFormat="0" applyFont="0" applyFill="0" applyBorder="0" applyProtection="0">
      <alignment horizontal="left" vertical="center" indent="5"/>
    </xf>
    <xf numFmtId="4" fontId="7" fillId="2" borderId="1">
      <alignment horizontal="right" vertical="center"/>
      <protection/>
    </xf>
    <xf numFmtId="0" fontId="16" fillId="3" borderId="0" applyNumberFormat="0" applyBorder="0" applyAlignment="0" applyProtection="0"/>
    <xf numFmtId="0" fontId="16" fillId="3" borderId="0" applyNumberFormat="0" applyBorder="0" applyAlignment="0" applyProtection="0"/>
    <xf numFmtId="0" fontId="17" fillId="0" borderId="0" applyNumberFormat="0" applyFill="0" applyBorder="0" applyAlignment="0" applyProtection="0"/>
    <xf numFmtId="0" fontId="18" fillId="4" borderId="2" applyNumberFormat="0" applyAlignment="0" applyProtection="0"/>
    <xf numFmtId="168" fontId="5" fillId="0" borderId="0" applyFill="0" applyBorder="0" applyAlignment="0" applyProtection="0"/>
    <xf numFmtId="168" fontId="5" fillId="0" borderId="0" applyFill="0" applyBorder="0" applyAlignment="0" applyProtection="0"/>
    <xf numFmtId="164" fontId="3" fillId="0" borderId="0" applyFont="0" applyFill="0" applyBorder="0" applyAlignment="0" applyProtection="0"/>
    <xf numFmtId="167" fontId="3" fillId="0" borderId="0" applyFont="0" applyFill="0" applyBorder="0" applyAlignment="0" applyProtection="0"/>
    <xf numFmtId="164" fontId="3" fillId="0" borderId="0" applyFont="0" applyFill="0" applyBorder="0" applyAlignment="0" applyProtection="0"/>
    <xf numFmtId="0" fontId="6" fillId="0" borderId="0" applyNumberFormat="0">
      <alignment horizontal="right"/>
      <protection/>
    </xf>
    <xf numFmtId="0" fontId="3" fillId="0" borderId="3">
      <alignment/>
      <protection/>
    </xf>
    <xf numFmtId="169" fontId="19" fillId="0" borderId="0">
      <alignment/>
      <protection/>
    </xf>
    <xf numFmtId="0" fontId="2" fillId="0" borderId="0">
      <alignment/>
      <protection/>
    </xf>
    <xf numFmtId="170" fontId="20" fillId="0" borderId="0">
      <alignment/>
      <protection/>
    </xf>
    <xf numFmtId="0" fontId="21" fillId="0" borderId="0" applyNumberFormat="0" applyFill="0" applyBorder="0" applyProtection="0">
      <alignment/>
    </xf>
    <xf numFmtId="0" fontId="21" fillId="0" borderId="0" applyNumberFormat="0" applyFill="0" applyBorder="0" applyProtection="0">
      <alignment/>
    </xf>
    <xf numFmtId="0" fontId="22" fillId="0" borderId="0">
      <alignment horizontal="center"/>
      <protection/>
    </xf>
    <xf numFmtId="0" fontId="23" fillId="0" borderId="4" applyNumberFormat="0" applyFill="0" applyAlignment="0" applyProtection="0"/>
    <xf numFmtId="0" fontId="24" fillId="0" borderId="5" applyNumberFormat="0" applyFill="0" applyAlignment="0" applyProtection="0"/>
    <xf numFmtId="0" fontId="24" fillId="0" borderId="5" applyNumberFormat="0" applyFill="0" applyAlignment="0" applyProtection="0"/>
    <xf numFmtId="0" fontId="24" fillId="0" borderId="0" applyNumberFormat="0" applyFill="0" applyBorder="0" applyAlignment="0" applyProtection="0"/>
    <xf numFmtId="0" fontId="22" fillId="0" borderId="0">
      <alignment horizontal="center" textRotation="90"/>
      <protection/>
    </xf>
    <xf numFmtId="0" fontId="4" fillId="0" borderId="0" applyNumberFormat="0" applyFill="0" applyBorder="0" applyAlignment="0" applyProtection="0"/>
    <xf numFmtId="0" fontId="25" fillId="0" borderId="0" applyNumberFormat="0" applyFill="0" applyBorder="0">
      <alignment/>
      <protection locked="0"/>
    </xf>
    <xf numFmtId="0" fontId="26" fillId="5" borderId="2" applyNumberFormat="0" applyAlignment="0" applyProtection="0"/>
    <xf numFmtId="0" fontId="26" fillId="5" borderId="2" applyNumberFormat="0" applyAlignment="0" applyProtection="0"/>
    <xf numFmtId="0" fontId="27" fillId="0" borderId="0" applyNumberFormat="0" applyFill="0" applyBorder="0" applyAlignment="0" applyProtection="0"/>
    <xf numFmtId="0" fontId="28" fillId="6" borderId="0" applyNumberFormat="0" applyBorder="0" applyAlignment="0" applyProtection="0"/>
    <xf numFmtId="0" fontId="0" fillId="0" borderId="0">
      <alignment/>
      <protection/>
    </xf>
    <xf numFmtId="0" fontId="2" fillId="0" borderId="0">
      <alignment/>
      <protection/>
    </xf>
    <xf numFmtId="0" fontId="3" fillId="0" borderId="0">
      <alignment/>
      <protection/>
    </xf>
    <xf numFmtId="0" fontId="3" fillId="0" borderId="0">
      <alignment/>
      <protection/>
    </xf>
    <xf numFmtId="0" fontId="29" fillId="0" borderId="0">
      <alignment/>
      <protection/>
    </xf>
    <xf numFmtId="0" fontId="3" fillId="0" borderId="0">
      <alignment/>
      <protection/>
    </xf>
    <xf numFmtId="0" fontId="0" fillId="0" borderId="0">
      <alignment/>
      <protection/>
    </xf>
    <xf numFmtId="0" fontId="3" fillId="0" borderId="0">
      <alignment/>
      <protection/>
    </xf>
    <xf numFmtId="0" fontId="0" fillId="0" borderId="0">
      <alignment/>
      <protection/>
    </xf>
    <xf numFmtId="0" fontId="30" fillId="0" borderId="0">
      <alignment/>
      <protection/>
    </xf>
    <xf numFmtId="0" fontId="3" fillId="0" borderId="0">
      <alignment/>
      <protection/>
    </xf>
    <xf numFmtId="0" fontId="3" fillId="7" borderId="0" applyNumberFormat="0" applyFont="0" applyBorder="0" applyAlignment="0" applyProtection="0"/>
    <xf numFmtId="0" fontId="3" fillId="0" borderId="0">
      <alignment/>
      <protection/>
    </xf>
    <xf numFmtId="0" fontId="0" fillId="8" borderId="6" applyNumberFormat="0" applyFont="0" applyAlignment="0" applyProtection="0"/>
    <xf numFmtId="9" fontId="2" fillId="0" borderId="0" applyFill="0" applyBorder="0" applyAlignment="0" applyProtection="0"/>
    <xf numFmtId="9" fontId="3"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3" fillId="0" borderId="0" applyFont="0" applyFill="0" applyBorder="0" applyAlignment="0" applyProtection="0"/>
    <xf numFmtId="9" fontId="30" fillId="0" borderId="0" applyFont="0" applyFill="0" applyBorder="0" applyAlignment="0" applyProtection="0"/>
    <xf numFmtId="0" fontId="31" fillId="0" borderId="0">
      <alignment/>
      <protection/>
    </xf>
    <xf numFmtId="171" fontId="31" fillId="0" borderId="0">
      <alignment/>
      <protection/>
    </xf>
    <xf numFmtId="0" fontId="7" fillId="0" borderId="0">
      <alignment/>
      <protection/>
    </xf>
    <xf numFmtId="0" fontId="0" fillId="0" borderId="0">
      <alignment/>
      <protection/>
    </xf>
    <xf numFmtId="0" fontId="42" fillId="0" borderId="7" applyNumberFormat="0" applyFill="0" applyAlignment="0" applyProtection="0"/>
    <xf numFmtId="0" fontId="46" fillId="0" borderId="0">
      <alignment/>
      <protection/>
    </xf>
    <xf numFmtId="0" fontId="48" fillId="0" borderId="7" applyNumberFormat="0" applyFill="0" applyAlignment="0" applyProtection="0"/>
    <xf numFmtId="179" fontId="49" fillId="0" borderId="0" applyFont="0" applyFill="0" applyBorder="0" applyAlignment="0" applyProtection="0"/>
    <xf numFmtId="0" fontId="0" fillId="0" borderId="0">
      <alignment/>
      <protection/>
    </xf>
    <xf numFmtId="0" fontId="46" fillId="0" borderId="0">
      <alignment/>
      <protection/>
    </xf>
    <xf numFmtId="0" fontId="3" fillId="9" borderId="8" applyNumberFormat="0" applyFont="0" applyAlignment="0">
      <protection/>
    </xf>
    <xf numFmtId="9" fontId="0" fillId="0" borderId="0" applyFont="0" applyFill="0" applyBorder="0" applyAlignment="0" applyProtection="0"/>
    <xf numFmtId="0" fontId="0" fillId="0" borderId="0">
      <alignment/>
      <protection/>
    </xf>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51" fillId="13"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51" fillId="13"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51"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Protection="0">
      <alignment/>
    </xf>
    <xf numFmtId="0" fontId="50" fillId="19" borderId="0" applyNumberFormat="0" applyBorder="0" applyProtection="0">
      <alignment/>
    </xf>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2" fillId="31"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2" fillId="33"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2" fillId="34"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2" fillId="35"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37"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2" fillId="39"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41"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43"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45"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45" fillId="47" borderId="0" applyNumberFormat="0" applyBorder="0" applyAlignment="0" applyProtection="0"/>
    <xf numFmtId="0" fontId="54" fillId="36" borderId="0" applyNumberFormat="0" applyBorder="0" applyAlignment="0" applyProtection="0"/>
    <xf numFmtId="0" fontId="54" fillId="36" borderId="0" applyNumberFormat="0" applyBorder="0" applyAlignment="0" applyProtection="0"/>
    <xf numFmtId="0" fontId="55" fillId="36" borderId="0" applyNumberFormat="0" applyBorder="0" applyAlignment="0" applyProtection="0"/>
    <xf numFmtId="0" fontId="52" fillId="47"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4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45" fillId="49"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5" fillId="50" borderId="0" applyNumberFormat="0" applyBorder="0" applyAlignment="0" applyProtection="0"/>
    <xf numFmtId="0" fontId="52" fillId="49"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3" fillId="51" borderId="9"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7"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8" fillId="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11" fillId="52" borderId="8"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7" fillId="0" borderId="0" applyNumberFormat="0" applyFill="0" applyBorder="0" applyAlignment="0" applyProtection="0"/>
    <xf numFmtId="0" fontId="60"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18" fillId="4" borderId="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3" fillId="53" borderId="12" applyNumberFormat="0" applyAlignment="0" applyProtection="0"/>
    <xf numFmtId="0" fontId="18" fillId="4" borderId="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3" fillId="53" borderId="12" applyNumberFormat="0" applyAlignment="0" applyProtection="0"/>
    <xf numFmtId="0" fontId="64" fillId="4" borderId="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6" fillId="54" borderId="13"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65" fontId="46" fillId="0" borderId="0" applyFont="0" applyFill="0" applyBorder="0" applyAlignment="0" applyProtection="0"/>
    <xf numFmtId="165" fontId="69" fillId="0" borderId="0" applyFont="0" applyFill="0" applyBorder="0" applyAlignment="0" applyProtection="0"/>
    <xf numFmtId="165" fontId="69" fillId="0" borderId="0" applyFont="0" applyFill="0" applyBorder="0" applyAlignment="0" applyProtection="0"/>
    <xf numFmtId="182" fontId="46"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82" fontId="46"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3" fillId="0" borderId="0" applyFont="0" applyFill="0" applyBorder="0" applyAlignment="0" applyProtection="0"/>
    <xf numFmtId="168" fontId="5" fillId="0" borderId="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82" fontId="46"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82" fontId="70" fillId="0" borderId="0" applyFont="0" applyFill="0" applyBorder="0" applyProtection="0">
      <alignment/>
    </xf>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71" fillId="0" borderId="0" applyFont="0" applyFill="0" applyBorder="0" applyAlignment="0" applyProtection="0"/>
    <xf numFmtId="164" fontId="3" fillId="0" borderId="0" applyFont="0" applyFill="0" applyBorder="0" applyAlignment="0" applyProtection="0"/>
    <xf numFmtId="164" fontId="71"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2"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4" fontId="0" fillId="0" borderId="0" applyFont="0" applyFill="0" applyBorder="0" applyAlignment="0" applyProtection="0"/>
    <xf numFmtId="167" fontId="0" fillId="0" borderId="0" applyFont="0" applyFill="0" applyBorder="0" applyAlignment="0" applyProtection="0"/>
    <xf numFmtId="164"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4" fontId="3"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3" fontId="72" fillId="0" borderId="0" applyFont="0" applyFill="0" applyBorder="0" applyAlignment="0" applyProtection="0"/>
    <xf numFmtId="183" fontId="46"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4" fontId="3" fillId="0" borderId="0" applyFont="0" applyFill="0" applyBorder="0" applyAlignment="0" applyProtection="0"/>
    <xf numFmtId="171" fontId="72" fillId="0" borderId="0" applyFont="0" applyFill="0" applyBorder="0" applyAlignment="0" applyProtection="0"/>
    <xf numFmtId="0" fontId="2" fillId="0" borderId="0">
      <alignment/>
      <protection/>
    </xf>
    <xf numFmtId="169" fontId="19" fillId="0" borderId="0">
      <alignment/>
      <protection/>
    </xf>
    <xf numFmtId="169" fontId="73" fillId="0" borderId="0">
      <alignment/>
      <protection/>
    </xf>
    <xf numFmtId="169" fontId="73" fillId="0" borderId="0">
      <alignment/>
      <protection/>
    </xf>
    <xf numFmtId="169" fontId="73" fillId="0" borderId="0">
      <alignment/>
      <protection/>
    </xf>
    <xf numFmtId="0" fontId="74"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7"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171" fontId="78" fillId="0" borderId="0">
      <alignment/>
      <protection locked="0"/>
    </xf>
    <xf numFmtId="171" fontId="78" fillId="0" borderId="0">
      <alignment/>
      <protection locked="0"/>
    </xf>
    <xf numFmtId="171" fontId="79" fillId="0" borderId="0">
      <alignment/>
      <protection locked="0"/>
    </xf>
    <xf numFmtId="171" fontId="78" fillId="0" borderId="0">
      <alignment/>
      <protection locked="0"/>
    </xf>
    <xf numFmtId="171" fontId="78" fillId="0" borderId="0">
      <alignment/>
      <protection locked="0"/>
    </xf>
    <xf numFmtId="171" fontId="78" fillId="0" borderId="0">
      <alignment/>
      <protection locked="0"/>
    </xf>
    <xf numFmtId="171" fontId="79" fillId="0" borderId="0">
      <alignment/>
      <protection locked="0"/>
    </xf>
    <xf numFmtId="2" fontId="72" fillId="0" borderId="0" applyFon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43" fillId="55" borderId="0" applyNumberFormat="0" applyBorder="0" applyAlignment="0" applyProtection="0"/>
    <xf numFmtId="0" fontId="43" fillId="55"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3" fillId="5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5" fillId="0" borderId="15" applyNumberFormat="0" applyProtection="0">
      <alignment/>
    </xf>
    <xf numFmtId="0" fontId="85" fillId="0" borderId="15" applyNumberFormat="0" applyProtection="0">
      <alignment/>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0" fontId="42" fillId="0" borderId="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8" fillId="0" borderId="17" applyNumberFormat="0" applyFill="0" applyAlignment="0" applyProtection="0"/>
    <xf numFmtId="0" fontId="42" fillId="0" borderId="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23" fillId="0" borderId="4" applyNumberFormat="0" applyFill="0" applyAlignment="0" applyProtection="0"/>
    <xf numFmtId="0" fontId="90"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2" fillId="0" borderId="18" applyNumberFormat="0" applyFill="0" applyAlignment="0" applyProtection="0"/>
    <xf numFmtId="0" fontId="23"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3" fillId="0" borderId="4"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24" fillId="0" borderId="5"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96" fillId="0" borderId="5"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24" fillId="0" borderId="0" applyNumberFormat="0" applyFill="0" applyBorder="0" applyAlignment="0" applyProtection="0"/>
    <xf numFmtId="0" fontId="98"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5"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22" fillId="0" borderId="0">
      <alignment horizontal="center"/>
      <protection/>
    </xf>
    <xf numFmtId="0" fontId="99" fillId="0" borderId="0">
      <alignment horizontal="center"/>
      <protection/>
    </xf>
    <xf numFmtId="0" fontId="22" fillId="0" borderId="0">
      <alignment horizontal="center" textRotation="90"/>
      <protection/>
    </xf>
    <xf numFmtId="0" fontId="99" fillId="0" borderId="0">
      <alignment horizontal="center" textRotation="90"/>
      <protection/>
    </xf>
    <xf numFmtId="0" fontId="99" fillId="0" borderId="0">
      <alignment horizontal="center" textRotation="90"/>
      <protection/>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3" fillId="0" borderId="0" applyNumberFormat="0" applyFill="0" applyBorder="0">
      <alignment/>
      <protection locked="0"/>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25" fillId="0" borderId="0" applyNumberFormat="0" applyFill="0" applyBorder="0">
      <alignment/>
      <protection locked="0"/>
    </xf>
    <xf numFmtId="0" fontId="103" fillId="0" borderId="0" applyNumberFormat="0" applyFill="0" applyBorder="0">
      <alignment/>
      <protection locked="0"/>
    </xf>
    <xf numFmtId="0" fontId="103" fillId="0" borderId="0" applyNumberFormat="0" applyFill="0" applyBorder="0">
      <alignment/>
      <protection locked="0"/>
    </xf>
    <xf numFmtId="0" fontId="25" fillId="0" borderId="0" applyNumberFormat="0" applyFill="0" applyBorder="0">
      <alignment/>
      <protection locked="0"/>
    </xf>
    <xf numFmtId="0" fontId="103" fillId="0" borderId="0" applyNumberFormat="0" applyFill="0" applyBorder="0">
      <alignment/>
      <protection locked="0"/>
    </xf>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4" fillId="0" borderId="0" applyNumberFormat="0" applyFill="0" applyBorder="0">
      <alignment/>
      <protection locked="0"/>
    </xf>
    <xf numFmtId="0" fontId="104" fillId="0" borderId="0" applyNumberFormat="0" applyFill="0" applyBorder="0">
      <alignment/>
      <protection locked="0"/>
    </xf>
    <xf numFmtId="0" fontId="104" fillId="0" borderId="0" applyNumberFormat="0" applyFill="0" applyBorder="0">
      <alignment/>
      <protection locked="0"/>
    </xf>
    <xf numFmtId="0" fontId="105" fillId="0" borderId="0" applyNumberFormat="0" applyFill="0" applyBorder="0">
      <alignment/>
      <protection locked="0"/>
    </xf>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108" fillId="5" borderId="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56" borderId="20" applyNumberFormat="0" applyFont="0" applyAlignment="0">
      <protection/>
    </xf>
    <xf numFmtId="0" fontId="3" fillId="57" borderId="20"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26" borderId="0" applyNumberFormat="0" applyFont="0" applyBorder="0" applyAlignment="0" applyProtection="0"/>
    <xf numFmtId="0" fontId="27" fillId="0" borderId="0" applyNumberFormat="0" applyFill="0" applyBorder="0" applyAlignment="0" applyProtection="0"/>
    <xf numFmtId="0" fontId="109"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1" fillId="0" borderId="22"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28" fillId="6"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114" fillId="58" borderId="0" applyNumberFormat="0" applyBorder="0" applyAlignment="0" applyProtection="0"/>
    <xf numFmtId="0" fontId="28" fillId="6"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114" fillId="58" borderId="0" applyNumberFormat="0" applyBorder="0" applyAlignment="0" applyProtection="0"/>
    <xf numFmtId="0" fontId="115" fillId="6"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0" fontId="116" fillId="58" borderId="0" applyNumberFormat="0" applyBorder="0" applyAlignment="0" applyProtection="0"/>
    <xf numFmtId="178" fontId="117"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3" fillId="0" borderId="0">
      <alignment/>
      <protection/>
    </xf>
    <xf numFmtId="0" fontId="69" fillId="0" borderId="0">
      <alignment/>
      <protection/>
    </xf>
    <xf numFmtId="0" fontId="69" fillId="0" borderId="0">
      <alignment/>
      <protection/>
    </xf>
    <xf numFmtId="0" fontId="7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3" fillId="0" borderId="0">
      <alignment/>
      <protection/>
    </xf>
    <xf numFmtId="0"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46"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69" fillId="0" borderId="0">
      <alignment/>
      <protection/>
    </xf>
    <xf numFmtId="0" fontId="69" fillId="0" borderId="0">
      <alignment/>
      <protection/>
    </xf>
    <xf numFmtId="0" fontId="7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29" fillId="0" borderId="0">
      <alignment/>
      <protection/>
    </xf>
    <xf numFmtId="0" fontId="1" fillId="0" borderId="0">
      <alignment/>
      <protection/>
    </xf>
    <xf numFmtId="180" fontId="3"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180" fontId="3" fillId="0" borderId="0">
      <alignment/>
      <protection/>
    </xf>
    <xf numFmtId="180" fontId="3" fillId="0" borderId="0">
      <alignment/>
      <protection/>
    </xf>
    <xf numFmtId="180" fontId="3" fillId="0" borderId="0">
      <alignment/>
      <protection/>
    </xf>
    <xf numFmtId="180" fontId="3" fillId="0" borderId="0">
      <alignment/>
      <protection/>
    </xf>
    <xf numFmtId="0" fontId="50"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180" fontId="3" fillId="0" borderId="0">
      <alignment/>
      <protection/>
    </xf>
    <xf numFmtId="0" fontId="118" fillId="0" borderId="0">
      <alignment/>
      <protection/>
    </xf>
    <xf numFmtId="0" fontId="118" fillId="0" borderId="0">
      <alignment/>
      <protection/>
    </xf>
    <xf numFmtId="0" fontId="118" fillId="0" borderId="0">
      <alignment/>
      <protection/>
    </xf>
    <xf numFmtId="0" fontId="2" fillId="0" borderId="0">
      <alignment/>
      <protection/>
    </xf>
    <xf numFmtId="0" fontId="3" fillId="0" borderId="0">
      <alignment vertical="center"/>
      <protection/>
    </xf>
    <xf numFmtId="171" fontId="3" fillId="0" borderId="0">
      <alignment vertical="center"/>
      <protection/>
    </xf>
    <xf numFmtId="171" fontId="3" fillId="0" borderId="0">
      <alignment/>
      <protection/>
    </xf>
    <xf numFmtId="0" fontId="29" fillId="0" borderId="0">
      <alignment/>
      <protection/>
    </xf>
    <xf numFmtId="0" fontId="29" fillId="0" borderId="0">
      <alignment/>
      <protection/>
    </xf>
    <xf numFmtId="171"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5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3" fillId="0" borderId="0">
      <alignment/>
      <protection/>
    </xf>
    <xf numFmtId="0" fontId="3" fillId="0" borderId="0">
      <alignment/>
      <protection/>
    </xf>
    <xf numFmtId="0" fontId="3"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70" fillId="0" borderId="0">
      <alignment vertical="center"/>
      <protection/>
    </xf>
    <xf numFmtId="171" fontId="70" fillId="0" borderId="0">
      <alignment vertical="center"/>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2"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180" fontId="0" fillId="0" borderId="0">
      <alignment/>
      <protection/>
    </xf>
    <xf numFmtId="18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5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0" fillId="0" borderId="0">
      <alignment/>
      <protection/>
    </xf>
    <xf numFmtId="0" fontId="2" fillId="0" borderId="0">
      <alignment/>
      <protection/>
    </xf>
    <xf numFmtId="0" fontId="0" fillId="0" borderId="0">
      <alignment/>
      <protection/>
    </xf>
    <xf numFmtId="0" fontId="0" fillId="0" borderId="0">
      <alignment/>
      <protection/>
    </xf>
    <xf numFmtId="0" fontId="0" fillId="0" borderId="0">
      <alignment/>
      <protection/>
    </xf>
    <xf numFmtId="171" fontId="46"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180" fontId="0" fillId="0" borderId="0">
      <alignment/>
      <protection/>
    </xf>
    <xf numFmtId="0" fontId="30" fillId="0" borderId="0">
      <alignment/>
      <protection/>
    </xf>
    <xf numFmtId="0" fontId="119" fillId="0" borderId="0">
      <alignment/>
      <protection/>
    </xf>
    <xf numFmtId="0" fontId="119" fillId="0" borderId="0">
      <alignment/>
      <protection/>
    </xf>
    <xf numFmtId="0" fontId="120"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171" fontId="0" fillId="0" borderId="0">
      <alignment/>
      <protection/>
    </xf>
    <xf numFmtId="171" fontId="0" fillId="0" borderId="0">
      <alignment/>
      <protection/>
    </xf>
    <xf numFmtId="0" fontId="0" fillId="0" borderId="0">
      <alignment/>
      <protection/>
    </xf>
    <xf numFmtId="0" fontId="0" fillId="0" borderId="0">
      <alignment/>
      <protection/>
    </xf>
    <xf numFmtId="0" fontId="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3" fillId="0" borderId="0">
      <alignment/>
      <protection/>
    </xf>
    <xf numFmtId="0" fontId="3" fillId="0" borderId="0">
      <alignment/>
      <protection/>
    </xf>
    <xf numFmtId="0" fontId="3" fillId="0" borderId="0">
      <alignment/>
      <protection/>
    </xf>
    <xf numFmtId="0" fontId="3" fillId="0" borderId="0">
      <alignment/>
      <protection/>
    </xf>
    <xf numFmtId="0" fontId="3" fillId="0" borderId="0">
      <alignment/>
      <protection/>
    </xf>
    <xf numFmtId="0" fontId="0" fillId="0" borderId="0">
      <alignment/>
      <protection/>
    </xf>
    <xf numFmtId="180" fontId="0" fillId="0" borderId="0">
      <alignment/>
      <protection/>
    </xf>
    <xf numFmtId="180" fontId="0" fillId="0" borderId="0">
      <alignment/>
      <protection/>
    </xf>
    <xf numFmtId="0" fontId="3" fillId="0" borderId="0">
      <alignment/>
      <protection/>
    </xf>
    <xf numFmtId="0" fontId="2" fillId="0" borderId="0">
      <alignment/>
      <protection/>
    </xf>
    <xf numFmtId="0" fontId="2"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0" fillId="0" borderId="0">
      <alignment/>
      <protection/>
    </xf>
    <xf numFmtId="0" fontId="50" fillId="0" borderId="0">
      <alignment/>
      <protection/>
    </xf>
    <xf numFmtId="180" fontId="0" fillId="0" borderId="0">
      <alignment/>
      <protection/>
    </xf>
    <xf numFmtId="180" fontId="0" fillId="0" borderId="0">
      <alignment/>
      <protection/>
    </xf>
    <xf numFmtId="180" fontId="0" fillId="0" borderId="0">
      <alignment/>
      <protection/>
    </xf>
    <xf numFmtId="0" fontId="50" fillId="0" borderId="0">
      <alignment/>
      <protection/>
    </xf>
    <xf numFmtId="171"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171" fontId="0" fillId="0" borderId="0">
      <alignment/>
      <protection/>
    </xf>
    <xf numFmtId="171" fontId="0" fillId="0" borderId="0">
      <alignment/>
      <protection/>
    </xf>
    <xf numFmtId="171"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69" fillId="0" borderId="0">
      <alignment vertical="center"/>
      <protection/>
    </xf>
    <xf numFmtId="171" fontId="69" fillId="0" borderId="0">
      <alignment vertical="center"/>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1" fillId="8" borderId="6" applyNumberFormat="0" applyFont="0" applyAlignment="0" applyProtection="0"/>
    <xf numFmtId="0" fontId="3" fillId="8" borderId="6"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2" fillId="8" borderId="6"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1" fillId="8" borderId="6"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9"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9" borderId="24" applyNumberFormat="0" applyFont="0" applyAlignment="0" applyProtection="0"/>
    <xf numFmtId="0" fontId="121" fillId="0" borderId="0" applyNumberFormat="0" applyFill="0" applyBorder="0" applyAlignment="0" applyProtection="0"/>
    <xf numFmtId="0" fontId="122" fillId="0" borderId="0" applyNumberFormat="0" applyFill="0" applyBorder="0" applyProtection="0">
      <alignment/>
    </xf>
    <xf numFmtId="0" fontId="122" fillId="0" borderId="0" applyNumberFormat="0" applyFill="0" applyBorder="0" applyProtection="0">
      <alignment/>
    </xf>
    <xf numFmtId="0" fontId="123" fillId="0" borderId="0" applyNumberFormat="0" applyFill="0" applyBorder="0" applyAlignment="0" applyProtection="0"/>
    <xf numFmtId="0" fontId="123" fillId="0" borderId="0" applyNumberFormat="0" applyFill="0" applyBorder="0" applyAlignment="0" applyProtection="0"/>
    <xf numFmtId="0" fontId="122" fillId="0" borderId="0" applyNumberFormat="0" applyFill="0" applyBorder="0" applyAlignment="0" applyProtection="0"/>
    <xf numFmtId="0" fontId="44" fillId="4" borderId="25" applyNumberFormat="0" applyAlignment="0" applyProtection="0"/>
    <xf numFmtId="0" fontId="44" fillId="4" borderId="25"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5"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5" fillId="53" borderId="26" applyNumberFormat="0" applyAlignment="0" applyProtection="0"/>
    <xf numFmtId="0" fontId="126" fillId="4" borderId="25"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179" fontId="49"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2" fillId="0" borderId="0" applyFill="0" applyBorder="0" applyAlignment="0" applyProtection="0"/>
    <xf numFmtId="179" fontId="70" fillId="0" borderId="0" applyFont="0" applyFill="0" applyBorder="0" applyProtection="0">
      <alignment/>
    </xf>
    <xf numFmtId="179" fontId="128"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179" fontId="70" fillId="0" borderId="0" applyFont="0" applyFill="0" applyBorder="0" applyProtection="0">
      <alignment/>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3" fillId="0" borderId="0" applyFont="0" applyFill="0" applyBorder="0" applyAlignment="0" applyProtection="0"/>
    <xf numFmtId="9" fontId="71"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71" fillId="0" borderId="0" applyFont="0" applyFill="0" applyBorder="0" applyAlignment="0" applyProtection="0"/>
    <xf numFmtId="9" fontId="3" fillId="0" borderId="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2" fillId="0" borderId="0" applyFont="0" applyFill="0" applyBorder="0" applyAlignment="0" applyProtection="0"/>
    <xf numFmtId="9" fontId="119" fillId="0" borderId="0" applyFont="0" applyFill="0" applyBorder="0" applyAlignment="0" applyProtection="0"/>
    <xf numFmtId="9" fontId="119" fillId="0" borderId="0" applyFont="0" applyFill="0" applyBorder="0" applyAlignment="0" applyProtection="0"/>
    <xf numFmtId="9" fontId="0" fillId="0" borderId="0" applyFont="0" applyFill="0" applyBorder="0" applyAlignment="0" applyProtection="0"/>
    <xf numFmtId="9" fontId="3"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2"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31" fillId="0" borderId="0">
      <alignment/>
      <protection/>
    </xf>
    <xf numFmtId="0" fontId="129" fillId="0" borderId="0">
      <alignment/>
      <protection/>
    </xf>
    <xf numFmtId="0" fontId="129" fillId="0" borderId="0">
      <alignment/>
      <protection/>
    </xf>
    <xf numFmtId="171" fontId="129" fillId="0" borderId="0">
      <alignment/>
      <protection/>
    </xf>
    <xf numFmtId="171" fontId="129" fillId="0" borderId="0">
      <alignment/>
      <protection/>
    </xf>
    <xf numFmtId="171" fontId="129" fillId="0" borderId="0">
      <alignment/>
      <protection/>
    </xf>
    <xf numFmtId="171" fontId="3" fillId="0" borderId="0">
      <alignment/>
      <protection/>
    </xf>
    <xf numFmtId="0" fontId="130" fillId="0" borderId="0" applyFill="0" applyBorder="0">
      <alignment/>
      <protection/>
    </xf>
    <xf numFmtId="0" fontId="131" fillId="0" borderId="0" applyFill="0" applyBorder="0">
      <alignment/>
      <protection/>
    </xf>
    <xf numFmtId="0" fontId="131" fillId="0" borderId="0" applyFill="0" applyBorder="0">
      <alignment/>
      <protection/>
    </xf>
    <xf numFmtId="0" fontId="132" fillId="0" borderId="0" applyFill="0" applyBorder="0">
      <alignment/>
      <protection/>
    </xf>
    <xf numFmtId="0" fontId="47" fillId="0" borderId="27" applyNumberFormat="0">
      <alignment horizontal="left" vertical="center"/>
      <protection/>
    </xf>
    <xf numFmtId="0" fontId="133" fillId="0" borderId="0" applyNumberFormat="0" applyFill="0" applyBorder="0" applyProtection="0">
      <alignment/>
    </xf>
    <xf numFmtId="0" fontId="134" fillId="0" borderId="28"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71" fontId="136" fillId="0" borderId="0">
      <alignment vertical="top"/>
      <protection/>
    </xf>
    <xf numFmtId="0" fontId="137"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171" fontId="139" fillId="0" borderId="0">
      <alignment vertical="center"/>
      <protection/>
    </xf>
    <xf numFmtId="171" fontId="140" fillId="0" borderId="0">
      <alignment/>
      <protection/>
    </xf>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167" fontId="3" fillId="0" borderId="0" applyFont="0" applyFill="0" applyBorder="0" applyAlignment="0" applyProtection="0"/>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166" fontId="46" fillId="0" borderId="0" applyFont="0" applyFill="0" applyBorder="0" applyAlignment="0" applyProtection="0"/>
    <xf numFmtId="166" fontId="69" fillId="0" borderId="0" applyFont="0" applyFill="0" applyBorder="0" applyAlignment="0" applyProtection="0"/>
    <xf numFmtId="166" fontId="69"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3"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71" fillId="0" borderId="0" applyFont="0" applyFill="0" applyBorder="0" applyAlignment="0" applyProtection="0"/>
    <xf numFmtId="167" fontId="3" fillId="0" borderId="0" applyFont="0" applyFill="0" applyBorder="0" applyAlignment="0" applyProtection="0"/>
    <xf numFmtId="167" fontId="71" fillId="0" borderId="0" applyFont="0" applyFill="0" applyBorder="0" applyAlignment="0" applyProtection="0"/>
    <xf numFmtId="167"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0" fontId="3" fillId="59" borderId="24" applyNumberFormat="0" applyFont="0" applyAlignment="0" applyProtection="0"/>
    <xf numFmtId="0" fontId="3" fillId="59" borderId="24" applyNumberFormat="0" applyFont="0" applyAlignment="0" applyProtection="0"/>
    <xf numFmtId="0" fontId="3"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2"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50" fillId="59" borderId="24" applyNumberFormat="0" applyFon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4"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127" fillId="53" borderId="26"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5"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62" fillId="53" borderId="12" applyNumberFormat="0" applyAlignment="0" applyProtection="0"/>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167" fontId="0" fillId="0" borderId="0" applyFont="0" applyFill="0" applyBorder="0" applyAlignment="0" applyProtection="0"/>
    <xf numFmtId="167" fontId="0" fillId="0" borderId="0" applyFont="0" applyFill="0" applyBorder="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67" fontId="0" fillId="0" borderId="0" applyFont="0" applyFill="0" applyBorder="0" applyAlignment="0" applyProtection="0"/>
    <xf numFmtId="0" fontId="45" fillId="49" borderId="0" applyNumberFormat="0" applyBorder="0" applyAlignment="0" applyProtection="0"/>
    <xf numFmtId="0" fontId="49" fillId="0" borderId="0">
      <alignment/>
      <protection/>
    </xf>
    <xf numFmtId="0" fontId="0" fillId="60" borderId="0" applyNumberFormat="0" applyBorder="0" applyAlignment="0" applyProtection="0"/>
    <xf numFmtId="167" fontId="49" fillId="0" borderId="0" applyFont="0" applyFill="0" applyBorder="0" applyAlignment="0" applyProtection="0"/>
    <xf numFmtId="0" fontId="30" fillId="0" borderId="0">
      <alignment/>
      <protection/>
    </xf>
    <xf numFmtId="0" fontId="153" fillId="0" borderId="0">
      <alignment/>
      <protection/>
    </xf>
    <xf numFmtId="0" fontId="145" fillId="0" borderId="0" applyNumberFormat="0" applyFill="0" applyBorder="0" applyAlignment="0" applyProtection="0"/>
    <xf numFmtId="0" fontId="0" fillId="10" borderId="0" applyNumberFormat="0" applyBorder="0" applyAlignment="0" applyProtection="0"/>
    <xf numFmtId="0" fontId="0" fillId="12" borderId="0" applyNumberFormat="0" applyBorder="0" applyAlignment="0" applyProtection="0"/>
  </cellStyleXfs>
  <cellXfs count="365">
    <xf numFmtId="0" fontId="0" fillId="0" borderId="0" xfId="0"/>
    <xf numFmtId="0" fontId="162" fillId="0" borderId="0" xfId="0" applyFont="1" applyAlignment="1">
      <alignment horizontal="center"/>
    </xf>
    <xf numFmtId="0" fontId="0" fillId="0" borderId="0" xfId="0"/>
    <xf numFmtId="0" fontId="3" fillId="0" borderId="0" xfId="50" applyFont="1" applyAlignment="1">
      <alignment horizontal="left"/>
      <protection/>
    </xf>
    <xf numFmtId="0" fontId="24" fillId="0" borderId="5" xfId="40" applyAlignment="1">
      <alignment horizontal="left"/>
    </xf>
    <xf numFmtId="0" fontId="3" fillId="0" borderId="0" xfId="50" applyFont="1" applyAlignment="1">
      <alignment horizontal="left"/>
      <protection/>
    </xf>
    <xf numFmtId="0" fontId="24" fillId="0" borderId="5" xfId="40" applyAlignment="1">
      <alignment horizontal="left"/>
    </xf>
    <xf numFmtId="2" fontId="32" fillId="0" borderId="0" xfId="0" applyNumberFormat="1" applyFont="1"/>
    <xf numFmtId="0" fontId="32" fillId="0" borderId="0" xfId="0" applyFont="1"/>
    <xf numFmtId="2" fontId="0" fillId="0" borderId="0" xfId="0" applyNumberFormat="1"/>
    <xf numFmtId="0" fontId="34" fillId="0" borderId="0" xfId="0" applyFont="1"/>
    <xf numFmtId="1" fontId="0" fillId="0" borderId="0" xfId="0" applyNumberFormat="1"/>
    <xf numFmtId="173" fontId="0" fillId="0" borderId="0" xfId="0" applyNumberFormat="1"/>
    <xf numFmtId="3" fontId="0" fillId="0" borderId="0" xfId="0" applyNumberFormat="1"/>
    <xf numFmtId="0" fontId="16" fillId="3" borderId="0" xfId="22"/>
    <xf numFmtId="0" fontId="24" fillId="0" borderId="5" xfId="40"/>
    <xf numFmtId="0" fontId="10" fillId="0" borderId="0" xfId="52" applyFont="1">
      <alignment/>
      <protection/>
    </xf>
    <xf numFmtId="0" fontId="10" fillId="0" borderId="0" xfId="52" applyFont="1" applyAlignment="1">
      <alignment horizontal="center" wrapText="1"/>
      <protection/>
    </xf>
    <xf numFmtId="0" fontId="11" fillId="0" borderId="0" xfId="52" applyFont="1">
      <alignment/>
      <protection/>
    </xf>
    <xf numFmtId="0" fontId="3" fillId="0" borderId="0" xfId="0" applyFont="1" applyAlignment="1">
      <alignment horizontal="center"/>
    </xf>
    <xf numFmtId="0" fontId="36" fillId="0" borderId="0" xfId="0" applyFont="1"/>
    <xf numFmtId="0" fontId="37" fillId="0" borderId="0" xfId="0" applyFont="1"/>
    <xf numFmtId="174" fontId="0" fillId="0" borderId="0" xfId="0" applyNumberFormat="1"/>
    <xf numFmtId="0" fontId="3" fillId="0" borderId="0" xfId="0" applyFont="1" applyAlignment="1">
      <alignment horizontal="left"/>
    </xf>
    <xf numFmtId="0" fontId="0" fillId="0" borderId="0" xfId="0" applyAlignment="1">
      <alignment horizontal="center"/>
    </xf>
    <xf numFmtId="0" fontId="26" fillId="5" borderId="2" xfId="46"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6" fillId="5" borderId="2" xfId="46" applyNumberFormat="1"/>
    <xf numFmtId="0" fontId="0" fillId="0" borderId="0" xfId="0" quotePrefix="1"/>
    <xf numFmtId="175" fontId="0" fillId="0" borderId="0" xfId="0" applyNumberFormat="1"/>
    <xf numFmtId="0" fontId="23" fillId="0" borderId="4" xfId="39"/>
    <xf numFmtId="0" fontId="24" fillId="0" borderId="0" xfId="42"/>
    <xf numFmtId="11" fontId="0" fillId="0" borderId="30" xfId="0" applyNumberFormat="1" applyBorder="1"/>
    <xf numFmtId="0" fontId="0" fillId="0" borderId="30" xfId="0" applyBorder="1"/>
    <xf numFmtId="2" fontId="0" fillId="0" borderId="30" xfId="0" applyNumberFormat="1" applyBorder="1"/>
    <xf numFmtId="173" fontId="0" fillId="0" borderId="30" xfId="0" applyNumberFormat="1" applyBorder="1"/>
    <xf numFmtId="2" fontId="26" fillId="5" borderId="2" xfId="46" applyNumberFormat="1"/>
    <xf numFmtId="173" fontId="32" fillId="0" borderId="0" xfId="0" applyNumberFormat="1" applyFont="1"/>
    <xf numFmtId="172" fontId="26" fillId="5" borderId="2" xfId="46" applyNumberFormat="1"/>
    <xf numFmtId="2" fontId="26" fillId="8" borderId="6" xfId="63" applyNumberFormat="1" applyFont="1"/>
    <xf numFmtId="173" fontId="18" fillId="4" borderId="2" xfId="25" applyNumberFormat="1"/>
    <xf numFmtId="175" fontId="0" fillId="0" borderId="30" xfId="0" applyNumberFormat="1" applyBorder="1"/>
    <xf numFmtId="0" fontId="24" fillId="0" borderId="0" xfId="40" applyBorder="1"/>
    <xf numFmtId="0" fontId="35" fillId="0" borderId="0" xfId="40" applyFont="1" applyBorder="1"/>
    <xf numFmtId="0" fontId="24" fillId="0" borderId="5" xfId="40" applyAlignment="1">
      <alignment/>
    </xf>
    <xf numFmtId="2" fontId="36" fillId="0" borderId="0" xfId="0" applyNumberFormat="1" applyFont="1"/>
    <xf numFmtId="2" fontId="0" fillId="8" borderId="6" xfId="63" applyNumberFormat="1" applyFont="1"/>
    <xf numFmtId="172" fontId="0" fillId="0" borderId="0" xfId="15" applyNumberFormat="1" applyFont="1"/>
    <xf numFmtId="1" fontId="26" fillId="5" borderId="2" xfId="46" applyNumberFormat="1"/>
    <xf numFmtId="2" fontId="26" fillId="0" borderId="2" xfId="46" applyNumberFormat="1" applyFill="1"/>
    <xf numFmtId="9" fontId="26" fillId="0" borderId="2" xfId="46" applyNumberFormat="1" applyFill="1"/>
    <xf numFmtId="0" fontId="23" fillId="0" borderId="4" xfId="39" applyAlignment="1">
      <alignment horizontal="left"/>
    </xf>
    <xf numFmtId="1" fontId="26" fillId="8" borderId="6" xfId="63" applyNumberFormat="1" applyFont="1"/>
    <xf numFmtId="9" fontId="26" fillId="8" borderId="6" xfId="15" applyFont="1" applyFill="1" applyBorder="1"/>
    <xf numFmtId="9" fontId="26" fillId="5" borderId="2" xfId="15" applyFont="1" applyFill="1" applyBorder="1"/>
    <xf numFmtId="0" fontId="24" fillId="0" borderId="0" xfId="40" applyBorder="1" applyAlignment="1">
      <alignment horizontal="left"/>
    </xf>
    <xf numFmtId="9" fontId="33" fillId="5" borderId="2" xfId="46" applyNumberFormat="1" applyFont="1"/>
    <xf numFmtId="2" fontId="33" fillId="5" borderId="2" xfId="46" applyNumberFormat="1" applyFont="1"/>
    <xf numFmtId="172" fontId="33" fillId="5" borderId="2" xfId="46" applyNumberFormat="1" applyFont="1"/>
    <xf numFmtId="173" fontId="26" fillId="0" borderId="2" xfId="46" applyNumberFormat="1" applyFill="1"/>
    <xf numFmtId="1" fontId="26" fillId="0" borderId="2" xfId="46" applyNumberFormat="1" applyFill="1"/>
    <xf numFmtId="9" fontId="33" fillId="5" borderId="2" xfId="15" applyFont="1" applyFill="1" applyBorder="1"/>
    <xf numFmtId="173" fontId="33" fillId="5" borderId="2" xfId="46" applyNumberFormat="1" applyFont="1"/>
    <xf numFmtId="2" fontId="39" fillId="0" borderId="2" xfId="46" applyNumberFormat="1" applyFont="1" applyFill="1"/>
    <xf numFmtId="1" fontId="32" fillId="0" borderId="0" xfId="0" applyNumberFormat="1" applyFont="1"/>
    <xf numFmtId="9" fontId="0" fillId="0" borderId="0" xfId="15" applyFont="1"/>
    <xf numFmtId="0" fontId="0" fillId="0" borderId="0" xfId="0" applyAlignment="1">
      <alignment wrapText="1"/>
    </xf>
    <xf numFmtId="14" fontId="0" fillId="0" borderId="0" xfId="0" applyNumberFormat="1"/>
    <xf numFmtId="0" fontId="32" fillId="0" borderId="31" xfId="0" applyFont="1" applyBorder="1"/>
    <xf numFmtId="0" fontId="24" fillId="0" borderId="5" xfId="41" applyAlignment="1">
      <alignment horizontal="left"/>
    </xf>
    <xf numFmtId="0" fontId="24" fillId="0" borderId="5" xfId="41"/>
    <xf numFmtId="0" fontId="0" fillId="0" borderId="30" xfId="50" applyBorder="1">
      <alignment/>
      <protection/>
    </xf>
    <xf numFmtId="0" fontId="0" fillId="0" borderId="0" xfId="50">
      <alignment/>
      <protection/>
    </xf>
    <xf numFmtId="2" fontId="0" fillId="0" borderId="30" xfId="50" applyNumberFormat="1" applyBorder="1">
      <alignment/>
      <protection/>
    </xf>
    <xf numFmtId="2" fontId="0" fillId="0" borderId="0" xfId="50" applyNumberFormat="1">
      <alignment/>
      <protection/>
    </xf>
    <xf numFmtId="0" fontId="3" fillId="61" borderId="0" xfId="50" applyFont="1" applyFill="1" applyAlignment="1">
      <alignment horizontal="left"/>
      <protection/>
    </xf>
    <xf numFmtId="0" fontId="0" fillId="61" borderId="0" xfId="50" applyFill="1">
      <alignment/>
      <protection/>
    </xf>
    <xf numFmtId="0" fontId="0" fillId="62" borderId="0" xfId="50" applyFill="1">
      <alignment/>
      <protection/>
    </xf>
    <xf numFmtId="9" fontId="0" fillId="62" borderId="0" xfId="50" applyNumberFormat="1" applyFill="1">
      <alignment/>
      <protection/>
    </xf>
    <xf numFmtId="173" fontId="0" fillId="0" borderId="0" xfId="50" applyNumberFormat="1">
      <alignment/>
      <protection/>
    </xf>
    <xf numFmtId="1" fontId="0" fillId="0" borderId="30" xfId="50" applyNumberFormat="1" applyBorder="1">
      <alignment/>
      <protection/>
    </xf>
    <xf numFmtId="1" fontId="0" fillId="0" borderId="0" xfId="50" applyNumberFormat="1">
      <alignment/>
      <protection/>
    </xf>
    <xf numFmtId="0" fontId="0" fillId="0" borderId="32" xfId="50" applyBorder="1">
      <alignment/>
      <protection/>
    </xf>
    <xf numFmtId="173" fontId="0" fillId="0" borderId="30" xfId="50" applyNumberFormat="1" applyBorder="1">
      <alignment/>
      <protection/>
    </xf>
    <xf numFmtId="2" fontId="26" fillId="62" borderId="2" xfId="47" applyNumberFormat="1" applyFill="1"/>
    <xf numFmtId="2" fontId="0" fillId="61" borderId="0" xfId="50" applyNumberFormat="1" applyFill="1">
      <alignment/>
      <protection/>
    </xf>
    <xf numFmtId="2" fontId="0" fillId="61" borderId="30" xfId="50" applyNumberFormat="1" applyFill="1" applyBorder="1">
      <alignment/>
      <protection/>
    </xf>
    <xf numFmtId="3" fontId="0" fillId="0" borderId="0" xfId="50" applyNumberFormat="1">
      <alignment/>
      <protection/>
    </xf>
    <xf numFmtId="0" fontId="40" fillId="0" borderId="5" xfId="41" applyFont="1" applyAlignment="1">
      <alignment horizontal="left"/>
    </xf>
    <xf numFmtId="1" fontId="26" fillId="5" borderId="2" xfId="47" applyNumberFormat="1"/>
    <xf numFmtId="173" fontId="26" fillId="5" borderId="2" xfId="47" applyNumberFormat="1"/>
    <xf numFmtId="174" fontId="0" fillId="0" borderId="0" xfId="50" applyNumberFormat="1">
      <alignment/>
      <protection/>
    </xf>
    <xf numFmtId="0" fontId="32" fillId="0" borderId="0" xfId="50" applyFont="1">
      <alignment/>
      <protection/>
    </xf>
    <xf numFmtId="2" fontId="26" fillId="5" borderId="2" xfId="47" applyNumberFormat="1"/>
    <xf numFmtId="0" fontId="41" fillId="3" borderId="0" xfId="22" applyFont="1"/>
    <xf numFmtId="0" fontId="36" fillId="0" borderId="0" xfId="0" applyFont="1" applyAlignment="1">
      <alignment horizontal="center"/>
    </xf>
    <xf numFmtId="9" fontId="26" fillId="5" borderId="33" xfId="46" applyNumberFormat="1" applyBorder="1"/>
    <xf numFmtId="175" fontId="0" fillId="8" borderId="6" xfId="63" applyNumberFormat="1" applyFont="1"/>
    <xf numFmtId="0" fontId="0" fillId="0" borderId="34" xfId="0" applyBorder="1"/>
    <xf numFmtId="0" fontId="0" fillId="0" borderId="35" xfId="0" applyBorder="1"/>
    <xf numFmtId="0" fontId="0" fillId="0" borderId="36" xfId="0" applyBorder="1"/>
    <xf numFmtId="0" fontId="0" fillId="0" borderId="31" xfId="0" applyBorder="1"/>
    <xf numFmtId="0" fontId="10" fillId="0" borderId="35" xfId="52" applyFont="1" applyBorder="1">
      <alignment/>
      <protection/>
    </xf>
    <xf numFmtId="0" fontId="10" fillId="0" borderId="37" xfId="52" applyFont="1" applyBorder="1" applyAlignment="1">
      <alignment horizontal="center" wrapText="1"/>
      <protection/>
    </xf>
    <xf numFmtId="0" fontId="0" fillId="0" borderId="37" xfId="0" applyBorder="1"/>
    <xf numFmtId="0" fontId="0" fillId="0" borderId="38" xfId="0" applyBorder="1"/>
    <xf numFmtId="0" fontId="0" fillId="0" borderId="39" xfId="0" applyBorder="1"/>
    <xf numFmtId="0" fontId="36" fillId="0" borderId="38" xfId="0" applyFont="1" applyBorder="1"/>
    <xf numFmtId="177" fontId="0" fillId="0" borderId="0" xfId="0" applyNumberFormat="1"/>
    <xf numFmtId="177" fontId="32" fillId="0" borderId="0" xfId="0" applyNumberFormat="1" applyFont="1"/>
    <xf numFmtId="0" fontId="0" fillId="0" borderId="40" xfId="0" applyBorder="1"/>
    <xf numFmtId="0" fontId="0" fillId="0" borderId="41" xfId="0" applyBorder="1"/>
    <xf numFmtId="0" fontId="0" fillId="0" borderId="42" xfId="0" applyBorder="1"/>
    <xf numFmtId="0" fontId="0" fillId="0" borderId="1" xfId="0" applyBorder="1"/>
    <xf numFmtId="173" fontId="0" fillId="0" borderId="0" xfId="0" applyNumberFormat="1" quotePrefix="1"/>
    <xf numFmtId="2" fontId="36" fillId="0" borderId="38" xfId="0" applyNumberFormat="1" applyFont="1" applyBorder="1"/>
    <xf numFmtId="0" fontId="71" fillId="0" borderId="0" xfId="0" applyFont="1"/>
    <xf numFmtId="0" fontId="0" fillId="0" borderId="0" xfId="0" applyAlignment="1">
      <alignment horizontal="right"/>
    </xf>
    <xf numFmtId="172" fontId="26" fillId="0" borderId="2" xfId="46" applyNumberFormat="1" applyFill="1"/>
    <xf numFmtId="10" fontId="26" fillId="0" borderId="2" xfId="46" applyNumberFormat="1" applyFill="1"/>
    <xf numFmtId="172" fontId="0" fillId="0" borderId="30" xfId="0" applyNumberFormat="1" applyBorder="1"/>
    <xf numFmtId="2" fontId="41" fillId="3" borderId="0" xfId="22" applyNumberFormat="1" applyFont="1"/>
    <xf numFmtId="167" fontId="41" fillId="3" borderId="0" xfId="22" applyNumberFormat="1" applyFont="1"/>
    <xf numFmtId="15" fontId="0" fillId="0" borderId="0" xfId="0" applyNumberFormat="1"/>
    <xf numFmtId="9" fontId="0" fillId="0" borderId="0" xfId="50" applyNumberFormat="1">
      <alignment/>
      <protection/>
    </xf>
    <xf numFmtId="10" fontId="16" fillId="3" borderId="0" xfId="22" applyNumberFormat="1"/>
    <xf numFmtId="167" fontId="3" fillId="0" borderId="0" xfId="30" applyNumberFormat="1" applyFill="1" applyBorder="1"/>
    <xf numFmtId="2" fontId="0" fillId="0" borderId="38" xfId="0" applyNumberFormat="1" applyBorder="1"/>
    <xf numFmtId="0" fontId="24" fillId="0" borderId="43" xfId="40" applyBorder="1"/>
    <xf numFmtId="0" fontId="24" fillId="39" borderId="5" xfId="41" applyFill="1" applyAlignment="1">
      <alignment horizontal="left"/>
    </xf>
    <xf numFmtId="0" fontId="24" fillId="39" borderId="5" xfId="41" applyFill="1"/>
    <xf numFmtId="1" fontId="26" fillId="5" borderId="44" xfId="47" applyNumberFormat="1" applyBorder="1"/>
    <xf numFmtId="0" fontId="0" fillId="0" borderId="38" xfId="50" applyBorder="1">
      <alignment/>
      <protection/>
    </xf>
    <xf numFmtId="0" fontId="24" fillId="0" borderId="43" xfId="41" applyBorder="1"/>
    <xf numFmtId="2" fontId="26" fillId="5" borderId="45" xfId="47" applyNumberFormat="1" applyBorder="1"/>
    <xf numFmtId="0" fontId="32" fillId="0" borderId="38" xfId="50" applyFont="1" applyBorder="1">
      <alignment/>
      <protection/>
    </xf>
    <xf numFmtId="0" fontId="141" fillId="0" borderId="5" xfId="41" applyFont="1"/>
    <xf numFmtId="176" fontId="0" fillId="0" borderId="0" xfId="18" applyNumberFormat="1" applyFont="1" applyBorder="1"/>
    <xf numFmtId="0" fontId="24" fillId="0" borderId="38" xfId="41" applyBorder="1"/>
    <xf numFmtId="0" fontId="24" fillId="0" borderId="0" xfId="41" applyBorder="1"/>
    <xf numFmtId="0" fontId="142" fillId="0" borderId="5" xfId="41" applyFont="1"/>
    <xf numFmtId="0" fontId="142" fillId="0" borderId="0" xfId="41" applyFont="1" applyBorder="1" applyAlignment="1">
      <alignment horizontal="left"/>
    </xf>
    <xf numFmtId="173" fontId="32" fillId="0" borderId="16" xfId="50" applyNumberFormat="1" applyFont="1" applyBorder="1">
      <alignment/>
      <protection/>
    </xf>
    <xf numFmtId="0" fontId="143" fillId="0" borderId="0" xfId="52" applyFont="1">
      <alignment/>
      <protection/>
    </xf>
    <xf numFmtId="0" fontId="0" fillId="0" borderId="31" xfId="50" applyBorder="1">
      <alignment/>
      <protection/>
    </xf>
    <xf numFmtId="2" fontId="0" fillId="0" borderId="38" xfId="50" applyNumberFormat="1" applyBorder="1">
      <alignment/>
      <protection/>
    </xf>
    <xf numFmtId="0" fontId="142" fillId="0" borderId="5" xfId="41" applyFont="1" applyAlignment="1">
      <alignment horizontal="left"/>
    </xf>
    <xf numFmtId="1" fontId="32" fillId="0" borderId="0" xfId="50" applyNumberFormat="1" applyFont="1">
      <alignment/>
      <protection/>
    </xf>
    <xf numFmtId="1" fontId="39" fillId="5" borderId="2" xfId="47" applyNumberFormat="1" applyFont="1"/>
    <xf numFmtId="1" fontId="39" fillId="5" borderId="44" xfId="47" applyNumberFormat="1" applyFont="1" applyBorder="1"/>
    <xf numFmtId="0" fontId="0" fillId="0" borderId="46" xfId="50" applyBorder="1">
      <alignment/>
      <protection/>
    </xf>
    <xf numFmtId="1" fontId="0" fillId="0" borderId="38" xfId="50" applyNumberFormat="1" applyBorder="1">
      <alignment/>
      <protection/>
    </xf>
    <xf numFmtId="0" fontId="0" fillId="0" borderId="47" xfId="50" applyBorder="1">
      <alignment/>
      <protection/>
    </xf>
    <xf numFmtId="1" fontId="32" fillId="63" borderId="0" xfId="50" applyNumberFormat="1" applyFont="1" applyFill="1">
      <alignment/>
      <protection/>
    </xf>
    <xf numFmtId="174" fontId="0" fillId="8" borderId="6" xfId="63" applyNumberFormat="1" applyFont="1"/>
    <xf numFmtId="9" fontId="0" fillId="0" borderId="0" xfId="15" applyFont="1" applyFill="1" applyBorder="1"/>
    <xf numFmtId="9" fontId="0" fillId="0" borderId="38" xfId="15" applyFont="1" applyFill="1" applyBorder="1"/>
    <xf numFmtId="9" fontId="0" fillId="61" borderId="0" xfId="50" applyNumberFormat="1" applyFill="1">
      <alignment/>
      <protection/>
    </xf>
    <xf numFmtId="2" fontId="149" fillId="5" borderId="2" xfId="46" applyNumberFormat="1" applyFont="1"/>
    <xf numFmtId="9" fontId="0" fillId="61" borderId="0" xfId="0" applyNumberFormat="1" applyFill="1"/>
    <xf numFmtId="0" fontId="38" fillId="64" borderId="2" xfId="49" applyFont="1" applyFill="1" applyBorder="1" applyAlignment="1">
      <alignment horizontal="center"/>
    </xf>
    <xf numFmtId="172" fontId="0" fillId="61" borderId="0" xfId="15" applyNumberFormat="1" applyFont="1" applyFill="1"/>
    <xf numFmtId="9" fontId="0" fillId="61" borderId="0" xfId="15" applyFont="1" applyFill="1"/>
    <xf numFmtId="0" fontId="0" fillId="61" borderId="0" xfId="0" applyFill="1"/>
    <xf numFmtId="172" fontId="0" fillId="29" borderId="0" xfId="15" applyNumberFormat="1" applyFont="1" applyFill="1" applyAlignment="1">
      <alignment horizontal="center"/>
    </xf>
    <xf numFmtId="174" fontId="0" fillId="61" borderId="0" xfId="0" applyNumberFormat="1" applyFill="1"/>
    <xf numFmtId="0" fontId="150" fillId="64" borderId="2" xfId="49" applyFont="1" applyFill="1" applyBorder="1" applyAlignment="1">
      <alignment horizontal="center"/>
    </xf>
    <xf numFmtId="0" fontId="151" fillId="6" borderId="2" xfId="49" applyFont="1" applyBorder="1" applyAlignment="1">
      <alignment horizontal="center"/>
    </xf>
    <xf numFmtId="0" fontId="0" fillId="0" borderId="0" xfId="0" applyAlignment="1" quotePrefix="1">
      <alignment horizontal="center"/>
    </xf>
    <xf numFmtId="9" fontId="0" fillId="61" borderId="0" xfId="15" applyFont="1" applyFill="1" applyBorder="1"/>
    <xf numFmtId="173" fontId="26" fillId="8" borderId="6" xfId="63" applyNumberFormat="1" applyFont="1"/>
    <xf numFmtId="1" fontId="0" fillId="61" borderId="0" xfId="15" applyNumberFormat="1" applyFont="1" applyFill="1"/>
    <xf numFmtId="1" fontId="0" fillId="61" borderId="0" xfId="0" applyNumberFormat="1" applyFill="1"/>
    <xf numFmtId="177" fontId="0" fillId="61" borderId="0" xfId="0" applyNumberFormat="1" applyFill="1"/>
    <xf numFmtId="173" fontId="0" fillId="61" borderId="0" xfId="0" applyNumberFormat="1" applyFill="1"/>
    <xf numFmtId="0" fontId="152" fillId="65" borderId="0" xfId="0" applyFont="1" applyFill="1"/>
    <xf numFmtId="0" fontId="0" fillId="66" borderId="0" xfId="0" applyFill="1"/>
    <xf numFmtId="2" fontId="0" fillId="66" borderId="0" xfId="0" applyNumberFormat="1" applyFill="1"/>
    <xf numFmtId="9" fontId="45" fillId="49" borderId="0" xfId="4441" applyNumberFormat="1"/>
    <xf numFmtId="0" fontId="45" fillId="49" borderId="0" xfId="4441"/>
    <xf numFmtId="0" fontId="33" fillId="0" borderId="0" xfId="0" applyFont="1"/>
    <xf numFmtId="22" fontId="0" fillId="0" borderId="0" xfId="0" applyNumberFormat="1"/>
    <xf numFmtId="2" fontId="0" fillId="12" borderId="0" xfId="50" applyNumberFormat="1" applyFill="1">
      <alignment/>
      <protection/>
    </xf>
    <xf numFmtId="173" fontId="18" fillId="12" borderId="2" xfId="25" applyNumberFormat="1" applyFill="1"/>
    <xf numFmtId="173" fontId="0" fillId="12" borderId="30" xfId="50" applyNumberFormat="1" applyFill="1" applyBorder="1">
      <alignment/>
      <protection/>
    </xf>
    <xf numFmtId="2" fontId="33" fillId="0" borderId="0" xfId="50" applyNumberFormat="1" applyFont="1">
      <alignment/>
      <protection/>
    </xf>
    <xf numFmtId="0" fontId="33" fillId="61" borderId="0" xfId="50" applyFont="1" applyFill="1">
      <alignment/>
      <protection/>
    </xf>
    <xf numFmtId="0" fontId="33" fillId="61" borderId="32" xfId="50" applyFont="1" applyFill="1" applyBorder="1">
      <alignment/>
      <protection/>
    </xf>
    <xf numFmtId="0" fontId="154" fillId="0" borderId="0" xfId="0" applyFont="1"/>
    <xf numFmtId="0" fontId="155" fillId="0" borderId="0" xfId="0" applyFont="1"/>
    <xf numFmtId="173" fontId="154" fillId="0" borderId="0" xfId="0" applyNumberFormat="1" applyFont="1"/>
    <xf numFmtId="2" fontId="154" fillId="0" borderId="0" xfId="0" applyNumberFormat="1" applyFont="1"/>
    <xf numFmtId="2" fontId="0" fillId="0" borderId="0" xfId="15" applyNumberFormat="1" applyFont="1"/>
    <xf numFmtId="9" fontId="0" fillId="8" borderId="6" xfId="63" applyNumberFormat="1" applyFont="1"/>
    <xf numFmtId="9" fontId="26" fillId="0" borderId="2" xfId="15" applyFont="1" applyBorder="1"/>
    <xf numFmtId="173" fontId="0" fillId="0" borderId="0" xfId="15" applyNumberFormat="1" applyFont="1"/>
    <xf numFmtId="1" fontId="0" fillId="0" borderId="6" xfId="63" applyNumberFormat="1" applyFont="1" applyFill="1"/>
    <xf numFmtId="1" fontId="3" fillId="0" borderId="0" xfId="30" applyNumberFormat="1"/>
    <xf numFmtId="176" fontId="3" fillId="0" borderId="0" xfId="30" applyNumberFormat="1"/>
    <xf numFmtId="9" fontId="0" fillId="0" borderId="30" xfId="15" applyFont="1" applyBorder="1"/>
    <xf numFmtId="172" fontId="0" fillId="0" borderId="30" xfId="15" applyNumberFormat="1" applyFont="1" applyBorder="1"/>
    <xf numFmtId="172" fontId="26" fillId="0" borderId="2" xfId="15" applyNumberFormat="1" applyFont="1" applyBorder="1"/>
    <xf numFmtId="0" fontId="0" fillId="8" borderId="6" xfId="63" applyFont="1"/>
    <xf numFmtId="0" fontId="0" fillId="0" borderId="30" xfId="15" applyNumberFormat="1" applyFont="1" applyBorder="1"/>
    <xf numFmtId="1" fontId="26" fillId="0" borderId="2" xfId="15" applyNumberFormat="1" applyFont="1" applyBorder="1"/>
    <xf numFmtId="0" fontId="0" fillId="0" borderId="0" xfId="15" applyNumberFormat="1" applyFont="1"/>
    <xf numFmtId="173" fontId="0" fillId="0" borderId="30" xfId="15" applyNumberFormat="1" applyFont="1" applyBorder="1"/>
    <xf numFmtId="172" fontId="32" fillId="0" borderId="0" xfId="0" applyNumberFormat="1" applyFont="1"/>
    <xf numFmtId="172" fontId="32" fillId="0" borderId="0" xfId="15" applyNumberFormat="1" applyFont="1"/>
    <xf numFmtId="167" fontId="26" fillId="5" borderId="2" xfId="18" applyFont="1" applyFill="1" applyBorder="1"/>
    <xf numFmtId="10" fontId="0" fillId="61" borderId="0" xfId="0" applyNumberFormat="1" applyFill="1"/>
    <xf numFmtId="9" fontId="0" fillId="8" borderId="6" xfId="15" applyFont="1" applyFill="1" applyBorder="1"/>
    <xf numFmtId="9" fontId="18" fillId="4" borderId="2" xfId="15" applyFont="1" applyFill="1" applyBorder="1" applyAlignment="1">
      <alignment horizontal="center"/>
    </xf>
    <xf numFmtId="0" fontId="24" fillId="0" borderId="5" xfId="40" applyAlignment="1">
      <alignment horizontal="center"/>
    </xf>
    <xf numFmtId="10" fontId="33" fillId="5" borderId="2" xfId="46" applyNumberFormat="1" applyFont="1"/>
    <xf numFmtId="0" fontId="32" fillId="0" borderId="0" xfId="0" applyFont="1" applyAlignment="1">
      <alignment horizontal="center"/>
    </xf>
    <xf numFmtId="173" fontId="32" fillId="0" borderId="0" xfId="0" applyNumberFormat="1" applyFont="1" applyAlignment="1">
      <alignment horizontal="center"/>
    </xf>
    <xf numFmtId="173" fontId="156" fillId="0" borderId="0" xfId="0" applyNumberFormat="1" applyFont="1"/>
    <xf numFmtId="0" fontId="145" fillId="0" borderId="0" xfId="4447"/>
    <xf numFmtId="0" fontId="0" fillId="61" borderId="30" xfId="50" applyFill="1" applyBorder="1">
      <alignment/>
      <protection/>
    </xf>
    <xf numFmtId="9" fontId="0" fillId="39" borderId="0" xfId="50" applyNumberFormat="1" applyFill="1">
      <alignment/>
      <protection/>
    </xf>
    <xf numFmtId="0" fontId="144" fillId="0" borderId="31" xfId="50" applyFont="1" applyBorder="1" applyAlignment="1">
      <alignment horizontal="left"/>
      <protection/>
    </xf>
    <xf numFmtId="0" fontId="85" fillId="0" borderId="0" xfId="50" applyFont="1" applyAlignment="1">
      <alignment horizontal="left"/>
      <protection/>
    </xf>
    <xf numFmtId="0" fontId="144" fillId="0" borderId="0" xfId="50" applyFont="1" applyAlignment="1">
      <alignment horizontal="left"/>
      <protection/>
    </xf>
    <xf numFmtId="0" fontId="32" fillId="0" borderId="16" xfId="50" applyFont="1" applyBorder="1">
      <alignment/>
      <protection/>
    </xf>
    <xf numFmtId="0" fontId="0" fillId="0" borderId="16" xfId="50" applyBorder="1">
      <alignment/>
      <protection/>
    </xf>
    <xf numFmtId="174" fontId="0" fillId="0" borderId="16" xfId="50" applyNumberFormat="1" applyBorder="1">
      <alignment/>
      <protection/>
    </xf>
    <xf numFmtId="9" fontId="33" fillId="8" borderId="6" xfId="63" applyNumberFormat="1" applyFont="1"/>
    <xf numFmtId="185" fontId="149" fillId="0" borderId="48" xfId="2783" applyNumberFormat="1" applyFont="1" applyBorder="1" applyAlignment="1">
      <alignment vertical="center" wrapText="1"/>
      <protection/>
    </xf>
    <xf numFmtId="174" fontId="149" fillId="0" borderId="0" xfId="0" applyNumberFormat="1" applyFont="1"/>
    <xf numFmtId="2" fontId="149" fillId="0" borderId="0" xfId="0" applyNumberFormat="1" applyFont="1"/>
    <xf numFmtId="9" fontId="26" fillId="29" borderId="2" xfId="46" applyNumberFormat="1" applyFill="1"/>
    <xf numFmtId="9" fontId="26" fillId="29" borderId="2" xfId="15" applyFont="1" applyFill="1" applyBorder="1"/>
    <xf numFmtId="2" fontId="0" fillId="29" borderId="0" xfId="0" applyNumberFormat="1" applyFill="1"/>
    <xf numFmtId="172" fontId="0" fillId="8" borderId="6" xfId="63" applyNumberFormat="1" applyFont="1"/>
    <xf numFmtId="10" fontId="26" fillId="0" borderId="2" xfId="15" applyNumberFormat="1" applyFont="1" applyBorder="1"/>
    <xf numFmtId="10" fontId="26" fillId="29" borderId="2" xfId="15" applyNumberFormat="1" applyFont="1" applyFill="1" applyBorder="1"/>
    <xf numFmtId="172" fontId="26" fillId="29" borderId="2" xfId="15" applyNumberFormat="1" applyFont="1" applyFill="1" applyBorder="1"/>
    <xf numFmtId="1" fontId="144" fillId="0" borderId="0" xfId="30" applyNumberFormat="1" applyFont="1"/>
    <xf numFmtId="1" fontId="24" fillId="0" borderId="5" xfId="40" applyNumberFormat="1" applyAlignment="1">
      <alignment horizontal="left"/>
    </xf>
    <xf numFmtId="2" fontId="156" fillId="0" borderId="0" xfId="0" applyNumberFormat="1" applyFont="1"/>
    <xf numFmtId="0" fontId="156" fillId="61" borderId="0" xfId="0" applyFont="1" applyFill="1" applyAlignment="1">
      <alignment horizontal="center"/>
    </xf>
    <xf numFmtId="2" fontId="156" fillId="61" borderId="0" xfId="15" applyNumberFormat="1" applyFont="1" applyFill="1" applyAlignment="1">
      <alignment horizontal="center"/>
    </xf>
    <xf numFmtId="0" fontId="157" fillId="0" borderId="0" xfId="0" applyFont="1"/>
    <xf numFmtId="2" fontId="0" fillId="39" borderId="0" xfId="0" applyNumberFormat="1" applyFill="1"/>
    <xf numFmtId="173" fontId="0" fillId="39" borderId="0" xfId="15" applyNumberFormat="1" applyFont="1" applyFill="1"/>
    <xf numFmtId="172" fontId="0" fillId="39" borderId="0" xfId="15" applyNumberFormat="1" applyFont="1" applyFill="1"/>
    <xf numFmtId="172" fontId="0" fillId="29" borderId="0" xfId="15" applyNumberFormat="1" applyFont="1" applyFill="1"/>
    <xf numFmtId="0" fontId="0" fillId="29" borderId="0" xfId="0" applyFill="1"/>
    <xf numFmtId="173" fontId="0" fillId="29" borderId="0" xfId="0" applyNumberFormat="1" applyFill="1"/>
    <xf numFmtId="173" fontId="32" fillId="29" borderId="0" xfId="0" applyNumberFormat="1" applyFont="1" applyFill="1"/>
    <xf numFmtId="0" fontId="0" fillId="16" borderId="0" xfId="0" applyFill="1"/>
    <xf numFmtId="2" fontId="0" fillId="16" borderId="0" xfId="0" applyNumberFormat="1" applyFill="1"/>
    <xf numFmtId="0" fontId="36" fillId="16" borderId="0" xfId="0" applyFont="1" applyFill="1" applyAlignment="1">
      <alignment horizontal="center"/>
    </xf>
    <xf numFmtId="0" fontId="36" fillId="16" borderId="0" xfId="0" applyFont="1" applyFill="1"/>
    <xf numFmtId="0" fontId="33" fillId="16" borderId="0" xfId="0" applyFont="1" applyFill="1"/>
    <xf numFmtId="172" fontId="33" fillId="0" borderId="2" xfId="15" applyNumberFormat="1" applyFont="1" applyBorder="1"/>
    <xf numFmtId="173" fontId="26" fillId="5" borderId="2" xfId="46" applyNumberFormat="1"/>
    <xf numFmtId="173" fontId="33" fillId="0" borderId="2" xfId="46" applyNumberFormat="1" applyFont="1" applyFill="1"/>
    <xf numFmtId="2" fontId="18" fillId="4" borderId="2" xfId="25" applyNumberFormat="1"/>
    <xf numFmtId="173" fontId="1" fillId="10" borderId="2" xfId="83" applyNumberFormat="1" applyBorder="1"/>
    <xf numFmtId="177" fontId="1" fillId="10" borderId="2" xfId="83" applyNumberFormat="1" applyBorder="1"/>
    <xf numFmtId="172" fontId="1" fillId="10" borderId="2" xfId="83" applyNumberFormat="1" applyBorder="1"/>
    <xf numFmtId="174" fontId="1" fillId="10" borderId="2" xfId="83" applyNumberFormat="1" applyBorder="1"/>
    <xf numFmtId="0" fontId="1" fillId="10" borderId="2" xfId="83" applyBorder="1"/>
    <xf numFmtId="2" fontId="0" fillId="0" borderId="0" xfId="0" applyNumberFormat="1" quotePrefix="1"/>
    <xf numFmtId="2" fontId="0" fillId="12" borderId="30" xfId="50" applyNumberFormat="1" applyFill="1" applyBorder="1">
      <alignment/>
      <protection/>
    </xf>
    <xf numFmtId="177" fontId="134" fillId="10" borderId="2" xfId="83" applyNumberFormat="1" applyFont="1" applyBorder="1"/>
    <xf numFmtId="173" fontId="134" fillId="10" borderId="2" xfId="83" applyNumberFormat="1" applyFont="1" applyBorder="1"/>
    <xf numFmtId="172" fontId="1" fillId="10" borderId="2" xfId="15" applyNumberFormat="1" applyFont="1" applyFill="1" applyBorder="1"/>
    <xf numFmtId="0" fontId="0" fillId="10" borderId="2" xfId="4448" applyBorder="1"/>
    <xf numFmtId="0" fontId="0" fillId="12" borderId="2" xfId="4449" applyBorder="1"/>
    <xf numFmtId="9" fontId="33" fillId="0" borderId="2" xfId="15" applyFont="1" applyBorder="1"/>
    <xf numFmtId="174" fontId="18" fillId="4" borderId="2" xfId="25" applyNumberFormat="1"/>
    <xf numFmtId="0" fontId="0" fillId="67" borderId="0" xfId="0" applyFill="1"/>
    <xf numFmtId="0" fontId="0" fillId="25" borderId="0" xfId="0" applyFill="1"/>
    <xf numFmtId="0" fontId="0" fillId="20" borderId="0" xfId="0" applyFill="1"/>
    <xf numFmtId="0" fontId="0" fillId="68" borderId="31" xfId="0" applyFill="1" applyBorder="1"/>
    <xf numFmtId="0" fontId="158" fillId="0" borderId="0" xfId="0" applyFont="1"/>
    <xf numFmtId="1" fontId="0" fillId="0" borderId="1" xfId="0" applyNumberFormat="1" applyBorder="1"/>
    <xf numFmtId="2" fontId="0" fillId="0" borderId="1" xfId="0" applyNumberFormat="1" applyBorder="1"/>
    <xf numFmtId="0" fontId="156" fillId="0" borderId="0" xfId="0" applyFont="1"/>
    <xf numFmtId="174" fontId="32" fillId="0" borderId="0" xfId="0" applyNumberFormat="1" applyFont="1"/>
    <xf numFmtId="2" fontId="134" fillId="10" borderId="2" xfId="83" applyNumberFormat="1" applyFont="1" applyBorder="1"/>
    <xf numFmtId="10" fontId="0" fillId="0" borderId="0" xfId="15" applyNumberFormat="1" applyFont="1"/>
    <xf numFmtId="0" fontId="18" fillId="4" borderId="2" xfId="25"/>
    <xf numFmtId="2" fontId="33" fillId="0" borderId="2" xfId="46" applyNumberFormat="1" applyFont="1" applyFill="1"/>
    <xf numFmtId="9" fontId="33" fillId="0" borderId="2" xfId="46" applyNumberFormat="1" applyFont="1" applyFill="1"/>
    <xf numFmtId="174" fontId="0" fillId="0" borderId="0" xfId="15" applyNumberFormat="1" applyFont="1"/>
    <xf numFmtId="186" fontId="0" fillId="62" borderId="0" xfId="50" applyNumberFormat="1" applyFill="1">
      <alignment/>
      <protection/>
    </xf>
    <xf numFmtId="186" fontId="0" fillId="61" borderId="0" xfId="15" applyNumberFormat="1" applyFont="1" applyFill="1"/>
    <xf numFmtId="0" fontId="0" fillId="0" borderId="0" xfId="50" applyAlignment="1">
      <alignment vertical="top" wrapText="1"/>
      <protection/>
    </xf>
    <xf numFmtId="186" fontId="0" fillId="0" borderId="0" xfId="15" applyNumberFormat="1" applyFont="1"/>
    <xf numFmtId="186" fontId="0" fillId="0" borderId="0" xfId="50" applyNumberFormat="1">
      <alignment/>
      <protection/>
    </xf>
    <xf numFmtId="10" fontId="0" fillId="0" borderId="0" xfId="50" applyNumberFormat="1">
      <alignment/>
      <protection/>
    </xf>
    <xf numFmtId="9" fontId="0" fillId="0" borderId="0" xfId="15" applyFont="1" applyAlignment="1">
      <alignment vertical="top" wrapText="1"/>
    </xf>
    <xf numFmtId="187" fontId="0" fillId="0" borderId="0" xfId="15" applyNumberFormat="1" applyFont="1" applyFill="1" applyBorder="1"/>
    <xf numFmtId="174" fontId="26" fillId="5" borderId="45" xfId="47" applyNumberFormat="1" applyBorder="1"/>
    <xf numFmtId="174" fontId="26" fillId="5" borderId="2" xfId="47" applyNumberFormat="1"/>
    <xf numFmtId="0" fontId="159" fillId="61" borderId="0" xfId="0" applyFont="1" applyFill="1" applyAlignment="1">
      <alignment wrapText="1"/>
    </xf>
    <xf numFmtId="173" fontId="18" fillId="4" borderId="33" xfId="25" applyNumberFormat="1" applyBorder="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1" fontId="144" fillId="0" borderId="0" xfId="30" applyNumberFormat="1" applyFont="1" applyBorder="1"/>
    <xf numFmtId="1" fontId="144" fillId="0" borderId="53" xfId="30" applyNumberFormat="1" applyFont="1" applyBorder="1"/>
    <xf numFmtId="173" fontId="0" fillId="39" borderId="0" xfId="0" applyNumberFormat="1" applyFill="1"/>
    <xf numFmtId="0" fontId="0" fillId="0" borderId="54" xfId="0" applyBorder="1"/>
    <xf numFmtId="173" fontId="0" fillId="0" borderId="55" xfId="0" applyNumberFormat="1" applyBorder="1"/>
    <xf numFmtId="0" fontId="161" fillId="0" borderId="49" xfId="0" applyFont="1" applyBorder="1"/>
    <xf numFmtId="2" fontId="26" fillId="0" borderId="33" xfId="46" applyNumberFormat="1" applyFill="1" applyBorder="1"/>
    <xf numFmtId="173" fontId="26" fillId="0" borderId="56" xfId="46" applyNumberFormat="1" applyFill="1" applyBorder="1"/>
    <xf numFmtId="2" fontId="26" fillId="5" borderId="56" xfId="46" applyNumberFormat="1" applyBorder="1"/>
    <xf numFmtId="2" fontId="26" fillId="5" borderId="57" xfId="46" applyNumberFormat="1" applyBorder="1"/>
    <xf numFmtId="2" fontId="0" fillId="0" borderId="52" xfId="0" applyNumberFormat="1" applyBorder="1"/>
    <xf numFmtId="2" fontId="0" fillId="0" borderId="53" xfId="15" applyNumberFormat="1" applyFont="1" applyBorder="1"/>
    <xf numFmtId="2" fontId="0" fillId="0" borderId="54" xfId="0" applyNumberFormat="1" applyBorder="1"/>
    <xf numFmtId="2" fontId="0" fillId="0" borderId="55" xfId="0" applyNumberFormat="1" applyBorder="1"/>
    <xf numFmtId="2" fontId="0" fillId="0" borderId="58" xfId="15" applyNumberFormat="1" applyFont="1" applyBorder="1"/>
    <xf numFmtId="0" fontId="160" fillId="0" borderId="50" xfId="0" applyFont="1" applyBorder="1"/>
    <xf numFmtId="0" fontId="161" fillId="0" borderId="50" xfId="0" applyFont="1" applyBorder="1"/>
    <xf numFmtId="9" fontId="26" fillId="61" borderId="6" xfId="15" applyFont="1" applyFill="1" applyBorder="1"/>
    <xf numFmtId="172" fontId="26" fillId="61" borderId="6" xfId="15" applyNumberFormat="1" applyFont="1" applyFill="1" applyBorder="1"/>
    <xf numFmtId="9" fontId="33" fillId="61" borderId="2" xfId="15" applyFont="1" applyFill="1" applyBorder="1"/>
    <xf numFmtId="9" fontId="45" fillId="69" borderId="2" xfId="15" applyFont="1" applyFill="1" applyBorder="1"/>
    <xf numFmtId="0" fontId="160" fillId="0" borderId="0" xfId="0" applyFont="1"/>
    <xf numFmtId="2" fontId="26" fillId="16" borderId="2" xfId="46" applyNumberFormat="1" applyFill="1"/>
    <xf numFmtId="2" fontId="0" fillId="16" borderId="55" xfId="0" applyNumberFormat="1" applyFill="1" applyBorder="1"/>
    <xf numFmtId="2" fontId="33" fillId="16" borderId="0" xfId="0" applyNumberFormat="1" applyFont="1" applyFill="1"/>
    <xf numFmtId="173" fontId="0" fillId="20" borderId="0" xfId="0" applyNumberFormat="1" applyFill="1"/>
    <xf numFmtId="173" fontId="0" fillId="20" borderId="55" xfId="0" applyNumberFormat="1" applyFill="1" applyBorder="1"/>
    <xf numFmtId="173" fontId="0" fillId="39" borderId="59" xfId="0" applyNumberFormat="1" applyFill="1" applyBorder="1"/>
    <xf numFmtId="173" fontId="0" fillId="39" borderId="60" xfId="0" applyNumberFormat="1" applyFill="1" applyBorder="1"/>
    <xf numFmtId="173" fontId="0" fillId="39" borderId="61" xfId="0" applyNumberFormat="1" applyFill="1" applyBorder="1"/>
    <xf numFmtId="173" fontId="0" fillId="39" borderId="62" xfId="0" applyNumberFormat="1" applyFill="1" applyBorder="1"/>
    <xf numFmtId="173" fontId="0" fillId="39" borderId="63" xfId="0" applyNumberFormat="1" applyFill="1" applyBorder="1"/>
    <xf numFmtId="173" fontId="0" fillId="39" borderId="64" xfId="0" applyNumberFormat="1" applyFill="1" applyBorder="1"/>
    <xf numFmtId="173" fontId="0" fillId="39" borderId="3" xfId="0" applyNumberFormat="1" applyFill="1" applyBorder="1"/>
    <xf numFmtId="173" fontId="0" fillId="39" borderId="65" xfId="0" applyNumberFormat="1" applyFill="1" applyBorder="1"/>
    <xf numFmtId="0" fontId="0" fillId="39" borderId="0" xfId="0" applyFill="1"/>
    <xf numFmtId="0" fontId="160" fillId="0" borderId="55" xfId="0" applyFont="1" applyBorder="1"/>
    <xf numFmtId="2" fontId="26" fillId="5" borderId="66" xfId="46" applyNumberFormat="1" applyBorder="1"/>
    <xf numFmtId="2" fontId="0" fillId="0" borderId="0" xfId="15" applyNumberFormat="1" applyFont="1" applyBorder="1"/>
    <xf numFmtId="2" fontId="26" fillId="29" borderId="67" xfId="46" applyNumberFormat="1" applyFill="1" applyBorder="1"/>
    <xf numFmtId="2" fontId="0" fillId="29" borderId="55" xfId="15" applyNumberFormat="1" applyFont="1" applyFill="1" applyBorder="1"/>
    <xf numFmtId="2" fontId="0" fillId="14" borderId="0" xfId="0" applyNumberFormat="1" applyFill="1"/>
    <xf numFmtId="9" fontId="26" fillId="14" borderId="2" xfId="46" applyNumberFormat="1" applyFill="1"/>
    <xf numFmtId="2" fontId="26" fillId="14" borderId="2" xfId="46" applyNumberFormat="1" applyFill="1"/>
    <xf numFmtId="2" fontId="0" fillId="25" borderId="0" xfId="0" applyNumberFormat="1" applyFill="1"/>
    <xf numFmtId="2" fontId="26" fillId="20" borderId="2" xfId="46" applyNumberFormat="1" applyFill="1"/>
    <xf numFmtId="2" fontId="0" fillId="20" borderId="0" xfId="15" applyNumberFormat="1" applyFont="1" applyFill="1"/>
    <xf numFmtId="2" fontId="33" fillId="20" borderId="2" xfId="46" applyNumberFormat="1" applyFont="1" applyFill="1"/>
    <xf numFmtId="0" fontId="159" fillId="29" borderId="68" xfId="0" applyFont="1" applyFill="1" applyBorder="1" applyAlignment="1">
      <alignment wrapText="1"/>
    </xf>
    <xf numFmtId="172" fontId="33" fillId="29" borderId="69" xfId="15" applyNumberFormat="1" applyFont="1" applyFill="1" applyBorder="1"/>
    <xf numFmtId="9" fontId="160" fillId="29" borderId="2" xfId="46" applyNumberFormat="1" applyFont="1" applyFill="1"/>
    <xf numFmtId="172" fontId="160" fillId="62" borderId="0" xfId="15" applyNumberFormat="1" applyFont="1" applyFill="1"/>
    <xf numFmtId="9" fontId="160" fillId="62" borderId="0" xfId="15" applyFont="1" applyFill="1"/>
    <xf numFmtId="2" fontId="160" fillId="29" borderId="2" xfId="46" applyNumberFormat="1" applyFont="1" applyFill="1"/>
    <xf numFmtId="2" fontId="160" fillId="0" borderId="0" xfId="15" applyNumberFormat="1" applyFont="1"/>
    <xf numFmtId="0" fontId="163" fillId="0" borderId="0" xfId="0" applyFont="1"/>
  </cellXfs>
  <cellStyles count="4436">
    <cellStyle name="Normal" xfId="0" builtinId="0"/>
    <cellStyle name="Percent" xfId="15" builtinId="5"/>
    <cellStyle name="Currency" xfId="16" builtinId="4"/>
    <cellStyle name="Currency [0]" xfId="17" builtinId="7"/>
    <cellStyle name="Comma" xfId="18" builtinId="3"/>
    <cellStyle name="Comma [0]" xfId="19" builtinId="6"/>
    <cellStyle name="5x indented GHG Textfiels" xfId="20"/>
    <cellStyle name="AggblueCels_1x" xfId="21"/>
    <cellStyle name="Bad" xfId="22" builtinId="27"/>
    <cellStyle name="Bad 2" xfId="23"/>
    <cellStyle name="Calc" xfId="24"/>
    <cellStyle name="Calculation" xfId="25" builtinId="22"/>
    <cellStyle name="Comma 2" xfId="26"/>
    <cellStyle name="Comma 2 2" xfId="27"/>
    <cellStyle name="Comma 3" xfId="28"/>
    <cellStyle name="Comma 3 2" xfId="29"/>
    <cellStyle name="Comma_Oyv-demand template for Industrial commercial and residential data" xfId="30"/>
    <cellStyle name="Constants" xfId="31"/>
    <cellStyle name="Empty_B_border" xfId="32"/>
    <cellStyle name="Excel Built-in Normal" xfId="33"/>
    <cellStyle name="Excel Built-in Normal 2" xfId="34"/>
    <cellStyle name="Excel_BuiltIn_Comma" xfId="35"/>
    <cellStyle name="External" xfId="36"/>
    <cellStyle name="External 2" xfId="37"/>
    <cellStyle name="Heading" xfId="38"/>
    <cellStyle name="Heading 2" xfId="39" builtinId="17"/>
    <cellStyle name="Heading 3" xfId="40" builtinId="18"/>
    <cellStyle name="Heading 3 2" xfId="41"/>
    <cellStyle name="Heading 4" xfId="42" builtinId="19"/>
    <cellStyle name="Heading1" xfId="43"/>
    <cellStyle name="Headline" xfId="44"/>
    <cellStyle name="Hyperlink 2" xfId="45"/>
    <cellStyle name="Input" xfId="46" builtinId="20"/>
    <cellStyle name="Input 2" xfId="47"/>
    <cellStyle name="Linked" xfId="48"/>
    <cellStyle name="Neutral" xfId="49" builtinId="28"/>
    <cellStyle name="Normal 13" xfId="50"/>
    <cellStyle name="Normal 2" xfId="51"/>
    <cellStyle name="Normal 2 2" xfId="52"/>
    <cellStyle name="Normal 2 3" xfId="53"/>
    <cellStyle name="Normal 2 4" xfId="54"/>
    <cellStyle name="Normal 3" xfId="55"/>
    <cellStyle name="Normal 3 2" xfId="56"/>
    <cellStyle name="Normal 4" xfId="57"/>
    <cellStyle name="Normal 4 2" xfId="58"/>
    <cellStyle name="Normal 5" xfId="59"/>
    <cellStyle name="Normal 6" xfId="60"/>
    <cellStyle name="Normal GHG-Shade" xfId="61"/>
    <cellStyle name="normálne_CRFReport-template" xfId="62"/>
    <cellStyle name="Note" xfId="63" builtinId="10"/>
    <cellStyle name="Percent 2" xfId="64"/>
    <cellStyle name="Percent 2 2" xfId="65"/>
    <cellStyle name="Percent 2 2 2" xfId="66"/>
    <cellStyle name="Percent 2 2 3" xfId="67"/>
    <cellStyle name="Percent 3" xfId="68"/>
    <cellStyle name="Percent 4" xfId="69"/>
    <cellStyle name="Result" xfId="70"/>
    <cellStyle name="Result2" xfId="71"/>
    <cellStyle name="Обычный_2++" xfId="72"/>
    <cellStyle name="Normal 12 9" xfId="73"/>
    <cellStyle name="Heading 1 3 2" xfId="74"/>
    <cellStyle name="Normal 7" xfId="75"/>
    <cellStyle name="Heading 1 4" xfId="76"/>
    <cellStyle name="Percent 5" xfId="77"/>
    <cellStyle name="Normal 10" xfId="78"/>
    <cellStyle name="Normal 16 2" xfId="79"/>
    <cellStyle name="Basic User Data Input" xfId="80"/>
    <cellStyle name="Percent 10" xfId="81"/>
    <cellStyle name="Normal 12 9 2" xfId="82"/>
    <cellStyle name="20% - Accent1 2" xfId="83"/>
    <cellStyle name="20% - Accent1 2 2" xfId="84"/>
    <cellStyle name="20% - Accent1 2 2 2" xfId="85"/>
    <cellStyle name="20% - Accent1 2 2 3" xfId="86"/>
    <cellStyle name="20% - Accent1 2 2_AGL" xfId="87"/>
    <cellStyle name="20% - Accent1 2 3" xfId="88"/>
    <cellStyle name="20% - Accent1 2 4" xfId="89"/>
    <cellStyle name="20% - Accent1 2_AGL" xfId="90"/>
    <cellStyle name="20% - Accent1 3" xfId="91"/>
    <cellStyle name="20% - Accent1 3 2" xfId="92"/>
    <cellStyle name="20% - Accent1 3 2 2" xfId="93"/>
    <cellStyle name="20% - Accent1 3 2 3" xfId="94"/>
    <cellStyle name="20% - Accent1 3 2_AGL" xfId="95"/>
    <cellStyle name="20% - Accent1 3 3" xfId="96"/>
    <cellStyle name="20% - Accent1 3 4" xfId="97"/>
    <cellStyle name="20% - Accent1 3_AGL" xfId="98"/>
    <cellStyle name="20% - Accent1 4" xfId="99"/>
    <cellStyle name="20% - Accent1 4 2" xfId="100"/>
    <cellStyle name="20% - Accent1 4 2 2" xfId="101"/>
    <cellStyle name="20% - Accent1 4 2 3" xfId="102"/>
    <cellStyle name="20% - Accent1 4 2_AGL" xfId="103"/>
    <cellStyle name="20% - Accent1 4 3" xfId="104"/>
    <cellStyle name="20% - Accent1 4 4" xfId="105"/>
    <cellStyle name="20% - Accent1 4_AGL" xfId="106"/>
    <cellStyle name="20% - Accent1 5" xfId="107"/>
    <cellStyle name="20% - Accent1 5 2" xfId="108"/>
    <cellStyle name="20% - Accent1 5 2 2" xfId="109"/>
    <cellStyle name="20% - Accent1 5 2 3" xfId="110"/>
    <cellStyle name="20% - Accent1 5 2_AGL" xfId="111"/>
    <cellStyle name="20% - Accent1 5 3" xfId="112"/>
    <cellStyle name="20% - Accent1 5 4" xfId="113"/>
    <cellStyle name="20% - Accent1 5_AGL" xfId="114"/>
    <cellStyle name="20% - Accent1 6" xfId="115"/>
    <cellStyle name="20% - Accent1 6 2" xfId="116"/>
    <cellStyle name="20% - Accent1 6 3" xfId="117"/>
    <cellStyle name="20% - Accent1 6_AGL" xfId="118"/>
    <cellStyle name="20% - Accent1 7" xfId="119"/>
    <cellStyle name="20% - Accent1 8" xfId="120"/>
    <cellStyle name="20% - Accent2 2" xfId="121"/>
    <cellStyle name="20% - Accent2 2 2" xfId="122"/>
    <cellStyle name="20% - Accent2 2 2 2" xfId="123"/>
    <cellStyle name="20% - Accent2 2 2 3" xfId="124"/>
    <cellStyle name="20% - Accent2 2 2_AGL" xfId="125"/>
    <cellStyle name="20% - Accent2 2 3" xfId="126"/>
    <cellStyle name="20% - Accent2 2 4" xfId="127"/>
    <cellStyle name="20% - Accent2 2_AGL" xfId="128"/>
    <cellStyle name="20% - Accent2 3" xfId="129"/>
    <cellStyle name="20% - Accent2 3 2" xfId="130"/>
    <cellStyle name="20% - Accent2 3 2 2" xfId="131"/>
    <cellStyle name="20% - Accent2 3 2 3" xfId="132"/>
    <cellStyle name="20% - Accent2 3 2_AGL" xfId="133"/>
    <cellStyle name="20% - Accent2 3 3" xfId="134"/>
    <cellStyle name="20% - Accent2 3 4" xfId="135"/>
    <cellStyle name="20% - Accent2 3_AGL" xfId="136"/>
    <cellStyle name="20% - Accent2 4" xfId="137"/>
    <cellStyle name="20% - Accent2 4 2" xfId="138"/>
    <cellStyle name="20% - Accent2 4 2 2" xfId="139"/>
    <cellStyle name="20% - Accent2 4 2 2 2" xfId="140"/>
    <cellStyle name="20% - Accent2 4 2 3" xfId="141"/>
    <cellStyle name="20% - Accent2 4 2 3 2" xfId="142"/>
    <cellStyle name="20% - Accent2 4 2 4" xfId="143"/>
    <cellStyle name="20% - Accent2 4 2_AGL" xfId="144"/>
    <cellStyle name="20% - Accent2 4 3" xfId="145"/>
    <cellStyle name="20% - Accent2 4 3 2" xfId="146"/>
    <cellStyle name="20% - Accent2 4 4" xfId="147"/>
    <cellStyle name="20% - Accent2 4 4 2" xfId="148"/>
    <cellStyle name="20% - Accent2 4 5" xfId="149"/>
    <cellStyle name="20% - Accent2 4_AGL" xfId="150"/>
    <cellStyle name="20% - Accent2 5" xfId="151"/>
    <cellStyle name="20% - Accent2 5 2" xfId="152"/>
    <cellStyle name="20% - Accent2 5 3" xfId="153"/>
    <cellStyle name="20% - Accent2 5_AGL" xfId="154"/>
    <cellStyle name="20% - Accent2 6" xfId="155"/>
    <cellStyle name="20% - Accent2 6 2" xfId="156"/>
    <cellStyle name="20% - Accent2 6 2 2" xfId="157"/>
    <cellStyle name="20% - Accent2 6 3" xfId="158"/>
    <cellStyle name="20% - Accent2 6 3 2" xfId="159"/>
    <cellStyle name="20% - Accent2 6 4" xfId="160"/>
    <cellStyle name="20% - Accent2 6_AGL" xfId="161"/>
    <cellStyle name="20% - Accent2 7" xfId="162"/>
    <cellStyle name="20% - Accent2 8" xfId="163"/>
    <cellStyle name="20% - Accent3 2" xfId="164"/>
    <cellStyle name="20% - Accent3 2 2" xfId="165"/>
    <cellStyle name="20% - Accent3 2 2 2" xfId="166"/>
    <cellStyle name="20% - Accent3 2 2 3" xfId="167"/>
    <cellStyle name="20% - Accent3 2 2_AGL" xfId="168"/>
    <cellStyle name="20% - Accent3 2 3" xfId="169"/>
    <cellStyle name="20% - Accent3 2 4" xfId="170"/>
    <cellStyle name="20% - Accent3 2_AGL" xfId="171"/>
    <cellStyle name="20% - Accent3 3" xfId="172"/>
    <cellStyle name="20% - Accent3 3 2" xfId="173"/>
    <cellStyle name="20% - Accent3 3 2 2" xfId="174"/>
    <cellStyle name="20% - Accent3 3 2 3" xfId="175"/>
    <cellStyle name="20% - Accent3 3 2_AGL" xfId="176"/>
    <cellStyle name="20% - Accent3 3 3" xfId="177"/>
    <cellStyle name="20% - Accent3 3 4" xfId="178"/>
    <cellStyle name="20% - Accent3 3_AGL" xfId="179"/>
    <cellStyle name="20% - Accent3 4" xfId="180"/>
    <cellStyle name="20% - Accent3 4 2" xfId="181"/>
    <cellStyle name="20% - Accent3 4 3" xfId="182"/>
    <cellStyle name="20% - Accent3 4_AGL" xfId="183"/>
    <cellStyle name="20% - Accent3 5" xfId="184"/>
    <cellStyle name="20% - Accent3 6" xfId="185"/>
    <cellStyle name="20% - Accent4 2" xfId="186"/>
    <cellStyle name="20% - Accent4 2 2" xfId="187"/>
    <cellStyle name="20% - Accent4 2 2 2" xfId="188"/>
    <cellStyle name="20% - Accent4 2 2 3" xfId="189"/>
    <cellStyle name="20% - Accent4 2 2_AGL" xfId="190"/>
    <cellStyle name="20% - Accent4 2 3" xfId="191"/>
    <cellStyle name="20% - Accent4 2 4" xfId="192"/>
    <cellStyle name="20% - Accent4 2_AGL" xfId="193"/>
    <cellStyle name="20% - Accent4 3" xfId="194"/>
    <cellStyle name="20% - Accent4 3 2" xfId="195"/>
    <cellStyle name="20% - Accent4 3 2 2" xfId="196"/>
    <cellStyle name="20% - Accent4 3 2 3" xfId="197"/>
    <cellStyle name="20% - Accent4 3 2_AGL" xfId="198"/>
    <cellStyle name="20% - Accent4 3 3" xfId="199"/>
    <cellStyle name="20% - Accent4 3 4" xfId="200"/>
    <cellStyle name="20% - Accent4 3_AGL" xfId="201"/>
    <cellStyle name="20% - Accent4 4" xfId="202"/>
    <cellStyle name="20% - Accent4 4 2" xfId="203"/>
    <cellStyle name="20% - Accent4 4 3" xfId="204"/>
    <cellStyle name="20% - Accent4 4_AGL" xfId="205"/>
    <cellStyle name="20% - Accent4 5" xfId="206"/>
    <cellStyle name="20% - Accent4 6" xfId="207"/>
    <cellStyle name="20% - Accent5 2" xfId="208"/>
    <cellStyle name="20% - Accent5 2 2" xfId="209"/>
    <cellStyle name="20% - Accent5 2 2 2" xfId="210"/>
    <cellStyle name="20% - Accent5 2 2 3" xfId="211"/>
    <cellStyle name="20% - Accent5 2 2_AGL" xfId="212"/>
    <cellStyle name="20% - Accent5 2 3" xfId="213"/>
    <cellStyle name="20% - Accent5 2 4" xfId="214"/>
    <cellStyle name="20% - Accent5 2_AGL" xfId="215"/>
    <cellStyle name="20% - Accent5 3" xfId="216"/>
    <cellStyle name="20% - Accent5 3 2" xfId="217"/>
    <cellStyle name="20% - Accent5 3 2 2" xfId="218"/>
    <cellStyle name="20% - Accent5 3 2 3" xfId="219"/>
    <cellStyle name="20% - Accent5 3 2_AGL" xfId="220"/>
    <cellStyle name="20% - Accent5 3 3" xfId="221"/>
    <cellStyle name="20% - Accent5 3 4" xfId="222"/>
    <cellStyle name="20% - Accent5 3_AGL" xfId="223"/>
    <cellStyle name="20% - Accent5 4" xfId="224"/>
    <cellStyle name="20% - Accent5 4 2" xfId="225"/>
    <cellStyle name="20% - Accent5 4 3" xfId="226"/>
    <cellStyle name="20% - Accent5 4_AGL" xfId="227"/>
    <cellStyle name="20% - Accent5 5" xfId="228"/>
    <cellStyle name="20% - Accent5 6" xfId="229"/>
    <cellStyle name="20% - Accent6 10" xfId="230"/>
    <cellStyle name="20% - Accent6 2" xfId="231"/>
    <cellStyle name="20% - Accent6 2 2" xfId="232"/>
    <cellStyle name="20% - Accent6 2 2 2" xfId="233"/>
    <cellStyle name="20% - Accent6 2 2 3" xfId="234"/>
    <cellStyle name="20% - Accent6 2 2_AGL" xfId="235"/>
    <cellStyle name="20% - Accent6 2 3" xfId="236"/>
    <cellStyle name="20% - Accent6 2 4" xfId="237"/>
    <cellStyle name="20% - Accent6 2_AGL" xfId="238"/>
    <cellStyle name="20% - Accent6 3" xfId="239"/>
    <cellStyle name="20% - Accent6 3 2" xfId="240"/>
    <cellStyle name="20% - Accent6 3 2 2" xfId="241"/>
    <cellStyle name="20% - Accent6 3 2 3" xfId="242"/>
    <cellStyle name="20% - Accent6 3 2_AGL" xfId="243"/>
    <cellStyle name="20% - Accent6 3 3" xfId="244"/>
    <cellStyle name="20% - Accent6 3 4" xfId="245"/>
    <cellStyle name="20% - Accent6 3_AGL" xfId="246"/>
    <cellStyle name="20% - Accent6 4" xfId="247"/>
    <cellStyle name="20% - Accent6 4 2" xfId="248"/>
    <cellStyle name="20% - Accent6 4 2 2" xfId="249"/>
    <cellStyle name="20% - Accent6 4 2 3" xfId="250"/>
    <cellStyle name="20% - Accent6 4 2_AGL" xfId="251"/>
    <cellStyle name="20% - Accent6 4 3" xfId="252"/>
    <cellStyle name="20% - Accent6 4 3 2" xfId="253"/>
    <cellStyle name="20% - Accent6 4 4" xfId="254"/>
    <cellStyle name="20% - Accent6 4 5" xfId="255"/>
    <cellStyle name="20% - Accent6 4_AGL" xfId="256"/>
    <cellStyle name="20% - Accent6 5" xfId="257"/>
    <cellStyle name="20% - Accent6 5 2" xfId="258"/>
    <cellStyle name="20% - Accent6 5 2 2" xfId="259"/>
    <cellStyle name="20% - Accent6 5 2 3" xfId="260"/>
    <cellStyle name="20% - Accent6 5 2_AGL" xfId="261"/>
    <cellStyle name="20% - Accent6 5 3" xfId="262"/>
    <cellStyle name="20% - Accent6 5 4" xfId="263"/>
    <cellStyle name="20% - Accent6 5_AGL" xfId="264"/>
    <cellStyle name="20% - Accent6 6" xfId="265"/>
    <cellStyle name="20% - Accent6 6 2" xfId="266"/>
    <cellStyle name="20% - Accent6 6 2 2" xfId="267"/>
    <cellStyle name="20% - Accent6 6 2 3" xfId="268"/>
    <cellStyle name="20% - Accent6 6 2_AGL" xfId="269"/>
    <cellStyle name="20% - Accent6 6 3" xfId="270"/>
    <cellStyle name="20% - Accent6 6 4" xfId="271"/>
    <cellStyle name="20% - Accent6 6_AGL" xfId="272"/>
    <cellStyle name="20% - Accent6 7" xfId="273"/>
    <cellStyle name="20% - Accent6 7 2" xfId="274"/>
    <cellStyle name="20% - Accent6 7 2 2" xfId="275"/>
    <cellStyle name="20% - Accent6 7 2 3" xfId="276"/>
    <cellStyle name="20% - Accent6 7 2_AGL" xfId="277"/>
    <cellStyle name="20% - Accent6 7 3" xfId="278"/>
    <cellStyle name="20% - Accent6 7 4" xfId="279"/>
    <cellStyle name="20% - Accent6 7_AGL" xfId="280"/>
    <cellStyle name="20% - Accent6 8" xfId="281"/>
    <cellStyle name="20% - Accent6 8 2" xfId="282"/>
    <cellStyle name="20% - Accent6 8 3" xfId="283"/>
    <cellStyle name="20% - Accent6 8_AGL" xfId="284"/>
    <cellStyle name="20% - Accent6 9" xfId="285"/>
    <cellStyle name="40% - Accent1 2" xfId="286"/>
    <cellStyle name="40% - Accent1 2 2" xfId="287"/>
    <cellStyle name="40% - Accent1 2 2 2" xfId="288"/>
    <cellStyle name="40% - Accent1 2 2 3" xfId="289"/>
    <cellStyle name="40% - Accent1 2 2_AGL" xfId="290"/>
    <cellStyle name="40% - Accent1 2 3" xfId="291"/>
    <cellStyle name="40% - Accent1 2 4" xfId="292"/>
    <cellStyle name="40% - Accent1 2_AGL" xfId="293"/>
    <cellStyle name="40% - Accent1 3" xfId="294"/>
    <cellStyle name="40% - Accent1 3 2" xfId="295"/>
    <cellStyle name="40% - Accent1 3 2 2" xfId="296"/>
    <cellStyle name="40% - Accent1 3 2 3" xfId="297"/>
    <cellStyle name="40% - Accent1 3 2_AGL" xfId="298"/>
    <cellStyle name="40% - Accent1 3 3" xfId="299"/>
    <cellStyle name="40% - Accent1 3 4" xfId="300"/>
    <cellStyle name="40% - Accent1 3_AGL" xfId="301"/>
    <cellStyle name="40% - Accent1 4" xfId="302"/>
    <cellStyle name="40% - Accent1 4 2" xfId="303"/>
    <cellStyle name="40% - Accent1 4 3" xfId="304"/>
    <cellStyle name="40% - Accent1 4_AGL" xfId="305"/>
    <cellStyle name="40% - Accent1 5" xfId="306"/>
    <cellStyle name="40% - Accent1 6" xfId="307"/>
    <cellStyle name="40% - Accent2 2" xfId="308"/>
    <cellStyle name="40% - Accent2 2 2" xfId="309"/>
    <cellStyle name="40% - Accent2 2 2 2" xfId="310"/>
    <cellStyle name="40% - Accent2 2 2 3" xfId="311"/>
    <cellStyle name="40% - Accent2 2 2_AGL" xfId="312"/>
    <cellStyle name="40% - Accent2 2 3" xfId="313"/>
    <cellStyle name="40% - Accent2 2 4" xfId="314"/>
    <cellStyle name="40% - Accent2 2_AGL" xfId="315"/>
    <cellStyle name="40% - Accent2 3" xfId="316"/>
    <cellStyle name="40% - Accent2 3 2" xfId="317"/>
    <cellStyle name="40% - Accent2 3 2 2" xfId="318"/>
    <cellStyle name="40% - Accent2 3 2 3" xfId="319"/>
    <cellStyle name="40% - Accent2 3 2_AGL" xfId="320"/>
    <cellStyle name="40% - Accent2 3 3" xfId="321"/>
    <cellStyle name="40% - Accent2 3 4" xfId="322"/>
    <cellStyle name="40% - Accent2 3_AGL" xfId="323"/>
    <cellStyle name="40% - Accent2 4" xfId="324"/>
    <cellStyle name="40% - Accent2 4 2" xfId="325"/>
    <cellStyle name="40% - Accent2 4 3" xfId="326"/>
    <cellStyle name="40% - Accent2 4_AGL" xfId="327"/>
    <cellStyle name="40% - Accent2 5" xfId="328"/>
    <cellStyle name="40% - Accent2 6" xfId="329"/>
    <cellStyle name="40% - Accent3 2" xfId="330"/>
    <cellStyle name="40% - Accent3 2 2" xfId="331"/>
    <cellStyle name="40% - Accent3 2 2 2" xfId="332"/>
    <cellStyle name="40% - Accent3 2 2 3" xfId="333"/>
    <cellStyle name="40% - Accent3 2 2_AGL" xfId="334"/>
    <cellStyle name="40% - Accent3 2 3" xfId="335"/>
    <cellStyle name="40% - Accent3 2 4" xfId="336"/>
    <cellStyle name="40% - Accent3 2_AGL" xfId="337"/>
    <cellStyle name="40% - Accent3 3" xfId="338"/>
    <cellStyle name="40% - Accent3 3 2" xfId="339"/>
    <cellStyle name="40% - Accent3 3 2 2" xfId="340"/>
    <cellStyle name="40% - Accent3 3 2 3" xfId="341"/>
    <cellStyle name="40% - Accent3 3 2_AGL" xfId="342"/>
    <cellStyle name="40% - Accent3 3 3" xfId="343"/>
    <cellStyle name="40% - Accent3 3 4" xfId="344"/>
    <cellStyle name="40% - Accent3 3_AGL" xfId="345"/>
    <cellStyle name="40% - Accent3 4" xfId="346"/>
    <cellStyle name="40% - Accent3 4 2" xfId="347"/>
    <cellStyle name="40% - Accent3 4 3" xfId="348"/>
    <cellStyle name="40% - Accent3 4_AGL" xfId="349"/>
    <cellStyle name="40% - Accent3 5" xfId="350"/>
    <cellStyle name="40% - Accent3 6" xfId="351"/>
    <cellStyle name="40% - Accent4 2" xfId="352"/>
    <cellStyle name="40% - Accent4 2 2" xfId="353"/>
    <cellStyle name="40% - Accent4 2 2 2" xfId="354"/>
    <cellStyle name="40% - Accent4 2 2 3" xfId="355"/>
    <cellStyle name="40% - Accent4 2 2_AGL" xfId="356"/>
    <cellStyle name="40% - Accent4 2 3" xfId="357"/>
    <cellStyle name="40% - Accent4 2 4" xfId="358"/>
    <cellStyle name="40% - Accent4 2_AGL" xfId="359"/>
    <cellStyle name="40% - Accent4 3" xfId="360"/>
    <cellStyle name="40% - Accent4 3 2" xfId="361"/>
    <cellStyle name="40% - Accent4 3 2 2" xfId="362"/>
    <cellStyle name="40% - Accent4 3 2 3" xfId="363"/>
    <cellStyle name="40% - Accent4 3 2_AGL" xfId="364"/>
    <cellStyle name="40% - Accent4 3 3" xfId="365"/>
    <cellStyle name="40% - Accent4 3 4" xfId="366"/>
    <cellStyle name="40% - Accent4 3_AGL" xfId="367"/>
    <cellStyle name="40% - Accent4 4" xfId="368"/>
    <cellStyle name="40% - Accent4 4 2" xfId="369"/>
    <cellStyle name="40% - Accent4 4 3" xfId="370"/>
    <cellStyle name="40% - Accent4 4_AGL" xfId="371"/>
    <cellStyle name="40% - Accent4 5" xfId="372"/>
    <cellStyle name="40% - Accent4 6" xfId="373"/>
    <cellStyle name="40% - Accent5 2" xfId="374"/>
    <cellStyle name="40% - Accent5 2 2" xfId="375"/>
    <cellStyle name="40% - Accent5 2 2 2" xfId="376"/>
    <cellStyle name="40% - Accent5 2 2 3" xfId="377"/>
    <cellStyle name="40% - Accent5 2 2_AGL" xfId="378"/>
    <cellStyle name="40% - Accent5 2 3" xfId="379"/>
    <cellStyle name="40% - Accent5 2 4" xfId="380"/>
    <cellStyle name="40% - Accent5 2_AGL" xfId="381"/>
    <cellStyle name="40% - Accent5 3" xfId="382"/>
    <cellStyle name="40% - Accent5 3 2" xfId="383"/>
    <cellStyle name="40% - Accent5 3 2 2" xfId="384"/>
    <cellStyle name="40% - Accent5 3 2 3" xfId="385"/>
    <cellStyle name="40% - Accent5 3 2_AGL" xfId="386"/>
    <cellStyle name="40% - Accent5 3 3" xfId="387"/>
    <cellStyle name="40% - Accent5 3 4" xfId="388"/>
    <cellStyle name="40% - Accent5 3_AGL" xfId="389"/>
    <cellStyle name="40% - Accent5 4" xfId="390"/>
    <cellStyle name="40% - Accent5 4 2" xfId="391"/>
    <cellStyle name="40% - Accent5 4 3" xfId="392"/>
    <cellStyle name="40% - Accent5 4_AGL" xfId="393"/>
    <cellStyle name="40% - Accent5 5" xfId="394"/>
    <cellStyle name="40% - Accent5 6" xfId="395"/>
    <cellStyle name="40% - Accent6 2" xfId="396"/>
    <cellStyle name="40% - Accent6 2 2" xfId="397"/>
    <cellStyle name="40% - Accent6 2 2 2" xfId="398"/>
    <cellStyle name="40% - Accent6 2 2 3" xfId="399"/>
    <cellStyle name="40% - Accent6 2 2_AGL" xfId="400"/>
    <cellStyle name="40% - Accent6 2 3" xfId="401"/>
    <cellStyle name="40% - Accent6 2 4" xfId="402"/>
    <cellStyle name="40% - Accent6 2_AGL" xfId="403"/>
    <cellStyle name="40% - Accent6 3" xfId="404"/>
    <cellStyle name="40% - Accent6 3 2" xfId="405"/>
    <cellStyle name="40% - Accent6 3 2 2" xfId="406"/>
    <cellStyle name="40% - Accent6 3 2 3" xfId="407"/>
    <cellStyle name="40% - Accent6 3 2_AGL" xfId="408"/>
    <cellStyle name="40% - Accent6 3 3" xfId="409"/>
    <cellStyle name="40% - Accent6 3 4" xfId="410"/>
    <cellStyle name="40% - Accent6 3_AGL" xfId="411"/>
    <cellStyle name="40% - Accent6 4" xfId="412"/>
    <cellStyle name="40% - Accent6 4 2" xfId="413"/>
    <cellStyle name="40% - Accent6 4 3" xfId="414"/>
    <cellStyle name="40% - Accent6 4_AGL" xfId="415"/>
    <cellStyle name="40% - Accent6 5" xfId="416"/>
    <cellStyle name="40% - Accent6 6" xfId="417"/>
    <cellStyle name="60% - Accent1 2" xfId="418"/>
    <cellStyle name="60% - Accent1 2 2" xfId="419"/>
    <cellStyle name="60% - Accent1 2 3" xfId="420"/>
    <cellStyle name="60% - Accent1 2_AGL" xfId="421"/>
    <cellStyle name="60% - Accent1 3" xfId="422"/>
    <cellStyle name="60% - Accent1 4" xfId="423"/>
    <cellStyle name="60% - Accent2 2" xfId="424"/>
    <cellStyle name="60% - Accent2 2 2" xfId="425"/>
    <cellStyle name="60% - Accent2 2 3" xfId="426"/>
    <cellStyle name="60% - Accent2 2_AGL" xfId="427"/>
    <cellStyle name="60% - Accent2 3" xfId="428"/>
    <cellStyle name="60% - Accent2 4" xfId="429"/>
    <cellStyle name="60% - Accent3 2" xfId="430"/>
    <cellStyle name="60% - Accent3 2 2" xfId="431"/>
    <cellStyle name="60% - Accent3 2 3" xfId="432"/>
    <cellStyle name="60% - Accent3 2_AGL" xfId="433"/>
    <cellStyle name="60% - Accent3 3" xfId="434"/>
    <cellStyle name="60% - Accent3 4" xfId="435"/>
    <cellStyle name="60% - Accent4 2" xfId="436"/>
    <cellStyle name="60% - Accent4 2 2" xfId="437"/>
    <cellStyle name="60% - Accent4 2 3" xfId="438"/>
    <cellStyle name="60% - Accent4 2_AGL" xfId="439"/>
    <cellStyle name="60% - Accent4 3" xfId="440"/>
    <cellStyle name="60% - Accent4 4" xfId="441"/>
    <cellStyle name="60% - Accent5 2" xfId="442"/>
    <cellStyle name="60% - Accent5 2 2" xfId="443"/>
    <cellStyle name="60% - Accent5 2 3" xfId="444"/>
    <cellStyle name="60% - Accent5 2_AGL" xfId="445"/>
    <cellStyle name="60% - Accent5 3" xfId="446"/>
    <cellStyle name="60% - Accent5 4" xfId="447"/>
    <cellStyle name="60% - Accent6 2" xfId="448"/>
    <cellStyle name="60% - Accent6 2 2" xfId="449"/>
    <cellStyle name="60% - Accent6 2 3" xfId="450"/>
    <cellStyle name="60% - Accent6 2_AGL" xfId="451"/>
    <cellStyle name="60% - Accent6 3" xfId="452"/>
    <cellStyle name="60% - Accent6 4" xfId="453"/>
    <cellStyle name="Accent1 2" xfId="454"/>
    <cellStyle name="Accent1 2 2" xfId="455"/>
    <cellStyle name="Accent1 2 3" xfId="456"/>
    <cellStyle name="Accent1 2_AGL" xfId="457"/>
    <cellStyle name="Accent1 3" xfId="458"/>
    <cellStyle name="Accent1 4" xfId="459"/>
    <cellStyle name="Accent2 2" xfId="460"/>
    <cellStyle name="Accent2 2 2" xfId="461"/>
    <cellStyle name="Accent2 2 3" xfId="462"/>
    <cellStyle name="Accent2 2_AGL" xfId="463"/>
    <cellStyle name="Accent2 3" xfId="464"/>
    <cellStyle name="Accent2 4" xfId="465"/>
    <cellStyle name="Accent3 2" xfId="466"/>
    <cellStyle name="Accent3 2 2" xfId="467"/>
    <cellStyle name="Accent3 2 3" xfId="468"/>
    <cellStyle name="Accent3 2_AGL" xfId="469"/>
    <cellStyle name="Accent3 3" xfId="470"/>
    <cellStyle name="Accent3 4" xfId="471"/>
    <cellStyle name="Accent4 2" xfId="472"/>
    <cellStyle name="Accent4 2 2" xfId="473"/>
    <cellStyle name="Accent4 2 3" xfId="474"/>
    <cellStyle name="Accent4 2_AGL" xfId="475"/>
    <cellStyle name="Accent4 3" xfId="476"/>
    <cellStyle name="Accent4 3 2" xfId="477"/>
    <cellStyle name="Accent4 3 3" xfId="478"/>
    <cellStyle name="Accent4 3_AGL" xfId="479"/>
    <cellStyle name="Accent4 4" xfId="480"/>
    <cellStyle name="Accent4 5" xfId="481"/>
    <cellStyle name="Accent5 2" xfId="482"/>
    <cellStyle name="Accent5 2 2" xfId="483"/>
    <cellStyle name="Accent5 2 3" xfId="484"/>
    <cellStyle name="Accent5 2_AGL" xfId="485"/>
    <cellStyle name="Accent5 3" xfId="486"/>
    <cellStyle name="Accent5 4" xfId="487"/>
    <cellStyle name="Accent6 2" xfId="488"/>
    <cellStyle name="Accent6 2 2" xfId="489"/>
    <cellStyle name="Accent6 2 3" xfId="490"/>
    <cellStyle name="Accent6 2_AGL" xfId="491"/>
    <cellStyle name="Accent6 3" xfId="492"/>
    <cellStyle name="Accent6 3 2" xfId="493"/>
    <cellStyle name="Accent6 3 3" xfId="494"/>
    <cellStyle name="Accent6 3_AGL" xfId="495"/>
    <cellStyle name="Accent6 4" xfId="496"/>
    <cellStyle name="Accent6 5" xfId="497"/>
    <cellStyle name="Advanced user input" xfId="498"/>
    <cellStyle name="Advanced user input 2" xfId="499"/>
    <cellStyle name="Advanced user input 2 2" xfId="500"/>
    <cellStyle name="Advanced user input 2_Sheet10" xfId="501"/>
    <cellStyle name="Advanced user input 3" xfId="502"/>
    <cellStyle name="Advanced user input_AGL" xfId="503"/>
    <cellStyle name="Bad 2 10" xfId="504"/>
    <cellStyle name="Bad 2 2" xfId="505"/>
    <cellStyle name="Bad 2 2 2" xfId="506"/>
    <cellStyle name="Bad 2 2 3" xfId="507"/>
    <cellStyle name="Bad 2 2_AGL" xfId="508"/>
    <cellStyle name="Bad 2 3" xfId="509"/>
    <cellStyle name="Bad 2 4" xfId="510"/>
    <cellStyle name="Bad 2 5" xfId="511"/>
    <cellStyle name="Bad 2 6" xfId="512"/>
    <cellStyle name="Bad 2 7" xfId="513"/>
    <cellStyle name="Bad 2 8" xfId="514"/>
    <cellStyle name="Bad 2 9" xfId="515"/>
    <cellStyle name="Bad 2_AGL" xfId="516"/>
    <cellStyle name="Bad 3" xfId="517"/>
    <cellStyle name="Bad 3 2" xfId="518"/>
    <cellStyle name="Bad 3 2 2" xfId="519"/>
    <cellStyle name="Bad 3 2 3" xfId="520"/>
    <cellStyle name="Bad 3 2_AGL" xfId="521"/>
    <cellStyle name="Bad 3 3" xfId="522"/>
    <cellStyle name="Bad 3 4" xfId="523"/>
    <cellStyle name="Bad 3_AGL" xfId="524"/>
    <cellStyle name="Bad 4" xfId="525"/>
    <cellStyle name="Bad 4 2" xfId="526"/>
    <cellStyle name="Bad 4 3" xfId="527"/>
    <cellStyle name="Bad 4_AGL" xfId="528"/>
    <cellStyle name="Bad 5" xfId="529"/>
    <cellStyle name="Bad 6" xfId="530"/>
    <cellStyle name="Basic User Data Input 2" xfId="531"/>
    <cellStyle name="Basic User Data Input 2 2" xfId="532"/>
    <cellStyle name="Basic User Data Input 2_Sheet10" xfId="533"/>
    <cellStyle name="Basic User Data Input 3" xfId="534"/>
    <cellStyle name="Basic User Data Input_AGL" xfId="535"/>
    <cellStyle name="Basic User Selection" xfId="536"/>
    <cellStyle name="Basic User Selection 2" xfId="537"/>
    <cellStyle name="Basic User Selection 2 2" xfId="538"/>
    <cellStyle name="Basic User Selection 2_Sheet10" xfId="539"/>
    <cellStyle name="Basic User Selection 3" xfId="540"/>
    <cellStyle name="Basic User Selection_AGL" xfId="541"/>
    <cellStyle name="Calc 2" xfId="542"/>
    <cellStyle name="Calc 2 2" xfId="543"/>
    <cellStyle name="Calc 2 2 2" xfId="544"/>
    <cellStyle name="Calc 2 2 3" xfId="545"/>
    <cellStyle name="Calc 2 2_AGL" xfId="546"/>
    <cellStyle name="Calc 2 3" xfId="547"/>
    <cellStyle name="Calc 2 4" xfId="548"/>
    <cellStyle name="Calc 2_AGL" xfId="549"/>
    <cellStyle name="Calc 3" xfId="550"/>
    <cellStyle name="Calc 4" xfId="551"/>
    <cellStyle name="Calc_AGL" xfId="552"/>
    <cellStyle name="Calculation 2" xfId="553"/>
    <cellStyle name="Calculation 2 2" xfId="554"/>
    <cellStyle name="Calculation 2 2 2" xfId="555"/>
    <cellStyle name="Calculation 2 2_Sheet10" xfId="556"/>
    <cellStyle name="Calculation 2 3" xfId="557"/>
    <cellStyle name="Calculation 2_AGL" xfId="558"/>
    <cellStyle name="Calculation 3" xfId="559"/>
    <cellStyle name="Calculation 3 2" xfId="560"/>
    <cellStyle name="Calculation 3 2 2" xfId="561"/>
    <cellStyle name="Calculation 3 2_Sheet10" xfId="562"/>
    <cellStyle name="Calculation 3 3" xfId="563"/>
    <cellStyle name="Calculation 3_AGL" xfId="564"/>
    <cellStyle name="Calculation 4" xfId="565"/>
    <cellStyle name="Calculation 4 2" xfId="566"/>
    <cellStyle name="Calculation 4 2 2" xfId="567"/>
    <cellStyle name="Calculation 4 2_Sheet10" xfId="568"/>
    <cellStyle name="Calculation 4 3" xfId="569"/>
    <cellStyle name="Calculation 4_AGL" xfId="570"/>
    <cellStyle name="Calculation 5" xfId="571"/>
    <cellStyle name="Calculation 5 2" xfId="572"/>
    <cellStyle name="Calculation 5_Sheet10" xfId="573"/>
    <cellStyle name="Calculation 6" xfId="574"/>
    <cellStyle name="Check Cell 2" xfId="575"/>
    <cellStyle name="Check Cell 2 2" xfId="576"/>
    <cellStyle name="Check Cell 2 3" xfId="577"/>
    <cellStyle name="Check Cell 2_AGL" xfId="578"/>
    <cellStyle name="Check Cell 3" xfId="579"/>
    <cellStyle name="Check Cell 4" xfId="580"/>
    <cellStyle name="Comma  - Style1" xfId="581"/>
    <cellStyle name="Comma  - Style2" xfId="582"/>
    <cellStyle name="Comma  - Style3" xfId="583"/>
    <cellStyle name="Comma  - Style4" xfId="584"/>
    <cellStyle name="Comma  - Style5" xfId="585"/>
    <cellStyle name="Comma  - Style6" xfId="586"/>
    <cellStyle name="Comma  - Style7" xfId="587"/>
    <cellStyle name="Comma  - Style8" xfId="588"/>
    <cellStyle name="Comma [0] 2" xfId="589"/>
    <cellStyle name="Comma [0] 2 2" xfId="590"/>
    <cellStyle name="Comma [0] 2 3" xfId="591"/>
    <cellStyle name="Comma 10" xfId="592"/>
    <cellStyle name="Comma 10 2" xfId="593"/>
    <cellStyle name="Comma 10 2 2" xfId="594"/>
    <cellStyle name="Comma 10 2 2 2" xfId="595"/>
    <cellStyle name="Comma 10 2 3" xfId="596"/>
    <cellStyle name="Comma 10 2 3 2" xfId="597"/>
    <cellStyle name="Comma 10 2 4" xfId="598"/>
    <cellStyle name="Comma 10 3" xfId="599"/>
    <cellStyle name="Comma 10 3 2" xfId="600"/>
    <cellStyle name="Comma 10 3 2 2" xfId="601"/>
    <cellStyle name="Comma 10 3 3" xfId="602"/>
    <cellStyle name="Comma 10 3 3 2" xfId="603"/>
    <cellStyle name="Comma 10 3 4" xfId="604"/>
    <cellStyle name="Comma 10 4" xfId="605"/>
    <cellStyle name="Comma 10 4 2" xfId="606"/>
    <cellStyle name="Comma 10 4 2 2" xfId="607"/>
    <cellStyle name="Comma 10 4 3" xfId="608"/>
    <cellStyle name="Comma 10 4 3 2" xfId="609"/>
    <cellStyle name="Comma 10 4 4" xfId="610"/>
    <cellStyle name="Comma 10 5" xfId="611"/>
    <cellStyle name="Comma 10 5 2" xfId="612"/>
    <cellStyle name="Comma 10 5 2 2" xfId="613"/>
    <cellStyle name="Comma 10 5 3" xfId="614"/>
    <cellStyle name="Comma 10 5 3 2" xfId="615"/>
    <cellStyle name="Comma 10 5 4" xfId="616"/>
    <cellStyle name="Comma 10 6" xfId="617"/>
    <cellStyle name="Comma 10 7" xfId="618"/>
    <cellStyle name="Comma 11" xfId="619"/>
    <cellStyle name="Comma 11 2" xfId="620"/>
    <cellStyle name="Comma 11 2 2" xfId="621"/>
    <cellStyle name="Comma 11 2 2 2" xfId="622"/>
    <cellStyle name="Comma 11 2 3" xfId="623"/>
    <cellStyle name="Comma 11 2 3 2" xfId="624"/>
    <cellStyle name="Comma 11 2 4" xfId="625"/>
    <cellStyle name="Comma 11 3" xfId="626"/>
    <cellStyle name="Comma 11 3 2" xfId="627"/>
    <cellStyle name="Comma 11 3 2 2" xfId="628"/>
    <cellStyle name="Comma 11 3 3" xfId="629"/>
    <cellStyle name="Comma 11 3 3 2" xfId="630"/>
    <cellStyle name="Comma 11 3 4" xfId="631"/>
    <cellStyle name="Comma 11 4" xfId="632"/>
    <cellStyle name="Comma 11 4 2" xfId="633"/>
    <cellStyle name="Comma 11 4 2 2" xfId="634"/>
    <cellStyle name="Comma 11 4 3" xfId="635"/>
    <cellStyle name="Comma 11 4 3 2" xfId="636"/>
    <cellStyle name="Comma 11 4 4" xfId="637"/>
    <cellStyle name="Comma 11 5" xfId="638"/>
    <cellStyle name="Comma 11 5 2" xfId="639"/>
    <cellStyle name="Comma 11 5 2 2" xfId="640"/>
    <cellStyle name="Comma 11 5 3" xfId="641"/>
    <cellStyle name="Comma 11 5 3 2" xfId="642"/>
    <cellStyle name="Comma 11 5 4" xfId="643"/>
    <cellStyle name="Comma 11 6" xfId="644"/>
    <cellStyle name="Comma 11 7" xfId="645"/>
    <cellStyle name="Comma 12" xfId="646"/>
    <cellStyle name="Comma 12 2" xfId="647"/>
    <cellStyle name="Comma 12 2 2" xfId="648"/>
    <cellStyle name="Comma 12 3" xfId="649"/>
    <cellStyle name="Comma 12 3 2" xfId="650"/>
    <cellStyle name="Comma 12 4" xfId="651"/>
    <cellStyle name="Comma 13" xfId="652"/>
    <cellStyle name="Comma 13 2" xfId="653"/>
    <cellStyle name="Comma 13 2 2" xfId="654"/>
    <cellStyle name="Comma 13 3" xfId="655"/>
    <cellStyle name="Comma 13 3 2" xfId="656"/>
    <cellStyle name="Comma 13 4" xfId="657"/>
    <cellStyle name="Comma 14" xfId="658"/>
    <cellStyle name="Comma 14 2" xfId="659"/>
    <cellStyle name="Comma 14 2 2" xfId="660"/>
    <cellStyle name="Comma 14 3" xfId="661"/>
    <cellStyle name="Comma 14 3 2" xfId="662"/>
    <cellStyle name="Comma 14 4" xfId="663"/>
    <cellStyle name="Comma 15" xfId="664"/>
    <cellStyle name="Comma 15 2" xfId="665"/>
    <cellStyle name="Comma 15 2 2" xfId="666"/>
    <cellStyle name="Comma 15 3" xfId="667"/>
    <cellStyle name="Comma 15 3 2" xfId="668"/>
    <cellStyle name="Comma 15 4" xfId="669"/>
    <cellStyle name="Comma 16" xfId="670"/>
    <cellStyle name="Comma 16 2" xfId="671"/>
    <cellStyle name="Comma 16 2 2" xfId="672"/>
    <cellStyle name="Comma 16 3" xfId="673"/>
    <cellStyle name="Comma 16 3 2" xfId="674"/>
    <cellStyle name="Comma 16 4" xfId="675"/>
    <cellStyle name="Comma 17" xfId="676"/>
    <cellStyle name="Comma 17 2" xfId="677"/>
    <cellStyle name="Comma 17 2 2" xfId="678"/>
    <cellStyle name="Comma 17 3" xfId="679"/>
    <cellStyle name="Comma 17 3 2" xfId="680"/>
    <cellStyle name="Comma 17 4" xfId="681"/>
    <cellStyle name="Comma 18" xfId="682"/>
    <cellStyle name="Comma 18 2" xfId="683"/>
    <cellStyle name="Comma 18 2 2" xfId="684"/>
    <cellStyle name="Comma 18 3" xfId="685"/>
    <cellStyle name="Comma 18 3 2" xfId="686"/>
    <cellStyle name="Comma 18 4" xfId="687"/>
    <cellStyle name="Comma 19" xfId="688"/>
    <cellStyle name="Comma 19 2" xfId="689"/>
    <cellStyle name="Comma 19 2 2" xfId="690"/>
    <cellStyle name="Comma 19 3" xfId="691"/>
    <cellStyle name="Comma 19 3 2" xfId="692"/>
    <cellStyle name="Comma 19 4" xfId="693"/>
    <cellStyle name="Comma 2 2 2" xfId="694"/>
    <cellStyle name="Comma 2 3" xfId="695"/>
    <cellStyle name="Comma 2 3 2" xfId="696"/>
    <cellStyle name="Comma 2 3 3" xfId="697"/>
    <cellStyle name="Comma 2 4" xfId="698"/>
    <cellStyle name="Comma 2 5" xfId="699"/>
    <cellStyle name="Comma 2 5 2" xfId="700"/>
    <cellStyle name="Comma 2 5 3" xfId="701"/>
    <cellStyle name="Comma 2 6" xfId="702"/>
    <cellStyle name="Comma 2 6 2" xfId="703"/>
    <cellStyle name="Comma 2 6 3" xfId="704"/>
    <cellStyle name="Comma 2 7" xfId="705"/>
    <cellStyle name="Comma 2 8" xfId="706"/>
    <cellStyle name="Comma 2 9" xfId="707"/>
    <cellStyle name="Comma 20" xfId="708"/>
    <cellStyle name="Comma 20 2" xfId="709"/>
    <cellStyle name="Comma 20 2 2" xfId="710"/>
    <cellStyle name="Comma 20 3" xfId="711"/>
    <cellStyle name="Comma 20 3 2" xfId="712"/>
    <cellStyle name="Comma 20 4" xfId="713"/>
    <cellStyle name="Comma 21" xfId="714"/>
    <cellStyle name="Comma 21 2" xfId="715"/>
    <cellStyle name="Comma 21 2 2" xfId="716"/>
    <cellStyle name="Comma 21 3" xfId="717"/>
    <cellStyle name="Comma 21 3 2" xfId="718"/>
    <cellStyle name="Comma 21 4" xfId="719"/>
    <cellStyle name="Comma 22" xfId="720"/>
    <cellStyle name="Comma 22 2" xfId="721"/>
    <cellStyle name="Comma 22 2 2" xfId="722"/>
    <cellStyle name="Comma 22 3" xfId="723"/>
    <cellStyle name="Comma 22 3 2" xfId="724"/>
    <cellStyle name="Comma 22 4" xfId="725"/>
    <cellStyle name="Comma 23" xfId="726"/>
    <cellStyle name="Comma 23 2" xfId="727"/>
    <cellStyle name="Comma 23 2 2" xfId="728"/>
    <cellStyle name="Comma 23 3" xfId="729"/>
    <cellStyle name="Comma 23 3 2" xfId="730"/>
    <cellStyle name="Comma 23 4" xfId="731"/>
    <cellStyle name="Comma 24" xfId="732"/>
    <cellStyle name="Comma 24 2" xfId="733"/>
    <cellStyle name="Comma 24 2 2" xfId="734"/>
    <cellStyle name="Comma 24 3" xfId="735"/>
    <cellStyle name="Comma 24 3 2" xfId="736"/>
    <cellStyle name="Comma 24 4" xfId="737"/>
    <cellStyle name="Comma 25" xfId="738"/>
    <cellStyle name="Comma 25 2" xfId="739"/>
    <cellStyle name="Comma 25 2 2" xfId="740"/>
    <cellStyle name="Comma 25 3" xfId="741"/>
    <cellStyle name="Comma 25 3 2" xfId="742"/>
    <cellStyle name="Comma 25 4" xfId="743"/>
    <cellStyle name="Comma 26" xfId="744"/>
    <cellStyle name="Comma 26 2" xfId="745"/>
    <cellStyle name="Comma 26 2 2" xfId="746"/>
    <cellStyle name="Comma 26 3" xfId="747"/>
    <cellStyle name="Comma 26 3 2" xfId="748"/>
    <cellStyle name="Comma 26 4" xfId="749"/>
    <cellStyle name="Comma 27" xfId="750"/>
    <cellStyle name="Comma 27 2" xfId="751"/>
    <cellStyle name="Comma 27 2 2" xfId="752"/>
    <cellStyle name="Comma 27 3" xfId="753"/>
    <cellStyle name="Comma 27 3 2" xfId="754"/>
    <cellStyle name="Comma 27 4" xfId="755"/>
    <cellStyle name="Comma 28" xfId="756"/>
    <cellStyle name="Comma 29" xfId="757"/>
    <cellStyle name="Comma 29 2" xfId="758"/>
    <cellStyle name="Comma 29 2 2" xfId="759"/>
    <cellStyle name="Comma 29 3" xfId="760"/>
    <cellStyle name="Comma 29 3 2" xfId="761"/>
    <cellStyle name="Comma 29 4" xfId="762"/>
    <cellStyle name="Comma 3 2 2" xfId="763"/>
    <cellStyle name="Comma 3 3" xfId="764"/>
    <cellStyle name="Comma 3 4" xfId="765"/>
    <cellStyle name="Comma 3 5" xfId="766"/>
    <cellStyle name="Comma 3 6" xfId="767"/>
    <cellStyle name="Comma 30" xfId="768"/>
    <cellStyle name="Comma 31" xfId="769"/>
    <cellStyle name="Comma 32" xfId="770"/>
    <cellStyle name="Comma 33" xfId="771"/>
    <cellStyle name="Comma 34" xfId="772"/>
    <cellStyle name="Comma 35" xfId="773"/>
    <cellStyle name="Comma 36" xfId="774"/>
    <cellStyle name="Comma 37" xfId="775"/>
    <cellStyle name="Comma 38" xfId="776"/>
    <cellStyle name="Comma 39" xfId="777"/>
    <cellStyle name="Comma 4" xfId="778"/>
    <cellStyle name="Comma 4 10" xfId="779"/>
    <cellStyle name="Comma 4 2" xfId="780"/>
    <cellStyle name="Comma 4 3" xfId="781"/>
    <cellStyle name="Comma 4 3 2" xfId="782"/>
    <cellStyle name="Comma 4 3 2 2" xfId="783"/>
    <cellStyle name="Comma 4 3 3" xfId="784"/>
    <cellStyle name="Comma 4 3 3 2" xfId="785"/>
    <cellStyle name="Comma 4 3 4" xfId="786"/>
    <cellStyle name="Comma 4 4" xfId="787"/>
    <cellStyle name="Comma 4 4 2" xfId="788"/>
    <cellStyle name="Comma 4 4 2 2" xfId="789"/>
    <cellStyle name="Comma 4 4 3" xfId="790"/>
    <cellStyle name="Comma 4 4 3 2" xfId="791"/>
    <cellStyle name="Comma 4 4 4" xfId="792"/>
    <cellStyle name="Comma 4 5" xfId="793"/>
    <cellStyle name="Comma 4 6" xfId="794"/>
    <cellStyle name="Comma 4 6 2" xfId="795"/>
    <cellStyle name="Comma 4 7" xfId="796"/>
    <cellStyle name="Comma 4 7 2" xfId="797"/>
    <cellStyle name="Comma 4 8" xfId="798"/>
    <cellStyle name="Comma 4 9" xfId="799"/>
    <cellStyle name="Comma 40" xfId="800"/>
    <cellStyle name="Comma 41" xfId="801"/>
    <cellStyle name="Comma 42" xfId="802"/>
    <cellStyle name="Comma 43" xfId="803"/>
    <cellStyle name="Comma 44" xfId="804"/>
    <cellStyle name="Comma 45" xfId="805"/>
    <cellStyle name="Comma 46" xfId="806"/>
    <cellStyle name="Comma 47" xfId="807"/>
    <cellStyle name="Comma 48" xfId="808"/>
    <cellStyle name="Comma 49" xfId="809"/>
    <cellStyle name="Comma 5" xfId="810"/>
    <cellStyle name="Comma 5 2" xfId="811"/>
    <cellStyle name="Comma 5 2 2" xfId="812"/>
    <cellStyle name="Comma 5 2 2 2" xfId="813"/>
    <cellStyle name="Comma 5 2 3" xfId="814"/>
    <cellStyle name="Comma 5 2 3 2" xfId="815"/>
    <cellStyle name="Comma 5 2 4" xfId="816"/>
    <cellStyle name="Comma 5 3" xfId="817"/>
    <cellStyle name="Comma 5 3 2" xfId="818"/>
    <cellStyle name="Comma 5 3 2 2" xfId="819"/>
    <cellStyle name="Comma 5 3 2 2 2" xfId="820"/>
    <cellStyle name="Comma 5 3 2 3" xfId="821"/>
    <cellStyle name="Comma 5 3 2 3 2" xfId="822"/>
    <cellStyle name="Comma 5 3 2 4" xfId="823"/>
    <cellStyle name="Comma 5 3 3" xfId="824"/>
    <cellStyle name="Comma 5 3 3 2" xfId="825"/>
    <cellStyle name="Comma 5 3 4" xfId="826"/>
    <cellStyle name="Comma 5 3 4 2" xfId="827"/>
    <cellStyle name="Comma 5 3 5" xfId="828"/>
    <cellStyle name="Comma 5 4" xfId="829"/>
    <cellStyle name="Comma 5 4 2" xfId="830"/>
    <cellStyle name="Comma 5 4 2 2" xfId="831"/>
    <cellStyle name="Comma 5 4 3" xfId="832"/>
    <cellStyle name="Comma 5 4 3 2" xfId="833"/>
    <cellStyle name="Comma 5 4 4" xfId="834"/>
    <cellStyle name="Comma 5 5" xfId="835"/>
    <cellStyle name="Comma 5 5 2" xfId="836"/>
    <cellStyle name="Comma 5 5 2 2" xfId="837"/>
    <cellStyle name="Comma 5 5 3" xfId="838"/>
    <cellStyle name="Comma 5 5 3 2" xfId="839"/>
    <cellStyle name="Comma 5 5 4" xfId="840"/>
    <cellStyle name="Comma 5 6" xfId="841"/>
    <cellStyle name="Comma 5 7" xfId="842"/>
    <cellStyle name="Comma 6" xfId="843"/>
    <cellStyle name="Comma 6 2" xfId="844"/>
    <cellStyle name="Comma 6 2 2" xfId="845"/>
    <cellStyle name="Comma 6 2 2 2" xfId="846"/>
    <cellStyle name="Comma 6 2 3" xfId="847"/>
    <cellStyle name="Comma 6 2 3 2" xfId="848"/>
    <cellStyle name="Comma 6 2 4" xfId="849"/>
    <cellStyle name="Comma 6 3" xfId="850"/>
    <cellStyle name="Comma 6 3 2" xfId="851"/>
    <cellStyle name="Comma 6 3 2 2" xfId="852"/>
    <cellStyle name="Comma 6 3 3" xfId="853"/>
    <cellStyle name="Comma 6 3 3 2" xfId="854"/>
    <cellStyle name="Comma 6 3 4" xfId="855"/>
    <cellStyle name="Comma 6 4" xfId="856"/>
    <cellStyle name="Comma 6 4 2" xfId="857"/>
    <cellStyle name="Comma 6 4 2 2" xfId="858"/>
    <cellStyle name="Comma 6 4 3" xfId="859"/>
    <cellStyle name="Comma 6 4 3 2" xfId="860"/>
    <cellStyle name="Comma 6 4 4" xfId="861"/>
    <cellStyle name="Comma 6 5" xfId="862"/>
    <cellStyle name="Comma 6 5 2" xfId="863"/>
    <cellStyle name="Comma 6 6" xfId="864"/>
    <cellStyle name="Comma 6 6 2" xfId="865"/>
    <cellStyle name="Comma 6 7" xfId="866"/>
    <cellStyle name="Comma 7" xfId="867"/>
    <cellStyle name="Comma 7 2" xfId="868"/>
    <cellStyle name="Comma 7 2 2" xfId="869"/>
    <cellStyle name="Comma 7 2 2 2" xfId="870"/>
    <cellStyle name="Comma 7 2 3" xfId="871"/>
    <cellStyle name="Comma 7 2 3 2" xfId="872"/>
    <cellStyle name="Comma 7 2 4" xfId="873"/>
    <cellStyle name="Comma 7 3" xfId="874"/>
    <cellStyle name="Comma 7 3 2" xfId="875"/>
    <cellStyle name="Comma 7 3 2 2" xfId="876"/>
    <cellStyle name="Comma 7 3 3" xfId="877"/>
    <cellStyle name="Comma 7 3 3 2" xfId="878"/>
    <cellStyle name="Comma 7 3 4" xfId="879"/>
    <cellStyle name="Comma 7 4" xfId="880"/>
    <cellStyle name="Comma 7 4 2" xfId="881"/>
    <cellStyle name="Comma 7 5" xfId="882"/>
    <cellStyle name="Comma 7 5 2" xfId="883"/>
    <cellStyle name="Comma 7 6" xfId="884"/>
    <cellStyle name="Comma 7 7" xfId="885"/>
    <cellStyle name="Comma 7 8" xfId="886"/>
    <cellStyle name="Comma 8" xfId="887"/>
    <cellStyle name="Comma 8 10" xfId="888"/>
    <cellStyle name="Comma 8 10 2" xfId="889"/>
    <cellStyle name="Comma 8 11" xfId="890"/>
    <cellStyle name="Comma 8 11 2" xfId="891"/>
    <cellStyle name="Comma 8 12" xfId="892"/>
    <cellStyle name="Comma 8 2" xfId="893"/>
    <cellStyle name="Comma 8 2 2" xfId="894"/>
    <cellStyle name="Comma 8 2 2 2" xfId="895"/>
    <cellStyle name="Comma 8 2 3" xfId="896"/>
    <cellStyle name="Comma 8 2 3 2" xfId="897"/>
    <cellStyle name="Comma 8 2 4" xfId="898"/>
    <cellStyle name="Comma 8 3" xfId="899"/>
    <cellStyle name="Comma 8 3 2" xfId="900"/>
    <cellStyle name="Comma 8 3 2 2" xfId="901"/>
    <cellStyle name="Comma 8 3 3" xfId="902"/>
    <cellStyle name="Comma 8 3 3 2" xfId="903"/>
    <cellStyle name="Comma 8 3 4" xfId="904"/>
    <cellStyle name="Comma 8 4" xfId="905"/>
    <cellStyle name="Comma 8 4 2" xfId="906"/>
    <cellStyle name="Comma 8 4 2 2" xfId="907"/>
    <cellStyle name="Comma 8 4 3" xfId="908"/>
    <cellStyle name="Comma 8 4 3 2" xfId="909"/>
    <cellStyle name="Comma 8 4 4" xfId="910"/>
    <cellStyle name="Comma 8 5" xfId="911"/>
    <cellStyle name="Comma 8 5 2" xfId="912"/>
    <cellStyle name="Comma 8 5 2 2" xfId="913"/>
    <cellStyle name="Comma 8 5 3" xfId="914"/>
    <cellStyle name="Comma 8 5 3 2" xfId="915"/>
    <cellStyle name="Comma 8 5 4" xfId="916"/>
    <cellStyle name="Comma 8 6" xfId="917"/>
    <cellStyle name="Comma 8 6 2" xfId="918"/>
    <cellStyle name="Comma 8 6 2 2" xfId="919"/>
    <cellStyle name="Comma 8 6 3" xfId="920"/>
    <cellStyle name="Comma 8 6 3 2" xfId="921"/>
    <cellStyle name="Comma 8 6 4" xfId="922"/>
    <cellStyle name="Comma 8 7" xfId="923"/>
    <cellStyle name="Comma 8 7 2" xfId="924"/>
    <cellStyle name="Comma 8 7 2 2" xfId="925"/>
    <cellStyle name="Comma 8 7 3" xfId="926"/>
    <cellStyle name="Comma 8 7 3 2" xfId="927"/>
    <cellStyle name="Comma 8 7 4" xfId="928"/>
    <cellStyle name="Comma 8 8" xfId="929"/>
    <cellStyle name="Comma 8 8 2" xfId="930"/>
    <cellStyle name="Comma 8 8 2 2" xfId="931"/>
    <cellStyle name="Comma 8 8 3" xfId="932"/>
    <cellStyle name="Comma 8 8 3 2" xfId="933"/>
    <cellStyle name="Comma 8 8 4" xfId="934"/>
    <cellStyle name="Comma 8 9" xfId="935"/>
    <cellStyle name="Comma 8 9 2" xfId="936"/>
    <cellStyle name="Comma 8 9 2 2" xfId="937"/>
    <cellStyle name="Comma 8 9 3" xfId="938"/>
    <cellStyle name="Comma 8 9 3 2" xfId="939"/>
    <cellStyle name="Comma 8 9 4" xfId="940"/>
    <cellStyle name="Comma 9" xfId="941"/>
    <cellStyle name="Comma 9 2" xfId="942"/>
    <cellStyle name="Comma 9 2 2" xfId="943"/>
    <cellStyle name="Comma 9 2 2 2" xfId="944"/>
    <cellStyle name="Comma 9 2 3" xfId="945"/>
    <cellStyle name="Comma 9 2 3 2" xfId="946"/>
    <cellStyle name="Comma 9 2 4" xfId="947"/>
    <cellStyle name="Comma 9 3" xfId="948"/>
    <cellStyle name="Comma 9 3 2" xfId="949"/>
    <cellStyle name="Comma 9 4" xfId="950"/>
    <cellStyle name="Comma 9 4 2" xfId="951"/>
    <cellStyle name="Comma 9 5" xfId="952"/>
    <cellStyle name="Comma0" xfId="953"/>
    <cellStyle name="Currency 2" xfId="954"/>
    <cellStyle name="Currency 2 2" xfId="955"/>
    <cellStyle name="Currency 2 3" xfId="956"/>
    <cellStyle name="Currency 3" xfId="957"/>
    <cellStyle name="Currency 4" xfId="958"/>
    <cellStyle name="Currency0" xfId="959"/>
    <cellStyle name="Date" xfId="960"/>
    <cellStyle name="Excel Built-in Normal 2 2" xfId="961"/>
    <cellStyle name="Excel Built-in Normal 3" xfId="962"/>
    <cellStyle name="Excel Built-in Normal 3 2" xfId="963"/>
    <cellStyle name="Excel Built-in Normal 3 3" xfId="964"/>
    <cellStyle name="Excel Built-in Normal 3_AGL" xfId="965"/>
    <cellStyle name="Explanatory Text 2" xfId="966"/>
    <cellStyle name="Explanatory Text 2 2" xfId="967"/>
    <cellStyle name="Explanatory Text 2 3" xfId="968"/>
    <cellStyle name="Explanatory Text 2_AGL" xfId="969"/>
    <cellStyle name="Explanatory Text 3" xfId="970"/>
    <cellStyle name="Explanatory Text 4" xfId="971"/>
    <cellStyle name="External 2 2" xfId="972"/>
    <cellStyle name="External 2 3" xfId="973"/>
    <cellStyle name="External 2_AGL" xfId="974"/>
    <cellStyle name="External 3" xfId="975"/>
    <cellStyle name="External 3 2" xfId="976"/>
    <cellStyle name="External 3 3" xfId="977"/>
    <cellStyle name="External 3_AGL" xfId="978"/>
    <cellStyle name="External 4" xfId="979"/>
    <cellStyle name="External 5" xfId="980"/>
    <cellStyle name="External_AGL" xfId="981"/>
    <cellStyle name="F2" xfId="982"/>
    <cellStyle name="F3" xfId="983"/>
    <cellStyle name="F4" xfId="984"/>
    <cellStyle name="F5" xfId="985"/>
    <cellStyle name="F6" xfId="986"/>
    <cellStyle name="F7" xfId="987"/>
    <cellStyle name="F8" xfId="988"/>
    <cellStyle name="Fixed" xfId="989"/>
    <cellStyle name="Followed Hyperlink 10" xfId="990"/>
    <cellStyle name="Followed Hyperlink 100" xfId="991"/>
    <cellStyle name="Followed Hyperlink 101" xfId="992"/>
    <cellStyle name="Followed Hyperlink 102" xfId="993"/>
    <cellStyle name="Followed Hyperlink 103" xfId="994"/>
    <cellStyle name="Followed Hyperlink 104" xfId="995"/>
    <cellStyle name="Followed Hyperlink 105" xfId="996"/>
    <cellStyle name="Followed Hyperlink 106" xfId="997"/>
    <cellStyle name="Followed Hyperlink 107" xfId="998"/>
    <cellStyle name="Followed Hyperlink 108" xfId="999"/>
    <cellStyle name="Followed Hyperlink 109" xfId="1000"/>
    <cellStyle name="Followed Hyperlink 11" xfId="1001"/>
    <cellStyle name="Followed Hyperlink 110" xfId="1002"/>
    <cellStyle name="Followed Hyperlink 111" xfId="1003"/>
    <cellStyle name="Followed Hyperlink 112" xfId="1004"/>
    <cellStyle name="Followed Hyperlink 113" xfId="1005"/>
    <cellStyle name="Followed Hyperlink 114" xfId="1006"/>
    <cellStyle name="Followed Hyperlink 115" xfId="1007"/>
    <cellStyle name="Followed Hyperlink 116" xfId="1008"/>
    <cellStyle name="Followed Hyperlink 117" xfId="1009"/>
    <cellStyle name="Followed Hyperlink 118" xfId="1010"/>
    <cellStyle name="Followed Hyperlink 119" xfId="1011"/>
    <cellStyle name="Followed Hyperlink 12" xfId="1012"/>
    <cellStyle name="Followed Hyperlink 120" xfId="1013"/>
    <cellStyle name="Followed Hyperlink 121" xfId="1014"/>
    <cellStyle name="Followed Hyperlink 122" xfId="1015"/>
    <cellStyle name="Followed Hyperlink 123" xfId="1016"/>
    <cellStyle name="Followed Hyperlink 124" xfId="1017"/>
    <cellStyle name="Followed Hyperlink 125" xfId="1018"/>
    <cellStyle name="Followed Hyperlink 126" xfId="1019"/>
    <cellStyle name="Followed Hyperlink 127" xfId="1020"/>
    <cellStyle name="Followed Hyperlink 128" xfId="1021"/>
    <cellStyle name="Followed Hyperlink 129" xfId="1022"/>
    <cellStyle name="Followed Hyperlink 13" xfId="1023"/>
    <cellStyle name="Followed Hyperlink 130" xfId="1024"/>
    <cellStyle name="Followed Hyperlink 131" xfId="1025"/>
    <cellStyle name="Followed Hyperlink 132" xfId="1026"/>
    <cellStyle name="Followed Hyperlink 133" xfId="1027"/>
    <cellStyle name="Followed Hyperlink 134" xfId="1028"/>
    <cellStyle name="Followed Hyperlink 135" xfId="1029"/>
    <cellStyle name="Followed Hyperlink 136" xfId="1030"/>
    <cellStyle name="Followed Hyperlink 137" xfId="1031"/>
    <cellStyle name="Followed Hyperlink 138" xfId="1032"/>
    <cellStyle name="Followed Hyperlink 139" xfId="1033"/>
    <cellStyle name="Followed Hyperlink 14" xfId="1034"/>
    <cellStyle name="Followed Hyperlink 140" xfId="1035"/>
    <cellStyle name="Followed Hyperlink 141" xfId="1036"/>
    <cellStyle name="Followed Hyperlink 142" xfId="1037"/>
    <cellStyle name="Followed Hyperlink 143" xfId="1038"/>
    <cellStyle name="Followed Hyperlink 144" xfId="1039"/>
    <cellStyle name="Followed Hyperlink 145" xfId="1040"/>
    <cellStyle name="Followed Hyperlink 146" xfId="1041"/>
    <cellStyle name="Followed Hyperlink 147" xfId="1042"/>
    <cellStyle name="Followed Hyperlink 148" xfId="1043"/>
    <cellStyle name="Followed Hyperlink 149" xfId="1044"/>
    <cellStyle name="Followed Hyperlink 15" xfId="1045"/>
    <cellStyle name="Followed Hyperlink 150" xfId="1046"/>
    <cellStyle name="Followed Hyperlink 151" xfId="1047"/>
    <cellStyle name="Followed Hyperlink 152" xfId="1048"/>
    <cellStyle name="Followed Hyperlink 153" xfId="1049"/>
    <cellStyle name="Followed Hyperlink 154" xfId="1050"/>
    <cellStyle name="Followed Hyperlink 155" xfId="1051"/>
    <cellStyle name="Followed Hyperlink 156" xfId="1052"/>
    <cellStyle name="Followed Hyperlink 157" xfId="1053"/>
    <cellStyle name="Followed Hyperlink 158" xfId="1054"/>
    <cellStyle name="Followed Hyperlink 159" xfId="1055"/>
    <cellStyle name="Followed Hyperlink 16" xfId="1056"/>
    <cellStyle name="Followed Hyperlink 160" xfId="1057"/>
    <cellStyle name="Followed Hyperlink 161" xfId="1058"/>
    <cellStyle name="Followed Hyperlink 162" xfId="1059"/>
    <cellStyle name="Followed Hyperlink 163" xfId="1060"/>
    <cellStyle name="Followed Hyperlink 164" xfId="1061"/>
    <cellStyle name="Followed Hyperlink 165" xfId="1062"/>
    <cellStyle name="Followed Hyperlink 166" xfId="1063"/>
    <cellStyle name="Followed Hyperlink 167" xfId="1064"/>
    <cellStyle name="Followed Hyperlink 168" xfId="1065"/>
    <cellStyle name="Followed Hyperlink 169" xfId="1066"/>
    <cellStyle name="Followed Hyperlink 17" xfId="1067"/>
    <cellStyle name="Followed Hyperlink 170" xfId="1068"/>
    <cellStyle name="Followed Hyperlink 171" xfId="1069"/>
    <cellStyle name="Followed Hyperlink 172" xfId="1070"/>
    <cellStyle name="Followed Hyperlink 173" xfId="1071"/>
    <cellStyle name="Followed Hyperlink 174" xfId="1072"/>
    <cellStyle name="Followed Hyperlink 175" xfId="1073"/>
    <cellStyle name="Followed Hyperlink 176" xfId="1074"/>
    <cellStyle name="Followed Hyperlink 177" xfId="1075"/>
    <cellStyle name="Followed Hyperlink 178" xfId="1076"/>
    <cellStyle name="Followed Hyperlink 179" xfId="1077"/>
    <cellStyle name="Followed Hyperlink 18" xfId="1078"/>
    <cellStyle name="Followed Hyperlink 180" xfId="1079"/>
    <cellStyle name="Followed Hyperlink 181" xfId="1080"/>
    <cellStyle name="Followed Hyperlink 182" xfId="1081"/>
    <cellStyle name="Followed Hyperlink 183" xfId="1082"/>
    <cellStyle name="Followed Hyperlink 184" xfId="1083"/>
    <cellStyle name="Followed Hyperlink 185" xfId="1084"/>
    <cellStyle name="Followed Hyperlink 186" xfId="1085"/>
    <cellStyle name="Followed Hyperlink 187" xfId="1086"/>
    <cellStyle name="Followed Hyperlink 188" xfId="1087"/>
    <cellStyle name="Followed Hyperlink 189" xfId="1088"/>
    <cellStyle name="Followed Hyperlink 19" xfId="1089"/>
    <cellStyle name="Followed Hyperlink 190" xfId="1090"/>
    <cellStyle name="Followed Hyperlink 191" xfId="1091"/>
    <cellStyle name="Followed Hyperlink 192" xfId="1092"/>
    <cellStyle name="Followed Hyperlink 193" xfId="1093"/>
    <cellStyle name="Followed Hyperlink 194" xfId="1094"/>
    <cellStyle name="Followed Hyperlink 195" xfId="1095"/>
    <cellStyle name="Followed Hyperlink 196" xfId="1096"/>
    <cellStyle name="Followed Hyperlink 197" xfId="1097"/>
    <cellStyle name="Followed Hyperlink 198" xfId="1098"/>
    <cellStyle name="Followed Hyperlink 199" xfId="1099"/>
    <cellStyle name="Followed Hyperlink 2" xfId="1100"/>
    <cellStyle name="Followed Hyperlink 20" xfId="1101"/>
    <cellStyle name="Followed Hyperlink 200" xfId="1102"/>
    <cellStyle name="Followed Hyperlink 201" xfId="1103"/>
    <cellStyle name="Followed Hyperlink 202" xfId="1104"/>
    <cellStyle name="Followed Hyperlink 203" xfId="1105"/>
    <cellStyle name="Followed Hyperlink 204" xfId="1106"/>
    <cellStyle name="Followed Hyperlink 205" xfId="1107"/>
    <cellStyle name="Followed Hyperlink 206" xfId="1108"/>
    <cellStyle name="Followed Hyperlink 207" xfId="1109"/>
    <cellStyle name="Followed Hyperlink 208" xfId="1110"/>
    <cellStyle name="Followed Hyperlink 209" xfId="1111"/>
    <cellStyle name="Followed Hyperlink 21" xfId="1112"/>
    <cellStyle name="Followed Hyperlink 210" xfId="1113"/>
    <cellStyle name="Followed Hyperlink 211" xfId="1114"/>
    <cellStyle name="Followed Hyperlink 212" xfId="1115"/>
    <cellStyle name="Followed Hyperlink 213" xfId="1116"/>
    <cellStyle name="Followed Hyperlink 214" xfId="1117"/>
    <cellStyle name="Followed Hyperlink 215" xfId="1118"/>
    <cellStyle name="Followed Hyperlink 216" xfId="1119"/>
    <cellStyle name="Followed Hyperlink 217" xfId="1120"/>
    <cellStyle name="Followed Hyperlink 218" xfId="1121"/>
    <cellStyle name="Followed Hyperlink 219" xfId="1122"/>
    <cellStyle name="Followed Hyperlink 22" xfId="1123"/>
    <cellStyle name="Followed Hyperlink 220" xfId="1124"/>
    <cellStyle name="Followed Hyperlink 221" xfId="1125"/>
    <cellStyle name="Followed Hyperlink 222" xfId="1126"/>
    <cellStyle name="Followed Hyperlink 223" xfId="1127"/>
    <cellStyle name="Followed Hyperlink 224" xfId="1128"/>
    <cellStyle name="Followed Hyperlink 225" xfId="1129"/>
    <cellStyle name="Followed Hyperlink 226" xfId="1130"/>
    <cellStyle name="Followed Hyperlink 227" xfId="1131"/>
    <cellStyle name="Followed Hyperlink 228" xfId="1132"/>
    <cellStyle name="Followed Hyperlink 229" xfId="1133"/>
    <cellStyle name="Followed Hyperlink 23" xfId="1134"/>
    <cellStyle name="Followed Hyperlink 230" xfId="1135"/>
    <cellStyle name="Followed Hyperlink 231" xfId="1136"/>
    <cellStyle name="Followed Hyperlink 232" xfId="1137"/>
    <cellStyle name="Followed Hyperlink 233" xfId="1138"/>
    <cellStyle name="Followed Hyperlink 234" xfId="1139"/>
    <cellStyle name="Followed Hyperlink 235" xfId="1140"/>
    <cellStyle name="Followed Hyperlink 236" xfId="1141"/>
    <cellStyle name="Followed Hyperlink 237" xfId="1142"/>
    <cellStyle name="Followed Hyperlink 238" xfId="1143"/>
    <cellStyle name="Followed Hyperlink 239" xfId="1144"/>
    <cellStyle name="Followed Hyperlink 24" xfId="1145"/>
    <cellStyle name="Followed Hyperlink 240" xfId="1146"/>
    <cellStyle name="Followed Hyperlink 241" xfId="1147"/>
    <cellStyle name="Followed Hyperlink 242" xfId="1148"/>
    <cellStyle name="Followed Hyperlink 243" xfId="1149"/>
    <cellStyle name="Followed Hyperlink 244" xfId="1150"/>
    <cellStyle name="Followed Hyperlink 245" xfId="1151"/>
    <cellStyle name="Followed Hyperlink 246" xfId="1152"/>
    <cellStyle name="Followed Hyperlink 247" xfId="1153"/>
    <cellStyle name="Followed Hyperlink 248" xfId="1154"/>
    <cellStyle name="Followed Hyperlink 249" xfId="1155"/>
    <cellStyle name="Followed Hyperlink 25" xfId="1156"/>
    <cellStyle name="Followed Hyperlink 250" xfId="1157"/>
    <cellStyle name="Followed Hyperlink 251" xfId="1158"/>
    <cellStyle name="Followed Hyperlink 252" xfId="1159"/>
    <cellStyle name="Followed Hyperlink 253" xfId="1160"/>
    <cellStyle name="Followed Hyperlink 254" xfId="1161"/>
    <cellStyle name="Followed Hyperlink 255" xfId="1162"/>
    <cellStyle name="Followed Hyperlink 256" xfId="1163"/>
    <cellStyle name="Followed Hyperlink 257" xfId="1164"/>
    <cellStyle name="Followed Hyperlink 258" xfId="1165"/>
    <cellStyle name="Followed Hyperlink 259" xfId="1166"/>
    <cellStyle name="Followed Hyperlink 26" xfId="1167"/>
    <cellStyle name="Followed Hyperlink 260" xfId="1168"/>
    <cellStyle name="Followed Hyperlink 261" xfId="1169"/>
    <cellStyle name="Followed Hyperlink 262" xfId="1170"/>
    <cellStyle name="Followed Hyperlink 263" xfId="1171"/>
    <cellStyle name="Followed Hyperlink 264" xfId="1172"/>
    <cellStyle name="Followed Hyperlink 265" xfId="1173"/>
    <cellStyle name="Followed Hyperlink 266" xfId="1174"/>
    <cellStyle name="Followed Hyperlink 267" xfId="1175"/>
    <cellStyle name="Followed Hyperlink 268" xfId="1176"/>
    <cellStyle name="Followed Hyperlink 269" xfId="1177"/>
    <cellStyle name="Followed Hyperlink 27" xfId="1178"/>
    <cellStyle name="Followed Hyperlink 270" xfId="1179"/>
    <cellStyle name="Followed Hyperlink 271" xfId="1180"/>
    <cellStyle name="Followed Hyperlink 272" xfId="1181"/>
    <cellStyle name="Followed Hyperlink 273" xfId="1182"/>
    <cellStyle name="Followed Hyperlink 274" xfId="1183"/>
    <cellStyle name="Followed Hyperlink 28" xfId="1184"/>
    <cellStyle name="Followed Hyperlink 29" xfId="1185"/>
    <cellStyle name="Followed Hyperlink 3" xfId="1186"/>
    <cellStyle name="Followed Hyperlink 30" xfId="1187"/>
    <cellStyle name="Followed Hyperlink 31" xfId="1188"/>
    <cellStyle name="Followed Hyperlink 32" xfId="1189"/>
    <cellStyle name="Followed Hyperlink 33" xfId="1190"/>
    <cellStyle name="Followed Hyperlink 34" xfId="1191"/>
    <cellStyle name="Followed Hyperlink 35" xfId="1192"/>
    <cellStyle name="Followed Hyperlink 36" xfId="1193"/>
    <cellStyle name="Followed Hyperlink 37" xfId="1194"/>
    <cellStyle name="Followed Hyperlink 38" xfId="1195"/>
    <cellStyle name="Followed Hyperlink 39" xfId="1196"/>
    <cellStyle name="Followed Hyperlink 4" xfId="1197"/>
    <cellStyle name="Followed Hyperlink 40" xfId="1198"/>
    <cellStyle name="Followed Hyperlink 41" xfId="1199"/>
    <cellStyle name="Followed Hyperlink 42" xfId="1200"/>
    <cellStyle name="Followed Hyperlink 43" xfId="1201"/>
    <cellStyle name="Followed Hyperlink 44" xfId="1202"/>
    <cellStyle name="Followed Hyperlink 45" xfId="1203"/>
    <cellStyle name="Followed Hyperlink 46" xfId="1204"/>
    <cellStyle name="Followed Hyperlink 47" xfId="1205"/>
    <cellStyle name="Followed Hyperlink 48" xfId="1206"/>
    <cellStyle name="Followed Hyperlink 49" xfId="1207"/>
    <cellStyle name="Followed Hyperlink 5" xfId="1208"/>
    <cellStyle name="Followed Hyperlink 50" xfId="1209"/>
    <cellStyle name="Followed Hyperlink 51" xfId="1210"/>
    <cellStyle name="Followed Hyperlink 52" xfId="1211"/>
    <cellStyle name="Followed Hyperlink 53" xfId="1212"/>
    <cellStyle name="Followed Hyperlink 54" xfId="1213"/>
    <cellStyle name="Followed Hyperlink 55" xfId="1214"/>
    <cellStyle name="Followed Hyperlink 56" xfId="1215"/>
    <cellStyle name="Followed Hyperlink 57" xfId="1216"/>
    <cellStyle name="Followed Hyperlink 58" xfId="1217"/>
    <cellStyle name="Followed Hyperlink 59" xfId="1218"/>
    <cellStyle name="Followed Hyperlink 6" xfId="1219"/>
    <cellStyle name="Followed Hyperlink 60" xfId="1220"/>
    <cellStyle name="Followed Hyperlink 61" xfId="1221"/>
    <cellStyle name="Followed Hyperlink 62" xfId="1222"/>
    <cellStyle name="Followed Hyperlink 63" xfId="1223"/>
    <cellStyle name="Followed Hyperlink 64" xfId="1224"/>
    <cellStyle name="Followed Hyperlink 65" xfId="1225"/>
    <cellStyle name="Followed Hyperlink 66" xfId="1226"/>
    <cellStyle name="Followed Hyperlink 67" xfId="1227"/>
    <cellStyle name="Followed Hyperlink 68" xfId="1228"/>
    <cellStyle name="Followed Hyperlink 69" xfId="1229"/>
    <cellStyle name="Followed Hyperlink 7" xfId="1230"/>
    <cellStyle name="Followed Hyperlink 70" xfId="1231"/>
    <cellStyle name="Followed Hyperlink 71" xfId="1232"/>
    <cellStyle name="Followed Hyperlink 72" xfId="1233"/>
    <cellStyle name="Followed Hyperlink 73" xfId="1234"/>
    <cellStyle name="Followed Hyperlink 74" xfId="1235"/>
    <cellStyle name="Followed Hyperlink 75" xfId="1236"/>
    <cellStyle name="Followed Hyperlink 76" xfId="1237"/>
    <cellStyle name="Followed Hyperlink 77" xfId="1238"/>
    <cellStyle name="Followed Hyperlink 78" xfId="1239"/>
    <cellStyle name="Followed Hyperlink 79" xfId="1240"/>
    <cellStyle name="Followed Hyperlink 8" xfId="1241"/>
    <cellStyle name="Followed Hyperlink 80" xfId="1242"/>
    <cellStyle name="Followed Hyperlink 81" xfId="1243"/>
    <cellStyle name="Followed Hyperlink 82" xfId="1244"/>
    <cellStyle name="Followed Hyperlink 83" xfId="1245"/>
    <cellStyle name="Followed Hyperlink 84" xfId="1246"/>
    <cellStyle name="Followed Hyperlink 85" xfId="1247"/>
    <cellStyle name="Followed Hyperlink 86" xfId="1248"/>
    <cellStyle name="Followed Hyperlink 87" xfId="1249"/>
    <cellStyle name="Followed Hyperlink 88" xfId="1250"/>
    <cellStyle name="Followed Hyperlink 89" xfId="1251"/>
    <cellStyle name="Followed Hyperlink 9" xfId="1252"/>
    <cellStyle name="Followed Hyperlink 90" xfId="1253"/>
    <cellStyle name="Followed Hyperlink 91" xfId="1254"/>
    <cellStyle name="Followed Hyperlink 92" xfId="1255"/>
    <cellStyle name="Followed Hyperlink 93" xfId="1256"/>
    <cellStyle name="Followed Hyperlink 94" xfId="1257"/>
    <cellStyle name="Followed Hyperlink 95" xfId="1258"/>
    <cellStyle name="Followed Hyperlink 96" xfId="1259"/>
    <cellStyle name="Followed Hyperlink 97" xfId="1260"/>
    <cellStyle name="Followed Hyperlink 98" xfId="1261"/>
    <cellStyle name="Followed Hyperlink 99" xfId="1262"/>
    <cellStyle name="Good 2" xfId="1263"/>
    <cellStyle name="Good 2 2" xfId="1264"/>
    <cellStyle name="Good 2 2 2" xfId="1265"/>
    <cellStyle name="Good 2 2 3" xfId="1266"/>
    <cellStyle name="Good 2 2_AGL" xfId="1267"/>
    <cellStyle name="Good 2 3" xfId="1268"/>
    <cellStyle name="Good 2 4" xfId="1269"/>
    <cellStyle name="Good 2_AGL" xfId="1270"/>
    <cellStyle name="Good 3" xfId="1271"/>
    <cellStyle name="Good 3 2" xfId="1272"/>
    <cellStyle name="Good 3 3" xfId="1273"/>
    <cellStyle name="Good 3_AGL" xfId="1274"/>
    <cellStyle name="Good 4" xfId="1275"/>
    <cellStyle name="Good 5" xfId="1276"/>
    <cellStyle name="Header1" xfId="1277"/>
    <cellStyle name="Header1 2" xfId="1278"/>
    <cellStyle name="Header2" xfId="1279"/>
    <cellStyle name="Header2 10" xfId="1280"/>
    <cellStyle name="Header2 11" xfId="1281"/>
    <cellStyle name="Header2 2" xfId="1282"/>
    <cellStyle name="Header2 2 2" xfId="1283"/>
    <cellStyle name="Header2 2_Sheet10" xfId="1284"/>
    <cellStyle name="Header2 3" xfId="1285"/>
    <cellStyle name="Header2 3 2" xfId="1286"/>
    <cellStyle name="Header2 4" xfId="1287"/>
    <cellStyle name="Header2 5" xfId="1288"/>
    <cellStyle name="Header2 6" xfId="1289"/>
    <cellStyle name="Header2 7" xfId="1290"/>
    <cellStyle name="Header2 8" xfId="1291"/>
    <cellStyle name="Header2 9" xfId="1292"/>
    <cellStyle name="Header2_AGL" xfId="1293"/>
    <cellStyle name="Heading 1 10" xfId="1294"/>
    <cellStyle name="Heading 1 2" xfId="1295"/>
    <cellStyle name="Heading 1 2 2" xfId="1296"/>
    <cellStyle name="Heading 1 2 2 2" xfId="1297"/>
    <cellStyle name="Heading 1 2 2 3" xfId="1298"/>
    <cellStyle name="Heading 1 2 2_AGL" xfId="1299"/>
    <cellStyle name="Heading 1 2 3" xfId="1300"/>
    <cellStyle name="Heading 1 2 4" xfId="1301"/>
    <cellStyle name="Heading 1 2 5" xfId="1302"/>
    <cellStyle name="Heading 1 2 6" xfId="1303"/>
    <cellStyle name="Heading 1 2 7" xfId="1304"/>
    <cellStyle name="Heading 1 2 8" xfId="1305"/>
    <cellStyle name="Heading 1 2 9" xfId="1306"/>
    <cellStyle name="Heading 1 2_AGL" xfId="1307"/>
    <cellStyle name="Heading 1 3" xfId="1308"/>
    <cellStyle name="Heading 1 3 2 2" xfId="1309"/>
    <cellStyle name="Heading 1 3 2 3" xfId="1310"/>
    <cellStyle name="Heading 1 3 2_AGL" xfId="1311"/>
    <cellStyle name="Heading 1 3 3" xfId="1312"/>
    <cellStyle name="Heading 1 3 4" xfId="1313"/>
    <cellStyle name="Heading 1 3_AGL" xfId="1314"/>
    <cellStyle name="Heading 1 4 2" xfId="1315"/>
    <cellStyle name="Heading 1 4 3" xfId="1316"/>
    <cellStyle name="Heading 1 4_AGL" xfId="1317"/>
    <cellStyle name="Heading 1 5" xfId="1318"/>
    <cellStyle name="Heading 1 6" xfId="1319"/>
    <cellStyle name="Heading 1 7" xfId="1320"/>
    <cellStyle name="Heading 1 8" xfId="1321"/>
    <cellStyle name="Heading 1 9" xfId="1322"/>
    <cellStyle name="Heading 2 2" xfId="1323"/>
    <cellStyle name="Heading 2 2 2" xfId="1324"/>
    <cellStyle name="Heading 2 2 2 2" xfId="1325"/>
    <cellStyle name="Heading 2 2 2 3" xfId="1326"/>
    <cellStyle name="Heading 2 2 2_AGL" xfId="1327"/>
    <cellStyle name="Heading 2 2 3" xfId="1328"/>
    <cellStyle name="Heading 2 2 4" xfId="1329"/>
    <cellStyle name="Heading 2 2 5" xfId="1330"/>
    <cellStyle name="Heading 2 2 6" xfId="1331"/>
    <cellStyle name="Heading 2 2 7" xfId="1332"/>
    <cellStyle name="Heading 2 2 8" xfId="1333"/>
    <cellStyle name="Heading 2 2 9" xfId="1334"/>
    <cellStyle name="Heading 2 2_AGL" xfId="1335"/>
    <cellStyle name="Heading 2 3" xfId="1336"/>
    <cellStyle name="Heading 2 3 2" xfId="1337"/>
    <cellStyle name="Heading 2 3 3" xfId="1338"/>
    <cellStyle name="Heading 2 3_AGL" xfId="1339"/>
    <cellStyle name="Heading 2 4" xfId="1340"/>
    <cellStyle name="Heading 2 4 2" xfId="1341"/>
    <cellStyle name="Heading 2 4 3" xfId="1342"/>
    <cellStyle name="Heading 2 4_AGL" xfId="1343"/>
    <cellStyle name="Heading 2 5" xfId="1344"/>
    <cellStyle name="Heading 2 6" xfId="1345"/>
    <cellStyle name="Heading 3 2 2" xfId="1346"/>
    <cellStyle name="Heading 3 2 3" xfId="1347"/>
    <cellStyle name="Heading 3 2_AGL" xfId="1348"/>
    <cellStyle name="Heading 3 3" xfId="1349"/>
    <cellStyle name="Heading 3 3 2" xfId="1350"/>
    <cellStyle name="Heading 3 3 3" xfId="1351"/>
    <cellStyle name="Heading 3 3_AGL" xfId="1352"/>
    <cellStyle name="Heading 3 4" xfId="1353"/>
    <cellStyle name="Heading 3 4 2" xfId="1354"/>
    <cellStyle name="Heading 3 4 3" xfId="1355"/>
    <cellStyle name="Heading 3 4_AGL" xfId="1356"/>
    <cellStyle name="Heading 3 5" xfId="1357"/>
    <cellStyle name="Heading 3 6" xfId="1358"/>
    <cellStyle name="Heading 4 2" xfId="1359"/>
    <cellStyle name="Heading 4 2 2" xfId="1360"/>
    <cellStyle name="Heading 4 2 2 2" xfId="1361"/>
    <cellStyle name="Heading 4 2 2 3" xfId="1362"/>
    <cellStyle name="Heading 4 2 2_AGL" xfId="1363"/>
    <cellStyle name="Heading 4 2 3" xfId="1364"/>
    <cellStyle name="Heading 4 2 4" xfId="1365"/>
    <cellStyle name="Heading 4 2 5" xfId="1366"/>
    <cellStyle name="Heading 4 2 6" xfId="1367"/>
    <cellStyle name="Heading 4 2 7" xfId="1368"/>
    <cellStyle name="Heading 4 2 8" xfId="1369"/>
    <cellStyle name="Heading 4 2 9" xfId="1370"/>
    <cellStyle name="Heading 4 2_AGL" xfId="1371"/>
    <cellStyle name="Heading 4 3" xfId="1372"/>
    <cellStyle name="Heading 4 3 2" xfId="1373"/>
    <cellStyle name="Heading 4 3 3" xfId="1374"/>
    <cellStyle name="Heading 4 3_AGL" xfId="1375"/>
    <cellStyle name="Heading 4 4" xfId="1376"/>
    <cellStyle name="Heading 4 5" xfId="1377"/>
    <cellStyle name="Heading 5" xfId="1378"/>
    <cellStyle name="Heading 6" xfId="1379"/>
    <cellStyle name="Heading1 2" xfId="1380"/>
    <cellStyle name="Heading1 3" xfId="1381"/>
    <cellStyle name="Heading1_AGL" xfId="1382"/>
    <cellStyle name="Hyperlink 10" xfId="1383"/>
    <cellStyle name="Hyperlink 10 2" xfId="1384"/>
    <cellStyle name="Hyperlink 10 3" xfId="1385"/>
    <cellStyle name="Hyperlink 10 9" xfId="1386"/>
    <cellStyle name="Hyperlink 10_AGL" xfId="1387"/>
    <cellStyle name="Hyperlink 100" xfId="1388"/>
    <cellStyle name="Hyperlink 100 2" xfId="1389"/>
    <cellStyle name="Hyperlink 100 3" xfId="1390"/>
    <cellStyle name="Hyperlink 100 9" xfId="1391"/>
    <cellStyle name="Hyperlink 100_AGL" xfId="1392"/>
    <cellStyle name="Hyperlink 101" xfId="1393"/>
    <cellStyle name="Hyperlink 101 2" xfId="1394"/>
    <cellStyle name="Hyperlink 101 3" xfId="1395"/>
    <cellStyle name="Hyperlink 101 9" xfId="1396"/>
    <cellStyle name="Hyperlink 101_AGL" xfId="1397"/>
    <cellStyle name="Hyperlink 102" xfId="1398"/>
    <cellStyle name="Hyperlink 102 2" xfId="1399"/>
    <cellStyle name="Hyperlink 102 3" xfId="1400"/>
    <cellStyle name="Hyperlink 102 9" xfId="1401"/>
    <cellStyle name="Hyperlink 102_AGL" xfId="1402"/>
    <cellStyle name="Hyperlink 103" xfId="1403"/>
    <cellStyle name="Hyperlink 103 2" xfId="1404"/>
    <cellStyle name="Hyperlink 103 3" xfId="1405"/>
    <cellStyle name="Hyperlink 103 9" xfId="1406"/>
    <cellStyle name="Hyperlink 103_AGL" xfId="1407"/>
    <cellStyle name="Hyperlink 104" xfId="1408"/>
    <cellStyle name="Hyperlink 104 2" xfId="1409"/>
    <cellStyle name="Hyperlink 104 3" xfId="1410"/>
    <cellStyle name="Hyperlink 104 9" xfId="1411"/>
    <cellStyle name="Hyperlink 104_AGL" xfId="1412"/>
    <cellStyle name="Hyperlink 105" xfId="1413"/>
    <cellStyle name="Hyperlink 105 2" xfId="1414"/>
    <cellStyle name="Hyperlink 105 3" xfId="1415"/>
    <cellStyle name="Hyperlink 105 9" xfId="1416"/>
    <cellStyle name="Hyperlink 105_AGL" xfId="1417"/>
    <cellStyle name="Hyperlink 106" xfId="1418"/>
    <cellStyle name="Hyperlink 106 2" xfId="1419"/>
    <cellStyle name="Hyperlink 106 3" xfId="1420"/>
    <cellStyle name="Hyperlink 106 9" xfId="1421"/>
    <cellStyle name="Hyperlink 106_AGL" xfId="1422"/>
    <cellStyle name="Hyperlink 107" xfId="1423"/>
    <cellStyle name="Hyperlink 107 2" xfId="1424"/>
    <cellStyle name="Hyperlink 107 3" xfId="1425"/>
    <cellStyle name="Hyperlink 107 9" xfId="1426"/>
    <cellStyle name="Hyperlink 107_AGL" xfId="1427"/>
    <cellStyle name="Hyperlink 108" xfId="1428"/>
    <cellStyle name="Hyperlink 108 2" xfId="1429"/>
    <cellStyle name="Hyperlink 108 3" xfId="1430"/>
    <cellStyle name="Hyperlink 108 9" xfId="1431"/>
    <cellStyle name="Hyperlink 108_AGL" xfId="1432"/>
    <cellStyle name="Hyperlink 109" xfId="1433"/>
    <cellStyle name="Hyperlink 109 2" xfId="1434"/>
    <cellStyle name="Hyperlink 109 3" xfId="1435"/>
    <cellStyle name="Hyperlink 109 9" xfId="1436"/>
    <cellStyle name="Hyperlink 109_AGL" xfId="1437"/>
    <cellStyle name="Hyperlink 11" xfId="1438"/>
    <cellStyle name="Hyperlink 11 2" xfId="1439"/>
    <cellStyle name="Hyperlink 11 3" xfId="1440"/>
    <cellStyle name="Hyperlink 11 9" xfId="1441"/>
    <cellStyle name="Hyperlink 11_AGL" xfId="1442"/>
    <cellStyle name="Hyperlink 110" xfId="1443"/>
    <cellStyle name="Hyperlink 110 2" xfId="1444"/>
    <cellStyle name="Hyperlink 110 3" xfId="1445"/>
    <cellStyle name="Hyperlink 110 9" xfId="1446"/>
    <cellStyle name="Hyperlink 110_AGL" xfId="1447"/>
    <cellStyle name="Hyperlink 111" xfId="1448"/>
    <cellStyle name="Hyperlink 111 2" xfId="1449"/>
    <cellStyle name="Hyperlink 111 3" xfId="1450"/>
    <cellStyle name="Hyperlink 111 9" xfId="1451"/>
    <cellStyle name="Hyperlink 111_AGL" xfId="1452"/>
    <cellStyle name="Hyperlink 112" xfId="1453"/>
    <cellStyle name="Hyperlink 113" xfId="1454"/>
    <cellStyle name="Hyperlink 114" xfId="1455"/>
    <cellStyle name="Hyperlink 115" xfId="1456"/>
    <cellStyle name="Hyperlink 116" xfId="1457"/>
    <cellStyle name="Hyperlink 117" xfId="1458"/>
    <cellStyle name="Hyperlink 118" xfId="1459"/>
    <cellStyle name="Hyperlink 119" xfId="1460"/>
    <cellStyle name="Hyperlink 12" xfId="1461"/>
    <cellStyle name="Hyperlink 12 2" xfId="1462"/>
    <cellStyle name="Hyperlink 12 3" xfId="1463"/>
    <cellStyle name="Hyperlink 12 9" xfId="1464"/>
    <cellStyle name="Hyperlink 12_AGL" xfId="1465"/>
    <cellStyle name="Hyperlink 120" xfId="1466"/>
    <cellStyle name="Hyperlink 121" xfId="1467"/>
    <cellStyle name="Hyperlink 122" xfId="1468"/>
    <cellStyle name="Hyperlink 123" xfId="1469"/>
    <cellStyle name="Hyperlink 124" xfId="1470"/>
    <cellStyle name="Hyperlink 125" xfId="1471"/>
    <cellStyle name="Hyperlink 126" xfId="1472"/>
    <cellStyle name="Hyperlink 127" xfId="1473"/>
    <cellStyle name="Hyperlink 128" xfId="1474"/>
    <cellStyle name="Hyperlink 129" xfId="1475"/>
    <cellStyle name="Hyperlink 13" xfId="1476"/>
    <cellStyle name="Hyperlink 13 2" xfId="1477"/>
    <cellStyle name="Hyperlink 13 3" xfId="1478"/>
    <cellStyle name="Hyperlink 13 9" xfId="1479"/>
    <cellStyle name="Hyperlink 13_AGL" xfId="1480"/>
    <cellStyle name="Hyperlink 130" xfId="1481"/>
    <cellStyle name="Hyperlink 131" xfId="1482"/>
    <cellStyle name="Hyperlink 132" xfId="1483"/>
    <cellStyle name="Hyperlink 133" xfId="1484"/>
    <cellStyle name="Hyperlink 134" xfId="1485"/>
    <cellStyle name="Hyperlink 135" xfId="1486"/>
    <cellStyle name="Hyperlink 136" xfId="1487"/>
    <cellStyle name="Hyperlink 137" xfId="1488"/>
    <cellStyle name="Hyperlink 138" xfId="1489"/>
    <cellStyle name="Hyperlink 139" xfId="1490"/>
    <cellStyle name="Hyperlink 14" xfId="1491"/>
    <cellStyle name="Hyperlink 14 2" xfId="1492"/>
    <cellStyle name="Hyperlink 14 3" xfId="1493"/>
    <cellStyle name="Hyperlink 14 9" xfId="1494"/>
    <cellStyle name="Hyperlink 14_AGL" xfId="1495"/>
    <cellStyle name="Hyperlink 140" xfId="1496"/>
    <cellStyle name="Hyperlink 141" xfId="1497"/>
    <cellStyle name="Hyperlink 142" xfId="1498"/>
    <cellStyle name="Hyperlink 143" xfId="1499"/>
    <cellStyle name="Hyperlink 144" xfId="1500"/>
    <cellStyle name="Hyperlink 145" xfId="1501"/>
    <cellStyle name="Hyperlink 146" xfId="1502"/>
    <cellStyle name="Hyperlink 147" xfId="1503"/>
    <cellStyle name="Hyperlink 148" xfId="1504"/>
    <cellStyle name="Hyperlink 149" xfId="1505"/>
    <cellStyle name="Hyperlink 15" xfId="1506"/>
    <cellStyle name="Hyperlink 15 2" xfId="1507"/>
    <cellStyle name="Hyperlink 15 3" xfId="1508"/>
    <cellStyle name="Hyperlink 15 9" xfId="1509"/>
    <cellStyle name="Hyperlink 15_AGL" xfId="1510"/>
    <cellStyle name="Hyperlink 150" xfId="1511"/>
    <cellStyle name="Hyperlink 151" xfId="1512"/>
    <cellStyle name="Hyperlink 152" xfId="1513"/>
    <cellStyle name="Hyperlink 153" xfId="1514"/>
    <cellStyle name="Hyperlink 154" xfId="1515"/>
    <cellStyle name="Hyperlink 155" xfId="1516"/>
    <cellStyle name="Hyperlink 156" xfId="1517"/>
    <cellStyle name="Hyperlink 157" xfId="1518"/>
    <cellStyle name="Hyperlink 158" xfId="1519"/>
    <cellStyle name="Hyperlink 159" xfId="1520"/>
    <cellStyle name="Hyperlink 16" xfId="1521"/>
    <cellStyle name="Hyperlink 16 2" xfId="1522"/>
    <cellStyle name="Hyperlink 16 3" xfId="1523"/>
    <cellStyle name="Hyperlink 16 9" xfId="1524"/>
    <cellStyle name="Hyperlink 16_AGL" xfId="1525"/>
    <cellStyle name="Hyperlink 160" xfId="1526"/>
    <cellStyle name="Hyperlink 161" xfId="1527"/>
    <cellStyle name="Hyperlink 162" xfId="1528"/>
    <cellStyle name="Hyperlink 163" xfId="1529"/>
    <cellStyle name="Hyperlink 164" xfId="1530"/>
    <cellStyle name="Hyperlink 165" xfId="1531"/>
    <cellStyle name="Hyperlink 166" xfId="1532"/>
    <cellStyle name="Hyperlink 167" xfId="1533"/>
    <cellStyle name="Hyperlink 168" xfId="1534"/>
    <cellStyle name="Hyperlink 169" xfId="1535"/>
    <cellStyle name="Hyperlink 17" xfId="1536"/>
    <cellStyle name="Hyperlink 17 2" xfId="1537"/>
    <cellStyle name="Hyperlink 17 3" xfId="1538"/>
    <cellStyle name="Hyperlink 17 9" xfId="1539"/>
    <cellStyle name="Hyperlink 17_AGL" xfId="1540"/>
    <cellStyle name="Hyperlink 170" xfId="1541"/>
    <cellStyle name="Hyperlink 171" xfId="1542"/>
    <cellStyle name="Hyperlink 172" xfId="1543"/>
    <cellStyle name="Hyperlink 173" xfId="1544"/>
    <cellStyle name="Hyperlink 174" xfId="1545"/>
    <cellStyle name="Hyperlink 175" xfId="1546"/>
    <cellStyle name="Hyperlink 176" xfId="1547"/>
    <cellStyle name="Hyperlink 177" xfId="1548"/>
    <cellStyle name="Hyperlink 178" xfId="1549"/>
    <cellStyle name="Hyperlink 179" xfId="1550"/>
    <cellStyle name="Hyperlink 18" xfId="1551"/>
    <cellStyle name="Hyperlink 18 2" xfId="1552"/>
    <cellStyle name="Hyperlink 18 3" xfId="1553"/>
    <cellStyle name="Hyperlink 18 9" xfId="1554"/>
    <cellStyle name="Hyperlink 18_AGL" xfId="1555"/>
    <cellStyle name="Hyperlink 180" xfId="1556"/>
    <cellStyle name="Hyperlink 181" xfId="1557"/>
    <cellStyle name="Hyperlink 182" xfId="1558"/>
    <cellStyle name="Hyperlink 183" xfId="1559"/>
    <cellStyle name="Hyperlink 184" xfId="1560"/>
    <cellStyle name="Hyperlink 185" xfId="1561"/>
    <cellStyle name="Hyperlink 186" xfId="1562"/>
    <cellStyle name="Hyperlink 187" xfId="1563"/>
    <cellStyle name="Hyperlink 188" xfId="1564"/>
    <cellStyle name="Hyperlink 189" xfId="1565"/>
    <cellStyle name="Hyperlink 19" xfId="1566"/>
    <cellStyle name="Hyperlink 19 2" xfId="1567"/>
    <cellStyle name="Hyperlink 19 3" xfId="1568"/>
    <cellStyle name="Hyperlink 19 9" xfId="1569"/>
    <cellStyle name="Hyperlink 19_AGL" xfId="1570"/>
    <cellStyle name="Hyperlink 190" xfId="1571"/>
    <cellStyle name="Hyperlink 191" xfId="1572"/>
    <cellStyle name="Hyperlink 192" xfId="1573"/>
    <cellStyle name="Hyperlink 193" xfId="1574"/>
    <cellStyle name="Hyperlink 194" xfId="1575"/>
    <cellStyle name="Hyperlink 195" xfId="1576"/>
    <cellStyle name="Hyperlink 196" xfId="1577"/>
    <cellStyle name="Hyperlink 197" xfId="1578"/>
    <cellStyle name="Hyperlink 198" xfId="1579"/>
    <cellStyle name="Hyperlink 199" xfId="1580"/>
    <cellStyle name="Hyperlink 2 2" xfId="1581"/>
    <cellStyle name="Hyperlink 2 2 2" xfId="1582"/>
    <cellStyle name="Hyperlink 2 2 3" xfId="1583"/>
    <cellStyle name="Hyperlink 2 2 4" xfId="1584"/>
    <cellStyle name="Hyperlink 2 2_AGL" xfId="1585"/>
    <cellStyle name="Hyperlink 2 20" xfId="1586"/>
    <cellStyle name="Hyperlink 2 21" xfId="1587"/>
    <cellStyle name="Hyperlink 2 22" xfId="1588"/>
    <cellStyle name="Hyperlink 2 23" xfId="1589"/>
    <cellStyle name="Hyperlink 2 24" xfId="1590"/>
    <cellStyle name="Hyperlink 2 25" xfId="1591"/>
    <cellStyle name="Hyperlink 2 26" xfId="1592"/>
    <cellStyle name="Hyperlink 2 27" xfId="1593"/>
    <cellStyle name="Hyperlink 2 28" xfId="1594"/>
    <cellStyle name="Hyperlink 2 3" xfId="1595"/>
    <cellStyle name="Hyperlink 2 4" xfId="1596"/>
    <cellStyle name="Hyperlink 2 5" xfId="1597"/>
    <cellStyle name="Hyperlink 2 6" xfId="1598"/>
    <cellStyle name="Hyperlink 2 7" xfId="1599"/>
    <cellStyle name="Hyperlink 2 8" xfId="1600"/>
    <cellStyle name="Hyperlink 2 9" xfId="1601"/>
    <cellStyle name="Hyperlink 2_AGL" xfId="1602"/>
    <cellStyle name="Hyperlink 20" xfId="1603"/>
    <cellStyle name="Hyperlink 20 2" xfId="1604"/>
    <cellStyle name="Hyperlink 20 3" xfId="1605"/>
    <cellStyle name="Hyperlink 20 9" xfId="1606"/>
    <cellStyle name="Hyperlink 20_AGL" xfId="1607"/>
    <cellStyle name="Hyperlink 200" xfId="1608"/>
    <cellStyle name="Hyperlink 201" xfId="1609"/>
    <cellStyle name="Hyperlink 202" xfId="1610"/>
    <cellStyle name="Hyperlink 203" xfId="1611"/>
    <cellStyle name="Hyperlink 204" xfId="1612"/>
    <cellStyle name="Hyperlink 205" xfId="1613"/>
    <cellStyle name="Hyperlink 206" xfId="1614"/>
    <cellStyle name="Hyperlink 207" xfId="1615"/>
    <cellStyle name="Hyperlink 208" xfId="1616"/>
    <cellStyle name="Hyperlink 209" xfId="1617"/>
    <cellStyle name="Hyperlink 21" xfId="1618"/>
    <cellStyle name="Hyperlink 21 2" xfId="1619"/>
    <cellStyle name="Hyperlink 21 3" xfId="1620"/>
    <cellStyle name="Hyperlink 21 9" xfId="1621"/>
    <cellStyle name="Hyperlink 21_AGL" xfId="1622"/>
    <cellStyle name="Hyperlink 210" xfId="1623"/>
    <cellStyle name="Hyperlink 211" xfId="1624"/>
    <cellStyle name="Hyperlink 212" xfId="1625"/>
    <cellStyle name="Hyperlink 213" xfId="1626"/>
    <cellStyle name="Hyperlink 214" xfId="1627"/>
    <cellStyle name="Hyperlink 215" xfId="1628"/>
    <cellStyle name="Hyperlink 216" xfId="1629"/>
    <cellStyle name="Hyperlink 217" xfId="1630"/>
    <cellStyle name="Hyperlink 218" xfId="1631"/>
    <cellStyle name="Hyperlink 219" xfId="1632"/>
    <cellStyle name="Hyperlink 22" xfId="1633"/>
    <cellStyle name="Hyperlink 22 2" xfId="1634"/>
    <cellStyle name="Hyperlink 22 3" xfId="1635"/>
    <cellStyle name="Hyperlink 22 9" xfId="1636"/>
    <cellStyle name="Hyperlink 22_AGL" xfId="1637"/>
    <cellStyle name="Hyperlink 220" xfId="1638"/>
    <cellStyle name="Hyperlink 221" xfId="1639"/>
    <cellStyle name="Hyperlink 222" xfId="1640"/>
    <cellStyle name="Hyperlink 223" xfId="1641"/>
    <cellStyle name="Hyperlink 224" xfId="1642"/>
    <cellStyle name="Hyperlink 225" xfId="1643"/>
    <cellStyle name="Hyperlink 226" xfId="1644"/>
    <cellStyle name="Hyperlink 227" xfId="1645"/>
    <cellStyle name="Hyperlink 228" xfId="1646"/>
    <cellStyle name="Hyperlink 229" xfId="1647"/>
    <cellStyle name="Hyperlink 23" xfId="1648"/>
    <cellStyle name="Hyperlink 23 2" xfId="1649"/>
    <cellStyle name="Hyperlink 23 3" xfId="1650"/>
    <cellStyle name="Hyperlink 23 9" xfId="1651"/>
    <cellStyle name="Hyperlink 23_AGL" xfId="1652"/>
    <cellStyle name="Hyperlink 230" xfId="1653"/>
    <cellStyle name="Hyperlink 24" xfId="1654"/>
    <cellStyle name="Hyperlink 24 2" xfId="1655"/>
    <cellStyle name="Hyperlink 24 3" xfId="1656"/>
    <cellStyle name="Hyperlink 24 9" xfId="1657"/>
    <cellStyle name="Hyperlink 24_AGL" xfId="1658"/>
    <cellStyle name="Hyperlink 25" xfId="1659"/>
    <cellStyle name="Hyperlink 25 2" xfId="1660"/>
    <cellStyle name="Hyperlink 25 3" xfId="1661"/>
    <cellStyle name="Hyperlink 25 9" xfId="1662"/>
    <cellStyle name="Hyperlink 25_AGL" xfId="1663"/>
    <cellStyle name="Hyperlink 26" xfId="1664"/>
    <cellStyle name="Hyperlink 26 2" xfId="1665"/>
    <cellStyle name="Hyperlink 26 3" xfId="1666"/>
    <cellStyle name="Hyperlink 26 9" xfId="1667"/>
    <cellStyle name="Hyperlink 26_AGL" xfId="1668"/>
    <cellStyle name="Hyperlink 27" xfId="1669"/>
    <cellStyle name="Hyperlink 27 2" xfId="1670"/>
    <cellStyle name="Hyperlink 27 3" xfId="1671"/>
    <cellStyle name="Hyperlink 27 9" xfId="1672"/>
    <cellStyle name="Hyperlink 27_AGL" xfId="1673"/>
    <cellStyle name="Hyperlink 28" xfId="1674"/>
    <cellStyle name="Hyperlink 28 2" xfId="1675"/>
    <cellStyle name="Hyperlink 28 3" xfId="1676"/>
    <cellStyle name="Hyperlink 28 9" xfId="1677"/>
    <cellStyle name="Hyperlink 28_AGL" xfId="1678"/>
    <cellStyle name="Hyperlink 29" xfId="1679"/>
    <cellStyle name="Hyperlink 29 2" xfId="1680"/>
    <cellStyle name="Hyperlink 29 3" xfId="1681"/>
    <cellStyle name="Hyperlink 29 9" xfId="1682"/>
    <cellStyle name="Hyperlink 29_AGL" xfId="1683"/>
    <cellStyle name="Hyperlink 3" xfId="1684"/>
    <cellStyle name="Hyperlink 3 2" xfId="1685"/>
    <cellStyle name="Hyperlink 3 3" xfId="1686"/>
    <cellStyle name="Hyperlink 3 9" xfId="1687"/>
    <cellStyle name="Hyperlink 3_AGL" xfId="1688"/>
    <cellStyle name="Hyperlink 30" xfId="1689"/>
    <cellStyle name="Hyperlink 30 2" xfId="1690"/>
    <cellStyle name="Hyperlink 30 3" xfId="1691"/>
    <cellStyle name="Hyperlink 30 9" xfId="1692"/>
    <cellStyle name="Hyperlink 30_AGL" xfId="1693"/>
    <cellStyle name="Hyperlink 31" xfId="1694"/>
    <cellStyle name="Hyperlink 31 2" xfId="1695"/>
    <cellStyle name="Hyperlink 31 3" xfId="1696"/>
    <cellStyle name="Hyperlink 31 9" xfId="1697"/>
    <cellStyle name="Hyperlink 31_AGL" xfId="1698"/>
    <cellStyle name="Hyperlink 32" xfId="1699"/>
    <cellStyle name="Hyperlink 32 2" xfId="1700"/>
    <cellStyle name="Hyperlink 32 3" xfId="1701"/>
    <cellStyle name="Hyperlink 32 9" xfId="1702"/>
    <cellStyle name="Hyperlink 32_AGL" xfId="1703"/>
    <cellStyle name="Hyperlink 33" xfId="1704"/>
    <cellStyle name="Hyperlink 33 2" xfId="1705"/>
    <cellStyle name="Hyperlink 33 3" xfId="1706"/>
    <cellStyle name="Hyperlink 33 9" xfId="1707"/>
    <cellStyle name="Hyperlink 33_AGL" xfId="1708"/>
    <cellStyle name="Hyperlink 34" xfId="1709"/>
    <cellStyle name="Hyperlink 34 2" xfId="1710"/>
    <cellStyle name="Hyperlink 34 3" xfId="1711"/>
    <cellStyle name="Hyperlink 34 9" xfId="1712"/>
    <cellStyle name="Hyperlink 34_AGL" xfId="1713"/>
    <cellStyle name="Hyperlink 35" xfId="1714"/>
    <cellStyle name="Hyperlink 35 2" xfId="1715"/>
    <cellStyle name="Hyperlink 35 3" xfId="1716"/>
    <cellStyle name="Hyperlink 35 9" xfId="1717"/>
    <cellStyle name="Hyperlink 35_AGL" xfId="1718"/>
    <cellStyle name="Hyperlink 36" xfId="1719"/>
    <cellStyle name="Hyperlink 36 2" xfId="1720"/>
    <cellStyle name="Hyperlink 36 3" xfId="1721"/>
    <cellStyle name="Hyperlink 36 9" xfId="1722"/>
    <cellStyle name="Hyperlink 36_AGL" xfId="1723"/>
    <cellStyle name="Hyperlink 37" xfId="1724"/>
    <cellStyle name="Hyperlink 37 2" xfId="1725"/>
    <cellStyle name="Hyperlink 37 3" xfId="1726"/>
    <cellStyle name="Hyperlink 37 9" xfId="1727"/>
    <cellStyle name="Hyperlink 37_AGL" xfId="1728"/>
    <cellStyle name="Hyperlink 38" xfId="1729"/>
    <cellStyle name="Hyperlink 38 2" xfId="1730"/>
    <cellStyle name="Hyperlink 38 3" xfId="1731"/>
    <cellStyle name="Hyperlink 38 9" xfId="1732"/>
    <cellStyle name="Hyperlink 38_AGL" xfId="1733"/>
    <cellStyle name="Hyperlink 39" xfId="1734"/>
    <cellStyle name="Hyperlink 39 2" xfId="1735"/>
    <cellStyle name="Hyperlink 39 3" xfId="1736"/>
    <cellStyle name="Hyperlink 39 9" xfId="1737"/>
    <cellStyle name="Hyperlink 39_AGL" xfId="1738"/>
    <cellStyle name="Hyperlink 4" xfId="1739"/>
    <cellStyle name="Hyperlink 4 2" xfId="1740"/>
    <cellStyle name="Hyperlink 4 3" xfId="1741"/>
    <cellStyle name="Hyperlink 4 9" xfId="1742"/>
    <cellStyle name="Hyperlink 4_AGL" xfId="1743"/>
    <cellStyle name="Hyperlink 40" xfId="1744"/>
    <cellStyle name="Hyperlink 40 2" xfId="1745"/>
    <cellStyle name="Hyperlink 40 3" xfId="1746"/>
    <cellStyle name="Hyperlink 40 9" xfId="1747"/>
    <cellStyle name="Hyperlink 40_AGL" xfId="1748"/>
    <cellStyle name="Hyperlink 41" xfId="1749"/>
    <cellStyle name="Hyperlink 41 2" xfId="1750"/>
    <cellStyle name="Hyperlink 41 3" xfId="1751"/>
    <cellStyle name="Hyperlink 41 9" xfId="1752"/>
    <cellStyle name="Hyperlink 41_AGL" xfId="1753"/>
    <cellStyle name="Hyperlink 42" xfId="1754"/>
    <cellStyle name="Hyperlink 42 2" xfId="1755"/>
    <cellStyle name="Hyperlink 42 3" xfId="1756"/>
    <cellStyle name="Hyperlink 42 9" xfId="1757"/>
    <cellStyle name="Hyperlink 42_AGL" xfId="1758"/>
    <cellStyle name="Hyperlink 43" xfId="1759"/>
    <cellStyle name="Hyperlink 43 2" xfId="1760"/>
    <cellStyle name="Hyperlink 43 3" xfId="1761"/>
    <cellStyle name="Hyperlink 43 9" xfId="1762"/>
    <cellStyle name="Hyperlink 43_AGL" xfId="1763"/>
    <cellStyle name="Hyperlink 44" xfId="1764"/>
    <cellStyle name="Hyperlink 44 2" xfId="1765"/>
    <cellStyle name="Hyperlink 44 3" xfId="1766"/>
    <cellStyle name="Hyperlink 44 9" xfId="1767"/>
    <cellStyle name="Hyperlink 44_AGL" xfId="1768"/>
    <cellStyle name="Hyperlink 45" xfId="1769"/>
    <cellStyle name="Hyperlink 45 2" xfId="1770"/>
    <cellStyle name="Hyperlink 45 3" xfId="1771"/>
    <cellStyle name="Hyperlink 45 9" xfId="1772"/>
    <cellStyle name="Hyperlink 45_AGL" xfId="1773"/>
    <cellStyle name="Hyperlink 46" xfId="1774"/>
    <cellStyle name="Hyperlink 46 2" xfId="1775"/>
    <cellStyle name="Hyperlink 46 3" xfId="1776"/>
    <cellStyle name="Hyperlink 46 9" xfId="1777"/>
    <cellStyle name="Hyperlink 46_AGL" xfId="1778"/>
    <cellStyle name="Hyperlink 47" xfId="1779"/>
    <cellStyle name="Hyperlink 47 2" xfId="1780"/>
    <cellStyle name="Hyperlink 47 3" xfId="1781"/>
    <cellStyle name="Hyperlink 47 9" xfId="1782"/>
    <cellStyle name="Hyperlink 47_AGL" xfId="1783"/>
    <cellStyle name="Hyperlink 48" xfId="1784"/>
    <cellStyle name="Hyperlink 48 2" xfId="1785"/>
    <cellStyle name="Hyperlink 48 3" xfId="1786"/>
    <cellStyle name="Hyperlink 48 9" xfId="1787"/>
    <cellStyle name="Hyperlink 48_AGL" xfId="1788"/>
    <cellStyle name="Hyperlink 49" xfId="1789"/>
    <cellStyle name="Hyperlink 49 2" xfId="1790"/>
    <cellStyle name="Hyperlink 49 3" xfId="1791"/>
    <cellStyle name="Hyperlink 49 9" xfId="1792"/>
    <cellStyle name="Hyperlink 49_AGL" xfId="1793"/>
    <cellStyle name="Hyperlink 5" xfId="1794"/>
    <cellStyle name="Hyperlink 5 2" xfId="1795"/>
    <cellStyle name="Hyperlink 5 3" xfId="1796"/>
    <cellStyle name="Hyperlink 5 9" xfId="1797"/>
    <cellStyle name="Hyperlink 5_AGL" xfId="1798"/>
    <cellStyle name="Hyperlink 50" xfId="1799"/>
    <cellStyle name="Hyperlink 50 2" xfId="1800"/>
    <cellStyle name="Hyperlink 50 3" xfId="1801"/>
    <cellStyle name="Hyperlink 50 9" xfId="1802"/>
    <cellStyle name="Hyperlink 50_AGL" xfId="1803"/>
    <cellStyle name="Hyperlink 51" xfId="1804"/>
    <cellStyle name="Hyperlink 51 2" xfId="1805"/>
    <cellStyle name="Hyperlink 51 3" xfId="1806"/>
    <cellStyle name="Hyperlink 51 9" xfId="1807"/>
    <cellStyle name="Hyperlink 51_AGL" xfId="1808"/>
    <cellStyle name="Hyperlink 52" xfId="1809"/>
    <cellStyle name="Hyperlink 52 2" xfId="1810"/>
    <cellStyle name="Hyperlink 52 3" xfId="1811"/>
    <cellStyle name="Hyperlink 52 9" xfId="1812"/>
    <cellStyle name="Hyperlink 52_AGL" xfId="1813"/>
    <cellStyle name="Hyperlink 53" xfId="1814"/>
    <cellStyle name="Hyperlink 53 2" xfId="1815"/>
    <cellStyle name="Hyperlink 53 3" xfId="1816"/>
    <cellStyle name="Hyperlink 53 9" xfId="1817"/>
    <cellStyle name="Hyperlink 53_AGL" xfId="1818"/>
    <cellStyle name="Hyperlink 54" xfId="1819"/>
    <cellStyle name="Hyperlink 54 2" xfId="1820"/>
    <cellStyle name="Hyperlink 54 3" xfId="1821"/>
    <cellStyle name="Hyperlink 54 9" xfId="1822"/>
    <cellStyle name="Hyperlink 54_AGL" xfId="1823"/>
    <cellStyle name="Hyperlink 55" xfId="1824"/>
    <cellStyle name="Hyperlink 55 2" xfId="1825"/>
    <cellStyle name="Hyperlink 55 3" xfId="1826"/>
    <cellStyle name="Hyperlink 55 9" xfId="1827"/>
    <cellStyle name="Hyperlink 55_AGL" xfId="1828"/>
    <cellStyle name="Hyperlink 56" xfId="1829"/>
    <cellStyle name="Hyperlink 56 2" xfId="1830"/>
    <cellStyle name="Hyperlink 56 3" xfId="1831"/>
    <cellStyle name="Hyperlink 56 9" xfId="1832"/>
    <cellStyle name="Hyperlink 56_AGL" xfId="1833"/>
    <cellStyle name="Hyperlink 57" xfId="1834"/>
    <cellStyle name="Hyperlink 57 2" xfId="1835"/>
    <cellStyle name="Hyperlink 57 3" xfId="1836"/>
    <cellStyle name="Hyperlink 57 9" xfId="1837"/>
    <cellStyle name="Hyperlink 57_AGL" xfId="1838"/>
    <cellStyle name="Hyperlink 58" xfId="1839"/>
    <cellStyle name="Hyperlink 58 2" xfId="1840"/>
    <cellStyle name="Hyperlink 58 3" xfId="1841"/>
    <cellStyle name="Hyperlink 58 9" xfId="1842"/>
    <cellStyle name="Hyperlink 58_AGL" xfId="1843"/>
    <cellStyle name="Hyperlink 59" xfId="1844"/>
    <cellStyle name="Hyperlink 59 2" xfId="1845"/>
    <cellStyle name="Hyperlink 59 3" xfId="1846"/>
    <cellStyle name="Hyperlink 59 9" xfId="1847"/>
    <cellStyle name="Hyperlink 59_AGL" xfId="1848"/>
    <cellStyle name="Hyperlink 6" xfId="1849"/>
    <cellStyle name="Hyperlink 6 2" xfId="1850"/>
    <cellStyle name="Hyperlink 6 3" xfId="1851"/>
    <cellStyle name="Hyperlink 6 9" xfId="1852"/>
    <cellStyle name="Hyperlink 6_AGL" xfId="1853"/>
    <cellStyle name="Hyperlink 60" xfId="1854"/>
    <cellStyle name="Hyperlink 60 2" xfId="1855"/>
    <cellStyle name="Hyperlink 60 3" xfId="1856"/>
    <cellStyle name="Hyperlink 60 9" xfId="1857"/>
    <cellStyle name="Hyperlink 60_AGL" xfId="1858"/>
    <cellStyle name="Hyperlink 61" xfId="1859"/>
    <cellStyle name="Hyperlink 61 2" xfId="1860"/>
    <cellStyle name="Hyperlink 61 3" xfId="1861"/>
    <cellStyle name="Hyperlink 61 9" xfId="1862"/>
    <cellStyle name="Hyperlink 61_AGL" xfId="1863"/>
    <cellStyle name="Hyperlink 62" xfId="1864"/>
    <cellStyle name="Hyperlink 62 2" xfId="1865"/>
    <cellStyle name="Hyperlink 62 3" xfId="1866"/>
    <cellStyle name="Hyperlink 62 9" xfId="1867"/>
    <cellStyle name="Hyperlink 62_AGL" xfId="1868"/>
    <cellStyle name="Hyperlink 63" xfId="1869"/>
    <cellStyle name="Hyperlink 63 2" xfId="1870"/>
    <cellStyle name="Hyperlink 63 3" xfId="1871"/>
    <cellStyle name="Hyperlink 63 9" xfId="1872"/>
    <cellStyle name="Hyperlink 63_AGL" xfId="1873"/>
    <cellStyle name="Hyperlink 64" xfId="1874"/>
    <cellStyle name="Hyperlink 64 2" xfId="1875"/>
    <cellStyle name="Hyperlink 64 3" xfId="1876"/>
    <cellStyle name="Hyperlink 64 9" xfId="1877"/>
    <cellStyle name="Hyperlink 64_AGL" xfId="1878"/>
    <cellStyle name="Hyperlink 65" xfId="1879"/>
    <cellStyle name="Hyperlink 65 2" xfId="1880"/>
    <cellStyle name="Hyperlink 65 3" xfId="1881"/>
    <cellStyle name="Hyperlink 65 9" xfId="1882"/>
    <cellStyle name="Hyperlink 65_AGL" xfId="1883"/>
    <cellStyle name="Hyperlink 66" xfId="1884"/>
    <cellStyle name="Hyperlink 66 2" xfId="1885"/>
    <cellStyle name="Hyperlink 66 3" xfId="1886"/>
    <cellStyle name="Hyperlink 66 9" xfId="1887"/>
    <cellStyle name="Hyperlink 66_AGL" xfId="1888"/>
    <cellStyle name="Hyperlink 67" xfId="1889"/>
    <cellStyle name="Hyperlink 67 2" xfId="1890"/>
    <cellStyle name="Hyperlink 67 3" xfId="1891"/>
    <cellStyle name="Hyperlink 67 9" xfId="1892"/>
    <cellStyle name="Hyperlink 67_AGL" xfId="1893"/>
    <cellStyle name="Hyperlink 68" xfId="1894"/>
    <cellStyle name="Hyperlink 68 2" xfId="1895"/>
    <cellStyle name="Hyperlink 68 3" xfId="1896"/>
    <cellStyle name="Hyperlink 68 9" xfId="1897"/>
    <cellStyle name="Hyperlink 68_AGL" xfId="1898"/>
    <cellStyle name="Hyperlink 69" xfId="1899"/>
    <cellStyle name="Hyperlink 69 2" xfId="1900"/>
    <cellStyle name="Hyperlink 69 3" xfId="1901"/>
    <cellStyle name="Hyperlink 69 9" xfId="1902"/>
    <cellStyle name="Hyperlink 69_AGL" xfId="1903"/>
    <cellStyle name="Hyperlink 7" xfId="1904"/>
    <cellStyle name="Hyperlink 7 2" xfId="1905"/>
    <cellStyle name="Hyperlink 7 3" xfId="1906"/>
    <cellStyle name="Hyperlink 7 9" xfId="1907"/>
    <cellStyle name="Hyperlink 7_AGL" xfId="1908"/>
    <cellStyle name="Hyperlink 70" xfId="1909"/>
    <cellStyle name="Hyperlink 70 2" xfId="1910"/>
    <cellStyle name="Hyperlink 70 3" xfId="1911"/>
    <cellStyle name="Hyperlink 70 9" xfId="1912"/>
    <cellStyle name="Hyperlink 70_AGL" xfId="1913"/>
    <cellStyle name="Hyperlink 71" xfId="1914"/>
    <cellStyle name="Hyperlink 71 2" xfId="1915"/>
    <cellStyle name="Hyperlink 71 3" xfId="1916"/>
    <cellStyle name="Hyperlink 71 9" xfId="1917"/>
    <cellStyle name="Hyperlink 71_AGL" xfId="1918"/>
    <cellStyle name="Hyperlink 72" xfId="1919"/>
    <cellStyle name="Hyperlink 72 2" xfId="1920"/>
    <cellStyle name="Hyperlink 72 3" xfId="1921"/>
    <cellStyle name="Hyperlink 72 9" xfId="1922"/>
    <cellStyle name="Hyperlink 72_AGL" xfId="1923"/>
    <cellStyle name="Hyperlink 73" xfId="1924"/>
    <cellStyle name="Hyperlink 73 2" xfId="1925"/>
    <cellStyle name="Hyperlink 73 3" xfId="1926"/>
    <cellStyle name="Hyperlink 73 9" xfId="1927"/>
    <cellStyle name="Hyperlink 73_AGL" xfId="1928"/>
    <cellStyle name="Hyperlink 74" xfId="1929"/>
    <cellStyle name="Hyperlink 74 2" xfId="1930"/>
    <cellStyle name="Hyperlink 74 3" xfId="1931"/>
    <cellStyle name="Hyperlink 74 9" xfId="1932"/>
    <cellStyle name="Hyperlink 74_AGL" xfId="1933"/>
    <cellStyle name="Hyperlink 75" xfId="1934"/>
    <cellStyle name="Hyperlink 75 2" xfId="1935"/>
    <cellStyle name="Hyperlink 75 3" xfId="1936"/>
    <cellStyle name="Hyperlink 75 9" xfId="1937"/>
    <cellStyle name="Hyperlink 75_AGL" xfId="1938"/>
    <cellStyle name="Hyperlink 76" xfId="1939"/>
    <cellStyle name="Hyperlink 76 2" xfId="1940"/>
    <cellStyle name="Hyperlink 76 3" xfId="1941"/>
    <cellStyle name="Hyperlink 76 9" xfId="1942"/>
    <cellStyle name="Hyperlink 76_AGL" xfId="1943"/>
    <cellStyle name="Hyperlink 77" xfId="1944"/>
    <cellStyle name="Hyperlink 77 2" xfId="1945"/>
    <cellStyle name="Hyperlink 77 3" xfId="1946"/>
    <cellStyle name="Hyperlink 77 9" xfId="1947"/>
    <cellStyle name="Hyperlink 77_AGL" xfId="1948"/>
    <cellStyle name="Hyperlink 78" xfId="1949"/>
    <cellStyle name="Hyperlink 78 2" xfId="1950"/>
    <cellStyle name="Hyperlink 78 3" xfId="1951"/>
    <cellStyle name="Hyperlink 78 9" xfId="1952"/>
    <cellStyle name="Hyperlink 78_AGL" xfId="1953"/>
    <cellStyle name="Hyperlink 79" xfId="1954"/>
    <cellStyle name="Hyperlink 79 2" xfId="1955"/>
    <cellStyle name="Hyperlink 79 3" xfId="1956"/>
    <cellStyle name="Hyperlink 79 9" xfId="1957"/>
    <cellStyle name="Hyperlink 79_AGL" xfId="1958"/>
    <cellStyle name="Hyperlink 8" xfId="1959"/>
    <cellStyle name="Hyperlink 8 2" xfId="1960"/>
    <cellStyle name="Hyperlink 8 3" xfId="1961"/>
    <cellStyle name="Hyperlink 8 9" xfId="1962"/>
    <cellStyle name="Hyperlink 8_AGL" xfId="1963"/>
    <cellStyle name="Hyperlink 80" xfId="1964"/>
    <cellStyle name="Hyperlink 80 2" xfId="1965"/>
    <cellStyle name="Hyperlink 80 3" xfId="1966"/>
    <cellStyle name="Hyperlink 80 9" xfId="1967"/>
    <cellStyle name="Hyperlink 80_AGL" xfId="1968"/>
    <cellStyle name="Hyperlink 81" xfId="1969"/>
    <cellStyle name="Hyperlink 81 2" xfId="1970"/>
    <cellStyle name="Hyperlink 81 3" xfId="1971"/>
    <cellStyle name="Hyperlink 81 9" xfId="1972"/>
    <cellStyle name="Hyperlink 81_AGL" xfId="1973"/>
    <cellStyle name="Hyperlink 82" xfId="1974"/>
    <cellStyle name="Hyperlink 82 2" xfId="1975"/>
    <cellStyle name="Hyperlink 82 3" xfId="1976"/>
    <cellStyle name="Hyperlink 82 9" xfId="1977"/>
    <cellStyle name="Hyperlink 82_AGL" xfId="1978"/>
    <cellStyle name="Hyperlink 83" xfId="1979"/>
    <cellStyle name="Hyperlink 83 2" xfId="1980"/>
    <cellStyle name="Hyperlink 83 3" xfId="1981"/>
    <cellStyle name="Hyperlink 83 9" xfId="1982"/>
    <cellStyle name="Hyperlink 83_AGL" xfId="1983"/>
    <cellStyle name="Hyperlink 84" xfId="1984"/>
    <cellStyle name="Hyperlink 84 2" xfId="1985"/>
    <cellStyle name="Hyperlink 84 3" xfId="1986"/>
    <cellStyle name="Hyperlink 84 9" xfId="1987"/>
    <cellStyle name="Hyperlink 84_AGL" xfId="1988"/>
    <cellStyle name="Hyperlink 85" xfId="1989"/>
    <cellStyle name="Hyperlink 85 2" xfId="1990"/>
    <cellStyle name="Hyperlink 85 3" xfId="1991"/>
    <cellStyle name="Hyperlink 85 9" xfId="1992"/>
    <cellStyle name="Hyperlink 85_AGL" xfId="1993"/>
    <cellStyle name="Hyperlink 86" xfId="1994"/>
    <cellStyle name="Hyperlink 86 2" xfId="1995"/>
    <cellStyle name="Hyperlink 86 3" xfId="1996"/>
    <cellStyle name="Hyperlink 86 9" xfId="1997"/>
    <cellStyle name="Hyperlink 86_AGL" xfId="1998"/>
    <cellStyle name="Hyperlink 87" xfId="1999"/>
    <cellStyle name="Hyperlink 87 2" xfId="2000"/>
    <cellStyle name="Hyperlink 87 3" xfId="2001"/>
    <cellStyle name="Hyperlink 87 9" xfId="2002"/>
    <cellStyle name="Hyperlink 87_AGL" xfId="2003"/>
    <cellStyle name="Hyperlink 88" xfId="2004"/>
    <cellStyle name="Hyperlink 88 2" xfId="2005"/>
    <cellStyle name="Hyperlink 88 3" xfId="2006"/>
    <cellStyle name="Hyperlink 88 9" xfId="2007"/>
    <cellStyle name="Hyperlink 88_AGL" xfId="2008"/>
    <cellStyle name="Hyperlink 89" xfId="2009"/>
    <cellStyle name="Hyperlink 89 2" xfId="2010"/>
    <cellStyle name="Hyperlink 89 3" xfId="2011"/>
    <cellStyle name="Hyperlink 89 9" xfId="2012"/>
    <cellStyle name="Hyperlink 89_AGL" xfId="2013"/>
    <cellStyle name="Hyperlink 9" xfId="2014"/>
    <cellStyle name="Hyperlink 9 2" xfId="2015"/>
    <cellStyle name="Hyperlink 9 3" xfId="2016"/>
    <cellStyle name="Hyperlink 9 9" xfId="2017"/>
    <cellStyle name="Hyperlink 9_AGL" xfId="2018"/>
    <cellStyle name="Hyperlink 90" xfId="2019"/>
    <cellStyle name="Hyperlink 90 2" xfId="2020"/>
    <cellStyle name="Hyperlink 90 3" xfId="2021"/>
    <cellStyle name="Hyperlink 90 9" xfId="2022"/>
    <cellStyle name="Hyperlink 90_AGL" xfId="2023"/>
    <cellStyle name="Hyperlink 91" xfId="2024"/>
    <cellStyle name="Hyperlink 91 2" xfId="2025"/>
    <cellStyle name="Hyperlink 91 3" xfId="2026"/>
    <cellStyle name="Hyperlink 91 9" xfId="2027"/>
    <cellStyle name="Hyperlink 91_AGL" xfId="2028"/>
    <cellStyle name="Hyperlink 92" xfId="2029"/>
    <cellStyle name="Hyperlink 92 2" xfId="2030"/>
    <cellStyle name="Hyperlink 92 3" xfId="2031"/>
    <cellStyle name="Hyperlink 92 9" xfId="2032"/>
    <cellStyle name="Hyperlink 92_AGL" xfId="2033"/>
    <cellStyle name="Hyperlink 93" xfId="2034"/>
    <cellStyle name="Hyperlink 93 2" xfId="2035"/>
    <cellStyle name="Hyperlink 93 3" xfId="2036"/>
    <cellStyle name="Hyperlink 93 9" xfId="2037"/>
    <cellStyle name="Hyperlink 93_AGL" xfId="2038"/>
    <cellStyle name="Hyperlink 94" xfId="2039"/>
    <cellStyle name="Hyperlink 94 2" xfId="2040"/>
    <cellStyle name="Hyperlink 94 3" xfId="2041"/>
    <cellStyle name="Hyperlink 94 9" xfId="2042"/>
    <cellStyle name="Hyperlink 94_AGL" xfId="2043"/>
    <cellStyle name="Hyperlink 95" xfId="2044"/>
    <cellStyle name="Hyperlink 95 2" xfId="2045"/>
    <cellStyle name="Hyperlink 95 3" xfId="2046"/>
    <cellStyle name="Hyperlink 95 9" xfId="2047"/>
    <cellStyle name="Hyperlink 95_AGL" xfId="2048"/>
    <cellStyle name="Hyperlink 96" xfId="2049"/>
    <cellStyle name="Hyperlink 96 2" xfId="2050"/>
    <cellStyle name="Hyperlink 96 3" xfId="2051"/>
    <cellStyle name="Hyperlink 96 9" xfId="2052"/>
    <cellStyle name="Hyperlink 96_AGL" xfId="2053"/>
    <cellStyle name="Hyperlink 97" xfId="2054"/>
    <cellStyle name="Hyperlink 97 2" xfId="2055"/>
    <cellStyle name="Hyperlink 97 3" xfId="2056"/>
    <cellStyle name="Hyperlink 97 9" xfId="2057"/>
    <cellStyle name="Hyperlink 97_AGL" xfId="2058"/>
    <cellStyle name="Hyperlink 98" xfId="2059"/>
    <cellStyle name="Hyperlink 98 2" xfId="2060"/>
    <cellStyle name="Hyperlink 98 3" xfId="2061"/>
    <cellStyle name="Hyperlink 98 9" xfId="2062"/>
    <cellStyle name="Hyperlink 98_AGL" xfId="2063"/>
    <cellStyle name="Hyperlink 99" xfId="2064"/>
    <cellStyle name="Hyperlink 99 2" xfId="2065"/>
    <cellStyle name="Hyperlink 99 3" xfId="2066"/>
    <cellStyle name="Hyperlink 99 9" xfId="2067"/>
    <cellStyle name="Hyperlink 99_AGL" xfId="2068"/>
    <cellStyle name="Input 2 10" xfId="2069"/>
    <cellStyle name="Input 2 2" xfId="2070"/>
    <cellStyle name="Input 2 2 2" xfId="2071"/>
    <cellStyle name="Input 2 2 2 2" xfId="2072"/>
    <cellStyle name="Input 2 2 2_Sheet10" xfId="2073"/>
    <cellStyle name="Input 2 2 3" xfId="2074"/>
    <cellStyle name="Input 2 2_AGL" xfId="2075"/>
    <cellStyle name="Input 2 3" xfId="2076"/>
    <cellStyle name="Input 2 3 2" xfId="2077"/>
    <cellStyle name="Input 2 3 2 2" xfId="2078"/>
    <cellStyle name="Input 2 3 2_Sheet10" xfId="2079"/>
    <cellStyle name="Input 2 3 3" xfId="2080"/>
    <cellStyle name="Input 2 3_AGL" xfId="2081"/>
    <cellStyle name="Input 2 4" xfId="2082"/>
    <cellStyle name="Input 2 4 2" xfId="2083"/>
    <cellStyle name="Input 2 4_Sheet10" xfId="2084"/>
    <cellStyle name="Input 2 5" xfId="2085"/>
    <cellStyle name="Input 2 6" xfId="2086"/>
    <cellStyle name="Input 2 7" xfId="2087"/>
    <cellStyle name="Input 2 8" xfId="2088"/>
    <cellStyle name="Input 2 9" xfId="2089"/>
    <cellStyle name="Input 2_AGL" xfId="2090"/>
    <cellStyle name="Input 3" xfId="2091"/>
    <cellStyle name="Input 3 10" xfId="2092"/>
    <cellStyle name="Input 3 2" xfId="2093"/>
    <cellStyle name="Input 3 2 2" xfId="2094"/>
    <cellStyle name="Input 3 2_Sheet10" xfId="2095"/>
    <cellStyle name="Input 3 3" xfId="2096"/>
    <cellStyle name="Input 3 4" xfId="2097"/>
    <cellStyle name="Input 3 5" xfId="2098"/>
    <cellStyle name="Input 3 6" xfId="2099"/>
    <cellStyle name="Input 3 7" xfId="2100"/>
    <cellStyle name="Input 3 8" xfId="2101"/>
    <cellStyle name="Input 3 9" xfId="2102"/>
    <cellStyle name="Input 3_AGL" xfId="2103"/>
    <cellStyle name="Input 4" xfId="2104"/>
    <cellStyle name="Input 4 2" xfId="2105"/>
    <cellStyle name="Input 4 2 2" xfId="2106"/>
    <cellStyle name="Input 4 2_Sheet10" xfId="2107"/>
    <cellStyle name="Input 4 3" xfId="2108"/>
    <cellStyle name="Input 4_AGL" xfId="2109"/>
    <cellStyle name="Input 5" xfId="2110"/>
    <cellStyle name="Input 5 2" xfId="2111"/>
    <cellStyle name="Input 5_Sheet10" xfId="2112"/>
    <cellStyle name="Input 6" xfId="2113"/>
    <cellStyle name="Interm selection" xfId="2114"/>
    <cellStyle name="Intermediate/scenario user input" xfId="2115"/>
    <cellStyle name="Intermediate/scenario user input 2" xfId="2116"/>
    <cellStyle name="Intermediate/scenario user input 2 2" xfId="2117"/>
    <cellStyle name="Intermediate/scenario user input 2_Sheet10" xfId="2118"/>
    <cellStyle name="Intermediate/scenario user input 3" xfId="2119"/>
    <cellStyle name="Intermediate/scenario user input_AGL" xfId="2120"/>
    <cellStyle name="L_Green" xfId="2121"/>
    <cellStyle name="Linked 2" xfId="2122"/>
    <cellStyle name="Linked 2 2" xfId="2123"/>
    <cellStyle name="Linked 2 2 2" xfId="2124"/>
    <cellStyle name="Linked 2 2 3" xfId="2125"/>
    <cellStyle name="Linked 2 2_AGL" xfId="2126"/>
    <cellStyle name="Linked 2 3" xfId="2127"/>
    <cellStyle name="Linked 2 4" xfId="2128"/>
    <cellStyle name="Linked 2_AGL" xfId="2129"/>
    <cellStyle name="Linked 3" xfId="2130"/>
    <cellStyle name="Linked 4" xfId="2131"/>
    <cellStyle name="Linked Cell 2" xfId="2132"/>
    <cellStyle name="Linked Cell 2 2" xfId="2133"/>
    <cellStyle name="Linked Cell 2 3" xfId="2134"/>
    <cellStyle name="Linked Cell 2_AGL" xfId="2135"/>
    <cellStyle name="Linked Cell 3" xfId="2136"/>
    <cellStyle name="Linked Cell 4" xfId="2137"/>
    <cellStyle name="Neutral 2" xfId="2138"/>
    <cellStyle name="Neutral 2 2" xfId="2139"/>
    <cellStyle name="Neutral 2 3" xfId="2140"/>
    <cellStyle name="Neutral 2_AGL" xfId="2141"/>
    <cellStyle name="Neutral 3" xfId="2142"/>
    <cellStyle name="Neutral 3 2" xfId="2143"/>
    <cellStyle name="Neutral 3 3" xfId="2144"/>
    <cellStyle name="Neutral 3_AGL" xfId="2145"/>
    <cellStyle name="Neutral 4" xfId="2146"/>
    <cellStyle name="Neutral 4 2" xfId="2147"/>
    <cellStyle name="Neutral 4 3" xfId="2148"/>
    <cellStyle name="Neutral 4_AGL" xfId="2149"/>
    <cellStyle name="Neutral 5" xfId="2150"/>
    <cellStyle name="Neutral 6" xfId="2151"/>
    <cellStyle name="Normal - Style1" xfId="2152"/>
    <cellStyle name="Normal 10 2" xfId="2153"/>
    <cellStyle name="Normal 10 2 2" xfId="2154"/>
    <cellStyle name="Normal 10 2 2 2" xfId="2155"/>
    <cellStyle name="Normal 10 2 3" xfId="2156"/>
    <cellStyle name="Normal 10 2 3 2" xfId="2157"/>
    <cellStyle name="Normal 10 2 4" xfId="2158"/>
    <cellStyle name="Normal 10 2_AGL" xfId="2159"/>
    <cellStyle name="Normal 10 3" xfId="2160"/>
    <cellStyle name="Normal 10 3 2" xfId="2161"/>
    <cellStyle name="Normal 10 3 2 2" xfId="2162"/>
    <cellStyle name="Normal 10 3 3" xfId="2163"/>
    <cellStyle name="Normal 10 3 3 2" xfId="2164"/>
    <cellStyle name="Normal 10 3 4" xfId="2165"/>
    <cellStyle name="Normal 10 3_AGL" xfId="2166"/>
    <cellStyle name="Normal 10 4" xfId="2167"/>
    <cellStyle name="Normal 10 4 2" xfId="2168"/>
    <cellStyle name="Normal 10 4 2 2" xfId="2169"/>
    <cellStyle name="Normal 10 4 3" xfId="2170"/>
    <cellStyle name="Normal 10 4 3 2" xfId="2171"/>
    <cellStyle name="Normal 10 4 4" xfId="2172"/>
    <cellStyle name="Normal 10 4_AGL" xfId="2173"/>
    <cellStyle name="Normal 10 5" xfId="2174"/>
    <cellStyle name="Normal 10 5 2" xfId="2175"/>
    <cellStyle name="Normal 10 6" xfId="2176"/>
    <cellStyle name="Normal 10 6 2" xfId="2177"/>
    <cellStyle name="Normal 10 7" xfId="2178"/>
    <cellStyle name="Normal 10_AGL" xfId="2179"/>
    <cellStyle name="Normal 11" xfId="2180"/>
    <cellStyle name="Normal 11 2" xfId="2181"/>
    <cellStyle name="Normal 11 2 2" xfId="2182"/>
    <cellStyle name="Normal 11 2 2 2" xfId="2183"/>
    <cellStyle name="Normal 11 2 3" xfId="2184"/>
    <cellStyle name="Normal 11 2 3 2" xfId="2185"/>
    <cellStyle name="Normal 11 2 4" xfId="2186"/>
    <cellStyle name="Normal 11 2_AGL" xfId="2187"/>
    <cellStyle name="Normal 11 3" xfId="2188"/>
    <cellStyle name="Normal 11 3 2" xfId="2189"/>
    <cellStyle name="Normal 11 3 2 2" xfId="2190"/>
    <cellStyle name="Normal 11 3 3" xfId="2191"/>
    <cellStyle name="Normal 11 3 3 2" xfId="2192"/>
    <cellStyle name="Normal 11 3 4" xfId="2193"/>
    <cellStyle name="Normal 11 3_AGL" xfId="2194"/>
    <cellStyle name="Normal 11 4" xfId="2195"/>
    <cellStyle name="Normal 11 4 2" xfId="2196"/>
    <cellStyle name="Normal 11 5" xfId="2197"/>
    <cellStyle name="Normal 11 5 2" xfId="2198"/>
    <cellStyle name="Normal 11 6" xfId="2199"/>
    <cellStyle name="Normal 11_AGL" xfId="2200"/>
    <cellStyle name="Normal 12" xfId="2201"/>
    <cellStyle name="Normal 12 10" xfId="2202"/>
    <cellStyle name="Normal 12 10 2" xfId="2203"/>
    <cellStyle name="Normal 12 11" xfId="2204"/>
    <cellStyle name="Normal 12 11 2" xfId="2205"/>
    <cellStyle name="Normal 12 12" xfId="2206"/>
    <cellStyle name="Normal 12 2" xfId="2207"/>
    <cellStyle name="Normal 12 2 2" xfId="2208"/>
    <cellStyle name="Normal 12 2 2 2" xfId="2209"/>
    <cellStyle name="Normal 12 2 3" xfId="2210"/>
    <cellStyle name="Normal 12 2 3 2" xfId="2211"/>
    <cellStyle name="Normal 12 2 4" xfId="2212"/>
    <cellStyle name="Normal 12 2_AGL" xfId="2213"/>
    <cellStyle name="Normal 12 3" xfId="2214"/>
    <cellStyle name="Normal 12 3 2" xfId="2215"/>
    <cellStyle name="Normal 12 3 2 2" xfId="2216"/>
    <cellStyle name="Normal 12 3 3" xfId="2217"/>
    <cellStyle name="Normal 12 3 3 2" xfId="2218"/>
    <cellStyle name="Normal 12 3 4" xfId="2219"/>
    <cellStyle name="Normal 12 3_AGL" xfId="2220"/>
    <cellStyle name="Normal 12 4" xfId="2221"/>
    <cellStyle name="Normal 12 4 2" xfId="2222"/>
    <cellStyle name="Normal 12 4 2 2" xfId="2223"/>
    <cellStyle name="Normal 12 4 3" xfId="2224"/>
    <cellStyle name="Normal 12 4 3 2" xfId="2225"/>
    <cellStyle name="Normal 12 4 4" xfId="2226"/>
    <cellStyle name="Normal 12 4_AGL" xfId="2227"/>
    <cellStyle name="Normal 12 5" xfId="2228"/>
    <cellStyle name="Normal 12 5 2" xfId="2229"/>
    <cellStyle name="Normal 12 5 2 2" xfId="2230"/>
    <cellStyle name="Normal 12 5 3" xfId="2231"/>
    <cellStyle name="Normal 12 5 3 2" xfId="2232"/>
    <cellStyle name="Normal 12 5 4" xfId="2233"/>
    <cellStyle name="Normal 12 5_AGL" xfId="2234"/>
    <cellStyle name="Normal 12 6" xfId="2235"/>
    <cellStyle name="Normal 12 6 2" xfId="2236"/>
    <cellStyle name="Normal 12 6 2 2" xfId="2237"/>
    <cellStyle name="Normal 12 6 3" xfId="2238"/>
    <cellStyle name="Normal 12 6 3 2" xfId="2239"/>
    <cellStyle name="Normal 12 6 4" xfId="2240"/>
    <cellStyle name="Normal 12 6_AGL" xfId="2241"/>
    <cellStyle name="Normal 12 7" xfId="2242"/>
    <cellStyle name="Normal 12 7 2" xfId="2243"/>
    <cellStyle name="Normal 12 7 2 2" xfId="2244"/>
    <cellStyle name="Normal 12 7 3" xfId="2245"/>
    <cellStyle name="Normal 12 7 3 2" xfId="2246"/>
    <cellStyle name="Normal 12 7 4" xfId="2247"/>
    <cellStyle name="Normal 12 7_AGL" xfId="2248"/>
    <cellStyle name="Normal 12 8" xfId="2249"/>
    <cellStyle name="Normal 12 8 2" xfId="2250"/>
    <cellStyle name="Normal 12 8 2 2" xfId="2251"/>
    <cellStyle name="Normal 12 8 3" xfId="2252"/>
    <cellStyle name="Normal 12 8 3 2" xfId="2253"/>
    <cellStyle name="Normal 12 8 4" xfId="2254"/>
    <cellStyle name="Normal 12 8_AGL" xfId="2255"/>
    <cellStyle name="Normal 12 9 2 2" xfId="2256"/>
    <cellStyle name="Normal 12 9 3" xfId="2257"/>
    <cellStyle name="Normal 12 9 3 2" xfId="2258"/>
    <cellStyle name="Normal 12 9 4" xfId="2259"/>
    <cellStyle name="Normal 12 9_AGL" xfId="2260"/>
    <cellStyle name="Normal 12_AGL" xfId="2261"/>
    <cellStyle name="Normal 13 10" xfId="2262"/>
    <cellStyle name="Normal 13 10 2" xfId="2263"/>
    <cellStyle name="Normal 13 11" xfId="2264"/>
    <cellStyle name="Normal 13 11 2" xfId="2265"/>
    <cellStyle name="Normal 13 12" xfId="2266"/>
    <cellStyle name="Normal 13 13" xfId="2267"/>
    <cellStyle name="Normal 13 2" xfId="2268"/>
    <cellStyle name="Normal 13 2 2" xfId="2269"/>
    <cellStyle name="Normal 13 2 2 2" xfId="2270"/>
    <cellStyle name="Normal 13 2 3" xfId="2271"/>
    <cellStyle name="Normal 13 2 3 2" xfId="2272"/>
    <cellStyle name="Normal 13 2 4" xfId="2273"/>
    <cellStyle name="Normal 13 2_AGL" xfId="2274"/>
    <cellStyle name="Normal 13 3" xfId="2275"/>
    <cellStyle name="Normal 13 3 2" xfId="2276"/>
    <cellStyle name="Normal 13 3 2 2" xfId="2277"/>
    <cellStyle name="Normal 13 3 3" xfId="2278"/>
    <cellStyle name="Normal 13 3 3 2" xfId="2279"/>
    <cellStyle name="Normal 13 3 4" xfId="2280"/>
    <cellStyle name="Normal 13 3_AGL" xfId="2281"/>
    <cellStyle name="Normal 13 4" xfId="2282"/>
    <cellStyle name="Normal 13 4 2" xfId="2283"/>
    <cellStyle name="Normal 13 4 2 2" xfId="2284"/>
    <cellStyle name="Normal 13 4 3" xfId="2285"/>
    <cellStyle name="Normal 13 4 3 2" xfId="2286"/>
    <cellStyle name="Normal 13 4 4" xfId="2287"/>
    <cellStyle name="Normal 13 4_AGL" xfId="2288"/>
    <cellStyle name="Normal 13 5" xfId="2289"/>
    <cellStyle name="Normal 13 5 2" xfId="2290"/>
    <cellStyle name="Normal 13 5 2 2" xfId="2291"/>
    <cellStyle name="Normal 13 5 3" xfId="2292"/>
    <cellStyle name="Normal 13 5 3 2" xfId="2293"/>
    <cellStyle name="Normal 13 5 4" xfId="2294"/>
    <cellStyle name="Normal 13 5_AGL" xfId="2295"/>
    <cellStyle name="Normal 13 6" xfId="2296"/>
    <cellStyle name="Normal 13 6 2" xfId="2297"/>
    <cellStyle name="Normal 13 6 2 2" xfId="2298"/>
    <cellStyle name="Normal 13 6 3" xfId="2299"/>
    <cellStyle name="Normal 13 6 3 2" xfId="2300"/>
    <cellStyle name="Normal 13 6 4" xfId="2301"/>
    <cellStyle name="Normal 13 6_AGL" xfId="2302"/>
    <cellStyle name="Normal 13 7" xfId="2303"/>
    <cellStyle name="Normal 13 7 2" xfId="2304"/>
    <cellStyle name="Normal 13 7 2 2" xfId="2305"/>
    <cellStyle name="Normal 13 7 3" xfId="2306"/>
    <cellStyle name="Normal 13 7 3 2" xfId="2307"/>
    <cellStyle name="Normal 13 7 4" xfId="2308"/>
    <cellStyle name="Normal 13 7_AGL" xfId="2309"/>
    <cellStyle name="Normal 13 8" xfId="2310"/>
    <cellStyle name="Normal 13 8 2" xfId="2311"/>
    <cellStyle name="Normal 13 8 2 2" xfId="2312"/>
    <cellStyle name="Normal 13 8 3" xfId="2313"/>
    <cellStyle name="Normal 13 8 3 2" xfId="2314"/>
    <cellStyle name="Normal 13 8 4" xfId="2315"/>
    <cellStyle name="Normal 13 8_AGL" xfId="2316"/>
    <cellStyle name="Normal 13 9" xfId="2317"/>
    <cellStyle name="Normal 13 9 2" xfId="2318"/>
    <cellStyle name="Normal 13 9 2 2" xfId="2319"/>
    <cellStyle name="Normal 13 9 3" xfId="2320"/>
    <cellStyle name="Normal 13 9 3 2" xfId="2321"/>
    <cellStyle name="Normal 13 9 4" xfId="2322"/>
    <cellStyle name="Normal 13 9_AGL" xfId="2323"/>
    <cellStyle name="Normal 13_AGL" xfId="2324"/>
    <cellStyle name="Normal 14" xfId="2325"/>
    <cellStyle name="Normal 14 2" xfId="2326"/>
    <cellStyle name="Normal 14 2 2" xfId="2327"/>
    <cellStyle name="Normal 14 2 2 2" xfId="2328"/>
    <cellStyle name="Normal 14 2 3" xfId="2329"/>
    <cellStyle name="Normal 14 2 3 2" xfId="2330"/>
    <cellStyle name="Normal 14 2 4" xfId="2331"/>
    <cellStyle name="Normal 14 2_AGL" xfId="2332"/>
    <cellStyle name="Normal 14 3" xfId="2333"/>
    <cellStyle name="Normal 14 3 2" xfId="2334"/>
    <cellStyle name="Normal 14 4" xfId="2335"/>
    <cellStyle name="Normal 14 4 2" xfId="2336"/>
    <cellStyle name="Normal 14 5" xfId="2337"/>
    <cellStyle name="Normal 14_AGL" xfId="2338"/>
    <cellStyle name="Normal 15" xfId="2339"/>
    <cellStyle name="Normal 15 2" xfId="2340"/>
    <cellStyle name="Normal 15 2 2" xfId="2341"/>
    <cellStyle name="Normal 15 2 2 2" xfId="2342"/>
    <cellStyle name="Normal 15 2 3" xfId="2343"/>
    <cellStyle name="Normal 15 2 3 2" xfId="2344"/>
    <cellStyle name="Normal 15 2 4" xfId="2345"/>
    <cellStyle name="Normal 15 2_AGL" xfId="2346"/>
    <cellStyle name="Normal 15 3" xfId="2347"/>
    <cellStyle name="Normal 15 3 2" xfId="2348"/>
    <cellStyle name="Normal 15 4" xfId="2349"/>
    <cellStyle name="Normal 15 4 2" xfId="2350"/>
    <cellStyle name="Normal 15 5" xfId="2351"/>
    <cellStyle name="Normal 15_AGL" xfId="2352"/>
    <cellStyle name="Normal 16" xfId="2353"/>
    <cellStyle name="Normal 16 2 2" xfId="2354"/>
    <cellStyle name="Normal 16 2 3" xfId="2355"/>
    <cellStyle name="Normal 16 2_AGL" xfId="2356"/>
    <cellStyle name="Normal 16 3" xfId="2357"/>
    <cellStyle name="Normal 16 3 2" xfId="2358"/>
    <cellStyle name="Normal 16 3 2 2" xfId="2359"/>
    <cellStyle name="Normal 16 3 3" xfId="2360"/>
    <cellStyle name="Normal 16 3 3 2" xfId="2361"/>
    <cellStyle name="Normal 16 3 4" xfId="2362"/>
    <cellStyle name="Normal 16 3_AGL" xfId="2363"/>
    <cellStyle name="Normal 16 4" xfId="2364"/>
    <cellStyle name="Normal 16 4 2" xfId="2365"/>
    <cellStyle name="Normal 16 4 2 2" xfId="2366"/>
    <cellStyle name="Normal 16 4 3" xfId="2367"/>
    <cellStyle name="Normal 16 4 3 2" xfId="2368"/>
    <cellStyle name="Normal 16 4 4" xfId="2369"/>
    <cellStyle name="Normal 16 4_AGL" xfId="2370"/>
    <cellStyle name="Normal 16 5" xfId="2371"/>
    <cellStyle name="Normal 16 5 2" xfId="2372"/>
    <cellStyle name="Normal 16 5 2 2" xfId="2373"/>
    <cellStyle name="Normal 16 5 3" xfId="2374"/>
    <cellStyle name="Normal 16 5 3 2" xfId="2375"/>
    <cellStyle name="Normal 16 5 4" xfId="2376"/>
    <cellStyle name="Normal 16 5_AGL" xfId="2377"/>
    <cellStyle name="Normal 16 6" xfId="2378"/>
    <cellStyle name="Normal 16 6 2" xfId="2379"/>
    <cellStyle name="Normal 16 6 2 2" xfId="2380"/>
    <cellStyle name="Normal 16 6 3" xfId="2381"/>
    <cellStyle name="Normal 16 6 3 2" xfId="2382"/>
    <cellStyle name="Normal 16 6 4" xfId="2383"/>
    <cellStyle name="Normal 16 6_AGL" xfId="2384"/>
    <cellStyle name="Normal 16 7" xfId="2385"/>
    <cellStyle name="Normal 16_AGL" xfId="2386"/>
    <cellStyle name="Normal 17" xfId="2387"/>
    <cellStyle name="Normal 17 2" xfId="2388"/>
    <cellStyle name="Normal 17 2 2" xfId="2389"/>
    <cellStyle name="Normal 17 3" xfId="2390"/>
    <cellStyle name="Normal 17 3 2" xfId="2391"/>
    <cellStyle name="Normal 17 4" xfId="2392"/>
    <cellStyle name="Normal 17_AGL" xfId="2393"/>
    <cellStyle name="Normal 18" xfId="2394"/>
    <cellStyle name="Normal 18 2" xfId="2395"/>
    <cellStyle name="Normal 18 2 2" xfId="2396"/>
    <cellStyle name="Normal 18 2 2 2" xfId="2397"/>
    <cellStyle name="Normal 18 2 3" xfId="2398"/>
    <cellStyle name="Normal 18 2 3 2" xfId="2399"/>
    <cellStyle name="Normal 18 2 4" xfId="2400"/>
    <cellStyle name="Normal 18 2_AGL" xfId="2401"/>
    <cellStyle name="Normal 18 3" xfId="2402"/>
    <cellStyle name="Normal 18 3 2" xfId="2403"/>
    <cellStyle name="Normal 18 3 2 2" xfId="2404"/>
    <cellStyle name="Normal 18 3 3" xfId="2405"/>
    <cellStyle name="Normal 18 3 3 2" xfId="2406"/>
    <cellStyle name="Normal 18 3 4" xfId="2407"/>
    <cellStyle name="Normal 18 3_AGL" xfId="2408"/>
    <cellStyle name="Normal 18 4" xfId="2409"/>
    <cellStyle name="Normal 18 5" xfId="2410"/>
    <cellStyle name="Normal 18_AGL" xfId="2411"/>
    <cellStyle name="Normal 19" xfId="2412"/>
    <cellStyle name="Normal 19 2" xfId="2413"/>
    <cellStyle name="Normal 19 2 2" xfId="2414"/>
    <cellStyle name="Normal 19 2 2 2" xfId="2415"/>
    <cellStyle name="Normal 19 2 3" xfId="2416"/>
    <cellStyle name="Normal 19 2 3 2" xfId="2417"/>
    <cellStyle name="Normal 19 2 4" xfId="2418"/>
    <cellStyle name="Normal 19 2_AGL" xfId="2419"/>
    <cellStyle name="Normal 19 3" xfId="2420"/>
    <cellStyle name="Normal 19 3 2" xfId="2421"/>
    <cellStyle name="Normal 19 4" xfId="2422"/>
    <cellStyle name="Normal 19 4 2" xfId="2423"/>
    <cellStyle name="Normal 19 5" xfId="2424"/>
    <cellStyle name="Normal 19_AGL" xfId="2425"/>
    <cellStyle name="Normal 2 10" xfId="2426"/>
    <cellStyle name="Normal 2 2 2" xfId="2427"/>
    <cellStyle name="Normal 2 2 2 10" xfId="2428"/>
    <cellStyle name="Normal 2 2 2 2" xfId="2429"/>
    <cellStyle name="Normal 2 2 2 3" xfId="2430"/>
    <cellStyle name="Normal 2 2 2 3 2" xfId="2431"/>
    <cellStyle name="Normal 2 2 2 3 3" xfId="2432"/>
    <cellStyle name="Normal 2 2 2 3_AGL" xfId="2433"/>
    <cellStyle name="Normal 2 2 2 4" xfId="2434"/>
    <cellStyle name="Normal 2 2 2 5" xfId="2435"/>
    <cellStyle name="Normal 2 2 2 6" xfId="2436"/>
    <cellStyle name="Normal 2 2 2 7" xfId="2437"/>
    <cellStyle name="Normal 2 2 2 8" xfId="2438"/>
    <cellStyle name="Normal 2 2 2 9" xfId="2439"/>
    <cellStyle name="Normal 2 2 2_AGL" xfId="2440"/>
    <cellStyle name="Normal 2 2 3" xfId="2441"/>
    <cellStyle name="Normal 2 2 4" xfId="2442"/>
    <cellStyle name="Normal 2 2 4 2" xfId="2443"/>
    <cellStyle name="Normal 2 2 4 3" xfId="2444"/>
    <cellStyle name="Normal 2 2 4_AGL" xfId="2445"/>
    <cellStyle name="Normal 2 2 5" xfId="2446"/>
    <cellStyle name="Normal 2 2 6" xfId="2447"/>
    <cellStyle name="Normal 2 2_AGL" xfId="2448"/>
    <cellStyle name="Normal 2 3 2" xfId="2449"/>
    <cellStyle name="Normal 2 4 2" xfId="2450"/>
    <cellStyle name="Normal 2 4 3" xfId="2451"/>
    <cellStyle name="Normal 2 4_AGL" xfId="2452"/>
    <cellStyle name="Normal 2 5" xfId="2453"/>
    <cellStyle name="Normal 2 6" xfId="2454"/>
    <cellStyle name="Normal 2 6 2" xfId="2455"/>
    <cellStyle name="Normal 2 7" xfId="2456"/>
    <cellStyle name="Normal 2 8" xfId="2457"/>
    <cellStyle name="Normal 2 9" xfId="2458"/>
    <cellStyle name="Normal 2_Sheet1" xfId="2459"/>
    <cellStyle name="Normal 20" xfId="2460"/>
    <cellStyle name="Normal 20 2" xfId="2461"/>
    <cellStyle name="Normal 20 2 2" xfId="2462"/>
    <cellStyle name="Normal 20 3" xfId="2463"/>
    <cellStyle name="Normal 20 3 2" xfId="2464"/>
    <cellStyle name="Normal 20 4" xfId="2465"/>
    <cellStyle name="Normal 20_AGL" xfId="2466"/>
    <cellStyle name="Normal 21" xfId="2467"/>
    <cellStyle name="Normal 21 2" xfId="2468"/>
    <cellStyle name="Normal 21 2 2" xfId="2469"/>
    <cellStyle name="Normal 21 3" xfId="2470"/>
    <cellStyle name="Normal 21 3 2" xfId="2471"/>
    <cellStyle name="Normal 21 4" xfId="2472"/>
    <cellStyle name="Normal 21_AGL" xfId="2473"/>
    <cellStyle name="Normal 22" xfId="2474"/>
    <cellStyle name="Normal 22 2" xfId="2475"/>
    <cellStyle name="Normal 22 2 2" xfId="2476"/>
    <cellStyle name="Normal 22 3" xfId="2477"/>
    <cellStyle name="Normal 22 3 2" xfId="2478"/>
    <cellStyle name="Normal 22 4" xfId="2479"/>
    <cellStyle name="Normal 22_AGL" xfId="2480"/>
    <cellStyle name="Normal 23" xfId="2481"/>
    <cellStyle name="Normal 23 2" xfId="2482"/>
    <cellStyle name="Normal 23 2 2" xfId="2483"/>
    <cellStyle name="Normal 23 3" xfId="2484"/>
    <cellStyle name="Normal 23 3 2" xfId="2485"/>
    <cellStyle name="Normal 23 4" xfId="2486"/>
    <cellStyle name="Normal 23_AGL" xfId="2487"/>
    <cellStyle name="Normal 24" xfId="2488"/>
    <cellStyle name="Normal 24 2" xfId="2489"/>
    <cellStyle name="Normal 24 2 2" xfId="2490"/>
    <cellStyle name="Normal 24 3" xfId="2491"/>
    <cellStyle name="Normal 24 3 2" xfId="2492"/>
    <cellStyle name="Normal 24 4" xfId="2493"/>
    <cellStyle name="Normal 24_AGL" xfId="2494"/>
    <cellStyle name="Normal 25" xfId="2495"/>
    <cellStyle name="Normal 25 2" xfId="2496"/>
    <cellStyle name="Normal 25 2 2" xfId="2497"/>
    <cellStyle name="Normal 25 3" xfId="2498"/>
    <cellStyle name="Normal 25 3 2" xfId="2499"/>
    <cellStyle name="Normal 25 4" xfId="2500"/>
    <cellStyle name="Normal 25_AGL" xfId="2501"/>
    <cellStyle name="Normal 26" xfId="2502"/>
    <cellStyle name="Normal 26 2" xfId="2503"/>
    <cellStyle name="Normal 26 2 2" xfId="2504"/>
    <cellStyle name="Normal 26 3" xfId="2505"/>
    <cellStyle name="Normal 26 3 2" xfId="2506"/>
    <cellStyle name="Normal 26 4" xfId="2507"/>
    <cellStyle name="Normal 26_AGL" xfId="2508"/>
    <cellStyle name="Normal 27" xfId="2509"/>
    <cellStyle name="Normal 27 2" xfId="2510"/>
    <cellStyle name="Normal 27 2 2" xfId="2511"/>
    <cellStyle name="Normal 27 3" xfId="2512"/>
    <cellStyle name="Normal 27 3 2" xfId="2513"/>
    <cellStyle name="Normal 27 4" xfId="2514"/>
    <cellStyle name="Normal 27_AGL" xfId="2515"/>
    <cellStyle name="Normal 28" xfId="2516"/>
    <cellStyle name="Normal 28 2" xfId="2517"/>
    <cellStyle name="Normal 28 2 2" xfId="2518"/>
    <cellStyle name="Normal 28 3" xfId="2519"/>
    <cellStyle name="Normal 28 3 2" xfId="2520"/>
    <cellStyle name="Normal 28 4" xfId="2521"/>
    <cellStyle name="Normal 28_AGL" xfId="2522"/>
    <cellStyle name="Normal 29" xfId="2523"/>
    <cellStyle name="Normal 29 2" xfId="2524"/>
    <cellStyle name="Normal 29 2 2" xfId="2525"/>
    <cellStyle name="Normal 29 3" xfId="2526"/>
    <cellStyle name="Normal 29 3 2" xfId="2527"/>
    <cellStyle name="Normal 29 4" xfId="2528"/>
    <cellStyle name="Normal 29_AGL" xfId="2529"/>
    <cellStyle name="Normal 3 10" xfId="2530"/>
    <cellStyle name="Normal 3 2 10" xfId="2531"/>
    <cellStyle name="Normal 3 2 10 2" xfId="2532"/>
    <cellStyle name="Normal 3 2 10 2 2" xfId="2533"/>
    <cellStyle name="Normal 3 2 10 3" xfId="2534"/>
    <cellStyle name="Normal 3 2 10 3 2" xfId="2535"/>
    <cellStyle name="Normal 3 2 10 4" xfId="2536"/>
    <cellStyle name="Normal 3 2 10_AGL" xfId="2537"/>
    <cellStyle name="Normal 3 2 11" xfId="2538"/>
    <cellStyle name="Normal 3 2 11 2" xfId="2539"/>
    <cellStyle name="Normal 3 2 11 2 2" xfId="2540"/>
    <cellStyle name="Normal 3 2 11 3" xfId="2541"/>
    <cellStyle name="Normal 3 2 11 3 2" xfId="2542"/>
    <cellStyle name="Normal 3 2 11 4" xfId="2543"/>
    <cellStyle name="Normal 3 2 11_AGL" xfId="2544"/>
    <cellStyle name="Normal 3 2 12" xfId="2545"/>
    <cellStyle name="Normal 3 2 12 2" xfId="2546"/>
    <cellStyle name="Normal 3 2 12 2 2" xfId="2547"/>
    <cellStyle name="Normal 3 2 12 3" xfId="2548"/>
    <cellStyle name="Normal 3 2 12 3 2" xfId="2549"/>
    <cellStyle name="Normal 3 2 12 4" xfId="2550"/>
    <cellStyle name="Normal 3 2 12_AGL" xfId="2551"/>
    <cellStyle name="Normal 3 2 13" xfId="2552"/>
    <cellStyle name="Normal 3 2 13 2" xfId="2553"/>
    <cellStyle name="Normal 3 2 13 2 2" xfId="2554"/>
    <cellStyle name="Normal 3 2 13 3" xfId="2555"/>
    <cellStyle name="Normal 3 2 13 3 2" xfId="2556"/>
    <cellStyle name="Normal 3 2 13 4" xfId="2557"/>
    <cellStyle name="Normal 3 2 13_AGL" xfId="2558"/>
    <cellStyle name="Normal 3 2 14" xfId="2559"/>
    <cellStyle name="Normal 3 2 14 2" xfId="2560"/>
    <cellStyle name="Normal 3 2 14 2 2" xfId="2561"/>
    <cellStyle name="Normal 3 2 14 3" xfId="2562"/>
    <cellStyle name="Normal 3 2 14 3 2" xfId="2563"/>
    <cellStyle name="Normal 3 2 14 4" xfId="2564"/>
    <cellStyle name="Normal 3 2 14_AGL" xfId="2565"/>
    <cellStyle name="Normal 3 2 15" xfId="2566"/>
    <cellStyle name="Normal 3 2 15 2" xfId="2567"/>
    <cellStyle name="Normal 3 2 15 2 2" xfId="2568"/>
    <cellStyle name="Normal 3 2 15 3" xfId="2569"/>
    <cellStyle name="Normal 3 2 15 3 2" xfId="2570"/>
    <cellStyle name="Normal 3 2 15 4" xfId="2571"/>
    <cellStyle name="Normal 3 2 15_AGL" xfId="2572"/>
    <cellStyle name="Normal 3 2 16" xfId="2573"/>
    <cellStyle name="Normal 3 2 16 2" xfId="2574"/>
    <cellStyle name="Normal 3 2 16 2 2" xfId="2575"/>
    <cellStyle name="Normal 3 2 16 3" xfId="2576"/>
    <cellStyle name="Normal 3 2 16 3 2" xfId="2577"/>
    <cellStyle name="Normal 3 2 16 4" xfId="2578"/>
    <cellStyle name="Normal 3 2 16_AGL" xfId="2579"/>
    <cellStyle name="Normal 3 2 17" xfId="2580"/>
    <cellStyle name="Normal 3 2 17 2" xfId="2581"/>
    <cellStyle name="Normal 3 2 17 2 2" xfId="2582"/>
    <cellStyle name="Normal 3 2 17 3" xfId="2583"/>
    <cellStyle name="Normal 3 2 17 3 2" xfId="2584"/>
    <cellStyle name="Normal 3 2 17 4" xfId="2585"/>
    <cellStyle name="Normal 3 2 17_AGL" xfId="2586"/>
    <cellStyle name="Normal 3 2 18" xfId="2587"/>
    <cellStyle name="Normal 3 2 19" xfId="2588"/>
    <cellStyle name="Normal 3 2 2" xfId="2589"/>
    <cellStyle name="Normal 3 2 2 2" xfId="2590"/>
    <cellStyle name="Normal 3 2 2 2 2" xfId="2591"/>
    <cellStyle name="Normal 3 2 2 2 2 2" xfId="2592"/>
    <cellStyle name="Normal 3 2 2 2 3" xfId="2593"/>
    <cellStyle name="Normal 3 2 2 2 3 2" xfId="2594"/>
    <cellStyle name="Normal 3 2 2 2 4" xfId="2595"/>
    <cellStyle name="Normal 3 2 2 2_AGL" xfId="2596"/>
    <cellStyle name="Normal 3 2 2 3" xfId="2597"/>
    <cellStyle name="Normal 3 2 2 3 2" xfId="2598"/>
    <cellStyle name="Normal 3 2 2 3 2 2" xfId="2599"/>
    <cellStyle name="Normal 3 2 2 3 3" xfId="2600"/>
    <cellStyle name="Normal 3 2 2 3 3 2" xfId="2601"/>
    <cellStyle name="Normal 3 2 2 3 4" xfId="2602"/>
    <cellStyle name="Normal 3 2 2 3_AGL" xfId="2603"/>
    <cellStyle name="Normal 3 2 2 4" xfId="2604"/>
    <cellStyle name="Normal 3 2 2 4 2" xfId="2605"/>
    <cellStyle name="Normal 3 2 2 5" xfId="2606"/>
    <cellStyle name="Normal 3 2 2 5 2" xfId="2607"/>
    <cellStyle name="Normal 3 2 2 6" xfId="2608"/>
    <cellStyle name="Normal 3 2 2_AGL" xfId="2609"/>
    <cellStyle name="Normal 3 2 20" xfId="2610"/>
    <cellStyle name="Normal 3 2 21" xfId="2611"/>
    <cellStyle name="Normal 3 2 22" xfId="2612"/>
    <cellStyle name="Normal 3 2 23" xfId="2613"/>
    <cellStyle name="Normal 3 2 24" xfId="2614"/>
    <cellStyle name="Normal 3 2 25" xfId="2615"/>
    <cellStyle name="Normal 3 2 26" xfId="2616"/>
    <cellStyle name="Normal 3 2 27" xfId="2617"/>
    <cellStyle name="Normal 3 2 28" xfId="2618"/>
    <cellStyle name="Normal 3 2 29" xfId="2619"/>
    <cellStyle name="Normal 3 2 3" xfId="2620"/>
    <cellStyle name="Normal 3 2 3 2" xfId="2621"/>
    <cellStyle name="Normal 3 2 3 2 2" xfId="2622"/>
    <cellStyle name="Normal 3 2 3 2 2 2" xfId="2623"/>
    <cellStyle name="Normal 3 2 3 2 3" xfId="2624"/>
    <cellStyle name="Normal 3 2 3 2 3 2" xfId="2625"/>
    <cellStyle name="Normal 3 2 3 2 4" xfId="2626"/>
    <cellStyle name="Normal 3 2 3 2_AGL" xfId="2627"/>
    <cellStyle name="Normal 3 2 3 3" xfId="2628"/>
    <cellStyle name="Normal 3 2 3 3 2" xfId="2629"/>
    <cellStyle name="Normal 3 2 3 3 2 2" xfId="2630"/>
    <cellStyle name="Normal 3 2 3 3 3" xfId="2631"/>
    <cellStyle name="Normal 3 2 3 3 3 2" xfId="2632"/>
    <cellStyle name="Normal 3 2 3 3 4" xfId="2633"/>
    <cellStyle name="Normal 3 2 3 3_AGL" xfId="2634"/>
    <cellStyle name="Normal 3 2 3 4" xfId="2635"/>
    <cellStyle name="Normal 3 2 3 4 2" xfId="2636"/>
    <cellStyle name="Normal 3 2 3 5" xfId="2637"/>
    <cellStyle name="Normal 3 2 3 5 2" xfId="2638"/>
    <cellStyle name="Normal 3 2 3 6" xfId="2639"/>
    <cellStyle name="Normal 3 2 3_AGL" xfId="2640"/>
    <cellStyle name="Normal 3 2 30" xfId="2641"/>
    <cellStyle name="Normal 3 2 31" xfId="2642"/>
    <cellStyle name="Normal 3 2 32" xfId="2643"/>
    <cellStyle name="Normal 3 2 4" xfId="2644"/>
    <cellStyle name="Normal 3 2 4 2" xfId="2645"/>
    <cellStyle name="Normal 3 2 4 2 2" xfId="2646"/>
    <cellStyle name="Normal 3 2 4 2 2 2" xfId="2647"/>
    <cellStyle name="Normal 3 2 4 2 3" xfId="2648"/>
    <cellStyle name="Normal 3 2 4 2 3 2" xfId="2649"/>
    <cellStyle name="Normal 3 2 4 2 4" xfId="2650"/>
    <cellStyle name="Normal 3 2 4 2_AGL" xfId="2651"/>
    <cellStyle name="Normal 3 2 4 3" xfId="2652"/>
    <cellStyle name="Normal 3 2 4 3 2" xfId="2653"/>
    <cellStyle name="Normal 3 2 4 3 2 2" xfId="2654"/>
    <cellStyle name="Normal 3 2 4 3 3" xfId="2655"/>
    <cellStyle name="Normal 3 2 4 3 3 2" xfId="2656"/>
    <cellStyle name="Normal 3 2 4 3 4" xfId="2657"/>
    <cellStyle name="Normal 3 2 4 3_AGL" xfId="2658"/>
    <cellStyle name="Normal 3 2 4 4" xfId="2659"/>
    <cellStyle name="Normal 3 2 4 4 2" xfId="2660"/>
    <cellStyle name="Normal 3 2 4 5" xfId="2661"/>
    <cellStyle name="Normal 3 2 4 5 2" xfId="2662"/>
    <cellStyle name="Normal 3 2 4 6" xfId="2663"/>
    <cellStyle name="Normal 3 2 4_AGL" xfId="2664"/>
    <cellStyle name="Normal 3 2 5" xfId="2665"/>
    <cellStyle name="Normal 3 2 5 2" xfId="2666"/>
    <cellStyle name="Normal 3 2 5 2 2" xfId="2667"/>
    <cellStyle name="Normal 3 2 5 2 2 2" xfId="2668"/>
    <cellStyle name="Normal 3 2 5 2 3" xfId="2669"/>
    <cellStyle name="Normal 3 2 5 2 3 2" xfId="2670"/>
    <cellStyle name="Normal 3 2 5 2 4" xfId="2671"/>
    <cellStyle name="Normal 3 2 5 2_AGL" xfId="2672"/>
    <cellStyle name="Normal 3 2 5 3" xfId="2673"/>
    <cellStyle name="Normal 3 2 5 3 2" xfId="2674"/>
    <cellStyle name="Normal 3 2 5 4" xfId="2675"/>
    <cellStyle name="Normal 3 2 5 4 2" xfId="2676"/>
    <cellStyle name="Normal 3 2 5 5" xfId="2677"/>
    <cellStyle name="Normal 3 2 5_AGL" xfId="2678"/>
    <cellStyle name="Normal 3 2 6" xfId="2679"/>
    <cellStyle name="Normal 3 2 6 2" xfId="2680"/>
    <cellStyle name="Normal 3 2 6 2 2" xfId="2681"/>
    <cellStyle name="Normal 3 2 6 2 2 2" xfId="2682"/>
    <cellStyle name="Normal 3 2 6 2 3" xfId="2683"/>
    <cellStyle name="Normal 3 2 6 2 3 2" xfId="2684"/>
    <cellStyle name="Normal 3 2 6 2 4" xfId="2685"/>
    <cellStyle name="Normal 3 2 6 2_AGL" xfId="2686"/>
    <cellStyle name="Normal 3 2 6 3" xfId="2687"/>
    <cellStyle name="Normal 3 2 6 4" xfId="2688"/>
    <cellStyle name="Normal 3 2 6_AGL" xfId="2689"/>
    <cellStyle name="Normal 3 2 7" xfId="2690"/>
    <cellStyle name="Normal 3 2 7 2" xfId="2691"/>
    <cellStyle name="Normal 3 2 7 2 2" xfId="2692"/>
    <cellStyle name="Normal 3 2 7 2 2 2" xfId="2693"/>
    <cellStyle name="Normal 3 2 7 2 3" xfId="2694"/>
    <cellStyle name="Normal 3 2 7 2 3 2" xfId="2695"/>
    <cellStyle name="Normal 3 2 7 2 4" xfId="2696"/>
    <cellStyle name="Normal 3 2 7 2_AGL" xfId="2697"/>
    <cellStyle name="Normal 3 2 7 3" xfId="2698"/>
    <cellStyle name="Normal 3 2 7 3 2" xfId="2699"/>
    <cellStyle name="Normal 3 2 7 4" xfId="2700"/>
    <cellStyle name="Normal 3 2 7 4 2" xfId="2701"/>
    <cellStyle name="Normal 3 2 7 5" xfId="2702"/>
    <cellStyle name="Normal 3 2 7_AGL" xfId="2703"/>
    <cellStyle name="Normal 3 2 8" xfId="2704"/>
    <cellStyle name="Normal 3 2 8 2" xfId="2705"/>
    <cellStyle name="Normal 3 2 8 2 2" xfId="2706"/>
    <cellStyle name="Normal 3 2 8 2 2 2" xfId="2707"/>
    <cellStyle name="Normal 3 2 8 2 3" xfId="2708"/>
    <cellStyle name="Normal 3 2 8 2 3 2" xfId="2709"/>
    <cellStyle name="Normal 3 2 8 2 4" xfId="2710"/>
    <cellStyle name="Normal 3 2 8 2_AGL" xfId="2711"/>
    <cellStyle name="Normal 3 2 8 3" xfId="2712"/>
    <cellStyle name="Normal 3 2 8 3 2" xfId="2713"/>
    <cellStyle name="Normal 3 2 8 4" xfId="2714"/>
    <cellStyle name="Normal 3 2 8 4 2" xfId="2715"/>
    <cellStyle name="Normal 3 2 8 5" xfId="2716"/>
    <cellStyle name="Normal 3 2 8_AGL" xfId="2717"/>
    <cellStyle name="Normal 3 2 9" xfId="2718"/>
    <cellStyle name="Normal 3 2 9 2" xfId="2719"/>
    <cellStyle name="Normal 3 2 9 2 2" xfId="2720"/>
    <cellStyle name="Normal 3 2 9 3" xfId="2721"/>
    <cellStyle name="Normal 3 2 9 3 2" xfId="2722"/>
    <cellStyle name="Normal 3 2 9 4" xfId="2723"/>
    <cellStyle name="Normal 3 2 9_AGL" xfId="2724"/>
    <cellStyle name="Normal 3 2_AGL" xfId="2725"/>
    <cellStyle name="Normal 3 3" xfId="2726"/>
    <cellStyle name="Normal 3 4" xfId="2727"/>
    <cellStyle name="Normal 3 4 2" xfId="2728"/>
    <cellStyle name="Normal 3 4 3" xfId="2729"/>
    <cellStyle name="Normal 3 4_AGL" xfId="2730"/>
    <cellStyle name="Normal 3 5" xfId="2731"/>
    <cellStyle name="Normal 3 6" xfId="2732"/>
    <cellStyle name="Normal 3 7" xfId="2733"/>
    <cellStyle name="Normal 3 8" xfId="2734"/>
    <cellStyle name="Normal 3 9" xfId="2735"/>
    <cellStyle name="Normal 3_AGL" xfId="2736"/>
    <cellStyle name="Normal 30" xfId="2737"/>
    <cellStyle name="Normal 30 2" xfId="2738"/>
    <cellStyle name="Normal 30 2 2" xfId="2739"/>
    <cellStyle name="Normal 30 3" xfId="2740"/>
    <cellStyle name="Normal 30 3 2" xfId="2741"/>
    <cellStyle name="Normal 30 4" xfId="2742"/>
    <cellStyle name="Normal 30_AGL" xfId="2743"/>
    <cellStyle name="Normal 31" xfId="2744"/>
    <cellStyle name="Normal 31 2" xfId="2745"/>
    <cellStyle name="Normal 31 2 2" xfId="2746"/>
    <cellStyle name="Normal 31 3" xfId="2747"/>
    <cellStyle name="Normal 31 3 2" xfId="2748"/>
    <cellStyle name="Normal 31 4" xfId="2749"/>
    <cellStyle name="Normal 31_AGL" xfId="2750"/>
    <cellStyle name="Normal 32" xfId="2751"/>
    <cellStyle name="Normal 32 2" xfId="2752"/>
    <cellStyle name="Normal 32 2 2" xfId="2753"/>
    <cellStyle name="Normal 32 3" xfId="2754"/>
    <cellStyle name="Normal 32 3 2" xfId="2755"/>
    <cellStyle name="Normal 32 4" xfId="2756"/>
    <cellStyle name="Normal 32_AGL" xfId="2757"/>
    <cellStyle name="Normal 33" xfId="2758"/>
    <cellStyle name="Normal 33 2" xfId="2759"/>
    <cellStyle name="Normal 33 2 2" xfId="2760"/>
    <cellStyle name="Normal 33 3" xfId="2761"/>
    <cellStyle name="Normal 33 3 2" xfId="2762"/>
    <cellStyle name="Normal 33 4" xfId="2763"/>
    <cellStyle name="Normal 33_AGL" xfId="2764"/>
    <cellStyle name="Normal 34" xfId="2765"/>
    <cellStyle name="Normal 34 2" xfId="2766"/>
    <cellStyle name="Normal 34 2 2" xfId="2767"/>
    <cellStyle name="Normal 34 3" xfId="2768"/>
    <cellStyle name="Normal 34 3 2" xfId="2769"/>
    <cellStyle name="Normal 34 4" xfId="2770"/>
    <cellStyle name="Normal 34_AGL" xfId="2771"/>
    <cellStyle name="Normal 35" xfId="2772"/>
    <cellStyle name="Normal 35 2" xfId="2773"/>
    <cellStyle name="Normal 36" xfId="2774"/>
    <cellStyle name="Normal 36 2" xfId="2775"/>
    <cellStyle name="Normal 36 2 2" xfId="2776"/>
    <cellStyle name="Normal 36 3" xfId="2777"/>
    <cellStyle name="Normal 36 3 2" xfId="2778"/>
    <cellStyle name="Normal 36 4" xfId="2779"/>
    <cellStyle name="Normal 37" xfId="2780"/>
    <cellStyle name="Normal 38" xfId="2781"/>
    <cellStyle name="Normal 39" xfId="2782"/>
    <cellStyle name="Normal 4 10" xfId="2783"/>
    <cellStyle name="Normal 4 10 2" xfId="2784"/>
    <cellStyle name="Normal 4 10 2 2" xfId="2785"/>
    <cellStyle name="Normal 4 10 3" xfId="2786"/>
    <cellStyle name="Normal 4 10 3 2" xfId="2787"/>
    <cellStyle name="Normal 4 10 4" xfId="2788"/>
    <cellStyle name="Normal 4 10_AGL" xfId="2789"/>
    <cellStyle name="Normal 4 11" xfId="2790"/>
    <cellStyle name="Normal 4 11 2" xfId="2791"/>
    <cellStyle name="Normal 4 11 2 2" xfId="2792"/>
    <cellStyle name="Normal 4 11 3" xfId="2793"/>
    <cellStyle name="Normal 4 11 3 2" xfId="2794"/>
    <cellStyle name="Normal 4 11 4" xfId="2795"/>
    <cellStyle name="Normal 4 11_AGL" xfId="2796"/>
    <cellStyle name="Normal 4 12" xfId="2797"/>
    <cellStyle name="Normal 4 12 2" xfId="2798"/>
    <cellStyle name="Normal 4 12 2 2" xfId="2799"/>
    <cellStyle name="Normal 4 12 3" xfId="2800"/>
    <cellStyle name="Normal 4 12 3 2" xfId="2801"/>
    <cellStyle name="Normal 4 12 4" xfId="2802"/>
    <cellStyle name="Normal 4 12_AGL" xfId="2803"/>
    <cellStyle name="Normal 4 13" xfId="2804"/>
    <cellStyle name="Normal 4 13 2" xfId="2805"/>
    <cellStyle name="Normal 4 13 2 2" xfId="2806"/>
    <cellStyle name="Normal 4 13 3" xfId="2807"/>
    <cellStyle name="Normal 4 13 3 2" xfId="2808"/>
    <cellStyle name="Normal 4 13 4" xfId="2809"/>
    <cellStyle name="Normal 4 13_AGL" xfId="2810"/>
    <cellStyle name="Normal 4 14" xfId="2811"/>
    <cellStyle name="Normal 4 15" xfId="2812"/>
    <cellStyle name="Normal 4 16" xfId="2813"/>
    <cellStyle name="Normal 4 17" xfId="2814"/>
    <cellStyle name="Normal 4 18" xfId="2815"/>
    <cellStyle name="Normal 4 19" xfId="2816"/>
    <cellStyle name="Normal 4 2 10" xfId="2817"/>
    <cellStyle name="Normal 4 2 11" xfId="2818"/>
    <cellStyle name="Normal 4 2 2" xfId="2819"/>
    <cellStyle name="Normal 4 2 2 2" xfId="2820"/>
    <cellStyle name="Normal 4 2 2 2 2" xfId="2821"/>
    <cellStyle name="Normal 4 2 2 2 2 2" xfId="2822"/>
    <cellStyle name="Normal 4 2 2 2 3" xfId="2823"/>
    <cellStyle name="Normal 4 2 2 2 3 2" xfId="2824"/>
    <cellStyle name="Normal 4 2 2 2 4" xfId="2825"/>
    <cellStyle name="Normal 4 2 2 2_AGL" xfId="2826"/>
    <cellStyle name="Normal 4 2 2 3" xfId="2827"/>
    <cellStyle name="Normal 4 2 2 3 2" xfId="2828"/>
    <cellStyle name="Normal 4 2 2 3 2 2" xfId="2829"/>
    <cellStyle name="Normal 4 2 2 3 3" xfId="2830"/>
    <cellStyle name="Normal 4 2 2 3 3 2" xfId="2831"/>
    <cellStyle name="Normal 4 2 2 3 4" xfId="2832"/>
    <cellStyle name="Normal 4 2 2 3_AGL" xfId="2833"/>
    <cellStyle name="Normal 4 2 2 4" xfId="2834"/>
    <cellStyle name="Normal 4 2 2 4 2" xfId="2835"/>
    <cellStyle name="Normal 4 2 2 5" xfId="2836"/>
    <cellStyle name="Normal 4 2 2 5 2" xfId="2837"/>
    <cellStyle name="Normal 4 2 2 6" xfId="2838"/>
    <cellStyle name="Normal 4 2 2_AGL" xfId="2839"/>
    <cellStyle name="Normal 4 2 3" xfId="2840"/>
    <cellStyle name="Normal 4 2 3 2" xfId="2841"/>
    <cellStyle name="Normal 4 2 3 2 2" xfId="2842"/>
    <cellStyle name="Normal 4 2 3 3" xfId="2843"/>
    <cellStyle name="Normal 4 2 3 3 2" xfId="2844"/>
    <cellStyle name="Normal 4 2 3 4" xfId="2845"/>
    <cellStyle name="Normal 4 2 3_AGL" xfId="2846"/>
    <cellStyle name="Normal 4 2 4" xfId="2847"/>
    <cellStyle name="Normal 4 2 4 2" xfId="2848"/>
    <cellStyle name="Normal 4 2 4 2 2" xfId="2849"/>
    <cellStyle name="Normal 4 2 4 3" xfId="2850"/>
    <cellStyle name="Normal 4 2 4 3 2" xfId="2851"/>
    <cellStyle name="Normal 4 2 4 4" xfId="2852"/>
    <cellStyle name="Normal 4 2 4_AGL" xfId="2853"/>
    <cellStyle name="Normal 4 2 5" xfId="2854"/>
    <cellStyle name="Normal 4 2 5 2" xfId="2855"/>
    <cellStyle name="Normal 4 2 5 2 2" xfId="2856"/>
    <cellStyle name="Normal 4 2 5 3" xfId="2857"/>
    <cellStyle name="Normal 4 2 5 3 2" xfId="2858"/>
    <cellStyle name="Normal 4 2 5 4" xfId="2859"/>
    <cellStyle name="Normal 4 2 5_AGL" xfId="2860"/>
    <cellStyle name="Normal 4 2 6" xfId="2861"/>
    <cellStyle name="Normal 4 2 6 2" xfId="2862"/>
    <cellStyle name="Normal 4 2 7" xfId="2863"/>
    <cellStyle name="Normal 4 2 7 2" xfId="2864"/>
    <cellStyle name="Normal 4 2 8" xfId="2865"/>
    <cellStyle name="Normal 4 2 9" xfId="2866"/>
    <cellStyle name="Normal 4 2_AGL" xfId="2867"/>
    <cellStyle name="Normal 4 20" xfId="2868"/>
    <cellStyle name="Normal 4 21" xfId="2869"/>
    <cellStyle name="Normal 4 22" xfId="2870"/>
    <cellStyle name="Normal 4 23" xfId="2871"/>
    <cellStyle name="Normal 4 24" xfId="2872"/>
    <cellStyle name="Normal 4 25" xfId="2873"/>
    <cellStyle name="Normal 4 26" xfId="2874"/>
    <cellStyle name="Normal 4 27" xfId="2875"/>
    <cellStyle name="Normal 4 28" xfId="2876"/>
    <cellStyle name="Normal 4 3" xfId="2877"/>
    <cellStyle name="Normal 4 3 2" xfId="2878"/>
    <cellStyle name="Normal 4 3 3" xfId="2879"/>
    <cellStyle name="Normal 4 4" xfId="2880"/>
    <cellStyle name="Normal 4 4 2" xfId="2881"/>
    <cellStyle name="Normal 4 4 2 2" xfId="2882"/>
    <cellStyle name="Normal 4 4 2 2 2" xfId="2883"/>
    <cellStyle name="Normal 4 4 2 3" xfId="2884"/>
    <cellStyle name="Normal 4 4 2 3 2" xfId="2885"/>
    <cellStyle name="Normal 4 4 2 4" xfId="2886"/>
    <cellStyle name="Normal 4 4 2_AGL" xfId="2887"/>
    <cellStyle name="Normal 4 4 3" xfId="2888"/>
    <cellStyle name="Normal 4 4 3 2" xfId="2889"/>
    <cellStyle name="Normal 4 4 3 2 2" xfId="2890"/>
    <cellStyle name="Normal 4 4 3 3" xfId="2891"/>
    <cellStyle name="Normal 4 4 3 3 2" xfId="2892"/>
    <cellStyle name="Normal 4 4 3 4" xfId="2893"/>
    <cellStyle name="Normal 4 4 3_AGL" xfId="2894"/>
    <cellStyle name="Normal 4 4 4" xfId="2895"/>
    <cellStyle name="Normal 4 4 4 2" xfId="2896"/>
    <cellStyle name="Normal 4 4 5" xfId="2897"/>
    <cellStyle name="Normal 4 4 5 2" xfId="2898"/>
    <cellStyle name="Normal 4 4 6" xfId="2899"/>
    <cellStyle name="Normal 4 4_AGL" xfId="2900"/>
    <cellStyle name="Normal 4 5" xfId="2901"/>
    <cellStyle name="Normal 4 5 2" xfId="2902"/>
    <cellStyle name="Normal 4 5 2 2" xfId="2903"/>
    <cellStyle name="Normal 4 5 2 2 2" xfId="2904"/>
    <cellStyle name="Normal 4 5 2 3" xfId="2905"/>
    <cellStyle name="Normal 4 5 2 3 2" xfId="2906"/>
    <cellStyle name="Normal 4 5 2 4" xfId="2907"/>
    <cellStyle name="Normal 4 5 2_AGL" xfId="2908"/>
    <cellStyle name="Normal 4 5 3" xfId="2909"/>
    <cellStyle name="Normal 4 5 3 2" xfId="2910"/>
    <cellStyle name="Normal 4 5 3 2 2" xfId="2911"/>
    <cellStyle name="Normal 4 5 3 3" xfId="2912"/>
    <cellStyle name="Normal 4 5 3 3 2" xfId="2913"/>
    <cellStyle name="Normal 4 5 3 4" xfId="2914"/>
    <cellStyle name="Normal 4 5 3_AGL" xfId="2915"/>
    <cellStyle name="Normal 4 5 4" xfId="2916"/>
    <cellStyle name="Normal 4 5 4 2" xfId="2917"/>
    <cellStyle name="Normal 4 5 5" xfId="2918"/>
    <cellStyle name="Normal 4 5 5 2" xfId="2919"/>
    <cellStyle name="Normal 4 5 6" xfId="2920"/>
    <cellStyle name="Normal 4 5_AGL" xfId="2921"/>
    <cellStyle name="Normal 4 6" xfId="2922"/>
    <cellStyle name="Normal 4 6 2" xfId="2923"/>
    <cellStyle name="Normal 4 6 2 2" xfId="2924"/>
    <cellStyle name="Normal 4 6 2 2 2" xfId="2925"/>
    <cellStyle name="Normal 4 6 2 3" xfId="2926"/>
    <cellStyle name="Normal 4 6 2 3 2" xfId="2927"/>
    <cellStyle name="Normal 4 6 2 4" xfId="2928"/>
    <cellStyle name="Normal 4 6 2_AGL" xfId="2929"/>
    <cellStyle name="Normal 4 6 3" xfId="2930"/>
    <cellStyle name="Normal 4 6 4" xfId="2931"/>
    <cellStyle name="Normal 4 6_AGL" xfId="2932"/>
    <cellStyle name="Normal 4 7" xfId="2933"/>
    <cellStyle name="Normal 4 7 2" xfId="2934"/>
    <cellStyle name="Normal 4 7 2 2" xfId="2935"/>
    <cellStyle name="Normal 4 7 3" xfId="2936"/>
    <cellStyle name="Normal 4 7 3 2" xfId="2937"/>
    <cellStyle name="Normal 4 7 4" xfId="2938"/>
    <cellStyle name="Normal 4 7_AGL" xfId="2939"/>
    <cellStyle name="Normal 4 8" xfId="2940"/>
    <cellStyle name="Normal 4 8 2" xfId="2941"/>
    <cellStyle name="Normal 4 8 2 2" xfId="2942"/>
    <cellStyle name="Normal 4 8 3" xfId="2943"/>
    <cellStyle name="Normal 4 8 3 2" xfId="2944"/>
    <cellStyle name="Normal 4 8 4" xfId="2945"/>
    <cellStyle name="Normal 4 8_AGL" xfId="2946"/>
    <cellStyle name="Normal 4 9" xfId="2947"/>
    <cellStyle name="Normal 4 9 2" xfId="2948"/>
    <cellStyle name="Normal 4 9 2 2" xfId="2949"/>
    <cellStyle name="Normal 4 9 3" xfId="2950"/>
    <cellStyle name="Normal 4 9 3 2" xfId="2951"/>
    <cellStyle name="Normal 4 9 4" xfId="2952"/>
    <cellStyle name="Normal 4 9_AGL" xfId="2953"/>
    <cellStyle name="Normal 4_AGL" xfId="2954"/>
    <cellStyle name="Normal 40" xfId="2955"/>
    <cellStyle name="Normal 41" xfId="2956"/>
    <cellStyle name="Normal 42" xfId="2957"/>
    <cellStyle name="Normal 43" xfId="2958"/>
    <cellStyle name="Normal 44" xfId="2959"/>
    <cellStyle name="Normal 45" xfId="2960"/>
    <cellStyle name="Normal 46" xfId="2961"/>
    <cellStyle name="Normal 47" xfId="2962"/>
    <cellStyle name="Normal 48" xfId="2963"/>
    <cellStyle name="Normal 49" xfId="2964"/>
    <cellStyle name="Normal 5 10" xfId="2965"/>
    <cellStyle name="Normal 5 11" xfId="2966"/>
    <cellStyle name="Normal 5 2" xfId="2967"/>
    <cellStyle name="Normal 5 2 2" xfId="2968"/>
    <cellStyle name="Normal 5 2 3" xfId="2969"/>
    <cellStyle name="Normal 5 2_AGL" xfId="2970"/>
    <cellStyle name="Normal 5 3" xfId="2971"/>
    <cellStyle name="Normal 5 4" xfId="2972"/>
    <cellStyle name="Normal 5 4 2" xfId="2973"/>
    <cellStyle name="Normal 5 4 3" xfId="2974"/>
    <cellStyle name="Normal 5 4_AGL" xfId="2975"/>
    <cellStyle name="Normal 5 5" xfId="2976"/>
    <cellStyle name="Normal 5 6" xfId="2977"/>
    <cellStyle name="Normal 5 7" xfId="2978"/>
    <cellStyle name="Normal 5 8" xfId="2979"/>
    <cellStyle name="Normal 5 9" xfId="2980"/>
    <cellStyle name="Normal 5_AGL" xfId="2981"/>
    <cellStyle name="Normal 50" xfId="2982"/>
    <cellStyle name="Normal 51" xfId="2983"/>
    <cellStyle name="Normal 52" xfId="2984"/>
    <cellStyle name="Normal 53" xfId="2985"/>
    <cellStyle name="Normal 54" xfId="2986"/>
    <cellStyle name="Normal 55" xfId="2987"/>
    <cellStyle name="Normal 56" xfId="2988"/>
    <cellStyle name="Normal 57" xfId="2989"/>
    <cellStyle name="Normal 58" xfId="2990"/>
    <cellStyle name="Normal 59" xfId="2991"/>
    <cellStyle name="Normal 6 10" xfId="2992"/>
    <cellStyle name="Normal 6 11" xfId="2993"/>
    <cellStyle name="Normal 6 2" xfId="2994"/>
    <cellStyle name="Normal 6 3" xfId="2995"/>
    <cellStyle name="Normal 6 3 2" xfId="2996"/>
    <cellStyle name="Normal 6 4" xfId="2997"/>
    <cellStyle name="Normal 6 4 2" xfId="2998"/>
    <cellStyle name="Normal 6 4 3" xfId="2999"/>
    <cellStyle name="Normal 6 4_AGL" xfId="3000"/>
    <cellStyle name="Normal 6 5" xfId="3001"/>
    <cellStyle name="Normal 6 6" xfId="3002"/>
    <cellStyle name="Normal 6 7" xfId="3003"/>
    <cellStyle name="Normal 6 8" xfId="3004"/>
    <cellStyle name="Normal 6 9" xfId="3005"/>
    <cellStyle name="Normal 6_AGL" xfId="3006"/>
    <cellStyle name="Normal 7 10" xfId="3007"/>
    <cellStyle name="Normal 7 11" xfId="3008"/>
    <cellStyle name="Normal 7 2" xfId="3009"/>
    <cellStyle name="Normal 7 2 2" xfId="3010"/>
    <cellStyle name="Normal 7 2 2 2" xfId="3011"/>
    <cellStyle name="Normal 7 2 3" xfId="3012"/>
    <cellStyle name="Normal 7 2 3 2" xfId="3013"/>
    <cellStyle name="Normal 7 2 4" xfId="3014"/>
    <cellStyle name="Normal 7 2_AGL" xfId="3015"/>
    <cellStyle name="Normal 7 3" xfId="3016"/>
    <cellStyle name="Normal 7 3 2" xfId="3017"/>
    <cellStyle name="Normal 7 3 2 2" xfId="3018"/>
    <cellStyle name="Normal 7 3 3" xfId="3019"/>
    <cellStyle name="Normal 7 3 3 2" xfId="3020"/>
    <cellStyle name="Normal 7 3 4" xfId="3021"/>
    <cellStyle name="Normal 7 3_AGL" xfId="3022"/>
    <cellStyle name="Normal 7 4" xfId="3023"/>
    <cellStyle name="Normal 7 4 2" xfId="3024"/>
    <cellStyle name="Normal 7 5" xfId="3025"/>
    <cellStyle name="Normal 7 5 2" xfId="3026"/>
    <cellStyle name="Normal 7 6" xfId="3027"/>
    <cellStyle name="Normal 7 7" xfId="3028"/>
    <cellStyle name="Normal 7 8" xfId="3029"/>
    <cellStyle name="Normal 7 9" xfId="3030"/>
    <cellStyle name="Normal 7_AGL" xfId="3031"/>
    <cellStyle name="Normal 8" xfId="3032"/>
    <cellStyle name="Normal 8 2" xfId="3033"/>
    <cellStyle name="Normal 8 2 2" xfId="3034"/>
    <cellStyle name="Normal 8 2 2 2" xfId="3035"/>
    <cellStyle name="Normal 8 2 3" xfId="3036"/>
    <cellStyle name="Normal 8 2 3 2" xfId="3037"/>
    <cellStyle name="Normal 8 2 4" xfId="3038"/>
    <cellStyle name="Normal 8 2_AGL" xfId="3039"/>
    <cellStyle name="Normal 8 3" xfId="3040"/>
    <cellStyle name="Normal 8 3 2" xfId="3041"/>
    <cellStyle name="Normal 8 3 2 2" xfId="3042"/>
    <cellStyle name="Normal 8 3 3" xfId="3043"/>
    <cellStyle name="Normal 8 3 3 2" xfId="3044"/>
    <cellStyle name="Normal 8 3 4" xfId="3045"/>
    <cellStyle name="Normal 8 3_AGL" xfId="3046"/>
    <cellStyle name="Normal 8 4" xfId="3047"/>
    <cellStyle name="Normal 8 4 2" xfId="3048"/>
    <cellStyle name="Normal 8 4 2 2" xfId="3049"/>
    <cellStyle name="Normal 8 4 3" xfId="3050"/>
    <cellStyle name="Normal 8 4 3 2" xfId="3051"/>
    <cellStyle name="Normal 8 4 4" xfId="3052"/>
    <cellStyle name="Normal 8 4_AGL" xfId="3053"/>
    <cellStyle name="Normal 8 5" xfId="3054"/>
    <cellStyle name="Normal 8 5 2" xfId="3055"/>
    <cellStyle name="Normal 8 5 2 2" xfId="3056"/>
    <cellStyle name="Normal 8 5 2 2 2" xfId="3057"/>
    <cellStyle name="Normal 8 5 2 3" xfId="3058"/>
    <cellStyle name="Normal 8 5 2 3 2" xfId="3059"/>
    <cellStyle name="Normal 8 5 2 4" xfId="3060"/>
    <cellStyle name="Normal 8 5 2_AGL" xfId="3061"/>
    <cellStyle name="Normal 8 5 3" xfId="3062"/>
    <cellStyle name="Normal 8 5 3 2" xfId="3063"/>
    <cellStyle name="Normal 8 5 3 2 2" xfId="3064"/>
    <cellStyle name="Normal 8 5 3 3" xfId="3065"/>
    <cellStyle name="Normal 8 5 3 3 2" xfId="3066"/>
    <cellStyle name="Normal 8 5 3 4" xfId="3067"/>
    <cellStyle name="Normal 8 5 3_AGL" xfId="3068"/>
    <cellStyle name="Normal 8 5 4" xfId="3069"/>
    <cellStyle name="Normal 8 5 4 2" xfId="3070"/>
    <cellStyle name="Normal 8 5 5" xfId="3071"/>
    <cellStyle name="Normal 8 5 5 2" xfId="3072"/>
    <cellStyle name="Normal 8 5 6" xfId="3073"/>
    <cellStyle name="Normal 8 5_AGL" xfId="3074"/>
    <cellStyle name="Normal 8 6" xfId="3075"/>
    <cellStyle name="Normal 8 6 2" xfId="3076"/>
    <cellStyle name="Normal 8 7" xfId="3077"/>
    <cellStyle name="Normal 8 7 2" xfId="3078"/>
    <cellStyle name="Normal 8 8" xfId="3079"/>
    <cellStyle name="Normal 8 8 2" xfId="3080"/>
    <cellStyle name="Normal 8 9" xfId="3081"/>
    <cellStyle name="Normal 8_AGL" xfId="3082"/>
    <cellStyle name="Normal 9" xfId="3083"/>
    <cellStyle name="Normal 9 10" xfId="3084"/>
    <cellStyle name="Normal 9 2" xfId="3085"/>
    <cellStyle name="Normal 9 2 2" xfId="3086"/>
    <cellStyle name="Normal 9 2 2 2" xfId="3087"/>
    <cellStyle name="Normal 9 2 3" xfId="3088"/>
    <cellStyle name="Normal 9 2 3 2" xfId="3089"/>
    <cellStyle name="Normal 9 2 4" xfId="3090"/>
    <cellStyle name="Normal 9 2_AGL" xfId="3091"/>
    <cellStyle name="Normal 9 3" xfId="3092"/>
    <cellStyle name="Normal 9 3 2" xfId="3093"/>
    <cellStyle name="Normal 9 3 2 2" xfId="3094"/>
    <cellStyle name="Normal 9 3 3" xfId="3095"/>
    <cellStyle name="Normal 9 3 3 2" xfId="3096"/>
    <cellStyle name="Normal 9 3 4" xfId="3097"/>
    <cellStyle name="Normal 9 3_AGL" xfId="3098"/>
    <cellStyle name="Normal 9 4" xfId="3099"/>
    <cellStyle name="Normal 9 4 2" xfId="3100"/>
    <cellStyle name="Normal 9 4 2 2" xfId="3101"/>
    <cellStyle name="Normal 9 4 3" xfId="3102"/>
    <cellStyle name="Normal 9 4 3 2" xfId="3103"/>
    <cellStyle name="Normal 9 4 4" xfId="3104"/>
    <cellStyle name="Normal 9 4_AGL" xfId="3105"/>
    <cellStyle name="Normal 9 5" xfId="3106"/>
    <cellStyle name="Normal 9 5 2" xfId="3107"/>
    <cellStyle name="Normal 9 5 2 2" xfId="3108"/>
    <cellStyle name="Normal 9 5 2 2 2" xfId="3109"/>
    <cellStyle name="Normal 9 5 2 3" xfId="3110"/>
    <cellStyle name="Normal 9 5 2 3 2" xfId="3111"/>
    <cellStyle name="Normal 9 5 2 4" xfId="3112"/>
    <cellStyle name="Normal 9 5 2_AGL" xfId="3113"/>
    <cellStyle name="Normal 9 5 3" xfId="3114"/>
    <cellStyle name="Normal 9 5 3 2" xfId="3115"/>
    <cellStyle name="Normal 9 5 4" xfId="3116"/>
    <cellStyle name="Normal 9 5 4 2" xfId="3117"/>
    <cellStyle name="Normal 9 5 5" xfId="3118"/>
    <cellStyle name="Normal 9 5_AGL" xfId="3119"/>
    <cellStyle name="Normal 9 6" xfId="3120"/>
    <cellStyle name="Normal 9 6 2" xfId="3121"/>
    <cellStyle name="Normal 9 6 2 2" xfId="3122"/>
    <cellStyle name="Normal 9 6 3" xfId="3123"/>
    <cellStyle name="Normal 9 6 3 2" xfId="3124"/>
    <cellStyle name="Normal 9 6 4" xfId="3125"/>
    <cellStyle name="Normal 9 6_AGL" xfId="3126"/>
    <cellStyle name="Normal 9 7" xfId="3127"/>
    <cellStyle name="Normal 9 7 2" xfId="3128"/>
    <cellStyle name="Normal 9 7 2 2" xfId="3129"/>
    <cellStyle name="Normal 9 7 3" xfId="3130"/>
    <cellStyle name="Normal 9 7 3 2" xfId="3131"/>
    <cellStyle name="Normal 9 7 4" xfId="3132"/>
    <cellStyle name="Normal 9 7_AGL" xfId="3133"/>
    <cellStyle name="Normal 9 8" xfId="3134"/>
    <cellStyle name="Normal 9 8 2" xfId="3135"/>
    <cellStyle name="Normal 9 9" xfId="3136"/>
    <cellStyle name="Normal 9 9 2" xfId="3137"/>
    <cellStyle name="Normal 9_AGL" xfId="3138"/>
    <cellStyle name="Note 10" xfId="3139"/>
    <cellStyle name="Note 10 2" xfId="3140"/>
    <cellStyle name="Note 10 2 2" xfId="3141"/>
    <cellStyle name="Note 10 2_Sheet10" xfId="3142"/>
    <cellStyle name="Note 10 3" xfId="3143"/>
    <cellStyle name="Note 10 3 2" xfId="3144"/>
    <cellStyle name="Note 10 4" xfId="3145"/>
    <cellStyle name="Note 10_AGL" xfId="3146"/>
    <cellStyle name="Note 11" xfId="3147"/>
    <cellStyle name="Note 2" xfId="3148"/>
    <cellStyle name="Note 2 2" xfId="3149"/>
    <cellStyle name="Note 2 2 2" xfId="3150"/>
    <cellStyle name="Note 2 2 2 2" xfId="3151"/>
    <cellStyle name="Note 2 2 2_Sheet10" xfId="3152"/>
    <cellStyle name="Note 2 2 3" xfId="3153"/>
    <cellStyle name="Note 2 2_AGL" xfId="3154"/>
    <cellStyle name="Note 2 3" xfId="3155"/>
    <cellStyle name="Note 2 3 2" xfId="3156"/>
    <cellStyle name="Note 2 3 2 2" xfId="3157"/>
    <cellStyle name="Note 2 3 2_Sheet10" xfId="3158"/>
    <cellStyle name="Note 2 3 3" xfId="3159"/>
    <cellStyle name="Note 2 3_AGL" xfId="3160"/>
    <cellStyle name="Note 2 4" xfId="3161"/>
    <cellStyle name="Note 2 4 2" xfId="3162"/>
    <cellStyle name="Note 2 4 2 2" xfId="3163"/>
    <cellStyle name="Note 2 4 2_Sheet10" xfId="3164"/>
    <cellStyle name="Note 2 4 3" xfId="3165"/>
    <cellStyle name="Note 2 4_AGL" xfId="3166"/>
    <cellStyle name="Note 2 5" xfId="3167"/>
    <cellStyle name="Note 2 5 2" xfId="3168"/>
    <cellStyle name="Note 2 5_Sheet10" xfId="3169"/>
    <cellStyle name="Note 2 6" xfId="3170"/>
    <cellStyle name="Note 2_AGL" xfId="3171"/>
    <cellStyle name="Note 3" xfId="3172"/>
    <cellStyle name="Note 3 2" xfId="3173"/>
    <cellStyle name="Note 3 2 2" xfId="3174"/>
    <cellStyle name="Note 3 2 2 2" xfId="3175"/>
    <cellStyle name="Note 3 2 2_Sheet10" xfId="3176"/>
    <cellStyle name="Note 3 2 3" xfId="3177"/>
    <cellStyle name="Note 3 2_AGL" xfId="3178"/>
    <cellStyle name="Note 3 3" xfId="3179"/>
    <cellStyle name="Note 3 3 2" xfId="3180"/>
    <cellStyle name="Note 3 3_Sheet10" xfId="3181"/>
    <cellStyle name="Note 3 4" xfId="3182"/>
    <cellStyle name="Note 3_AGL" xfId="3183"/>
    <cellStyle name="Note 4" xfId="3184"/>
    <cellStyle name="Note 4 2" xfId="3185"/>
    <cellStyle name="Note 4 2 2" xfId="3186"/>
    <cellStyle name="Note 4 2 2 2" xfId="3187"/>
    <cellStyle name="Note 4 2 2_Sheet10" xfId="3188"/>
    <cellStyle name="Note 4 2 3" xfId="3189"/>
    <cellStyle name="Note 4 2_AGL" xfId="3190"/>
    <cellStyle name="Note 4 3" xfId="3191"/>
    <cellStyle name="Note 4 3 2" xfId="3192"/>
    <cellStyle name="Note 4 3_Sheet10" xfId="3193"/>
    <cellStyle name="Note 4 4" xfId="3194"/>
    <cellStyle name="Note 4_AGL" xfId="3195"/>
    <cellStyle name="Note 5" xfId="3196"/>
    <cellStyle name="Note 5 2" xfId="3197"/>
    <cellStyle name="Note 5 2 2" xfId="3198"/>
    <cellStyle name="Note 5 2 2 2" xfId="3199"/>
    <cellStyle name="Note 5 2 2_Sheet10" xfId="3200"/>
    <cellStyle name="Note 5 2 3" xfId="3201"/>
    <cellStyle name="Note 5 2 3 2" xfId="3202"/>
    <cellStyle name="Note 5 2 4" xfId="3203"/>
    <cellStyle name="Note 5 2_AGL" xfId="3204"/>
    <cellStyle name="Note 5 3" xfId="3205"/>
    <cellStyle name="Note 5 3 2" xfId="3206"/>
    <cellStyle name="Note 5 3 2 2" xfId="3207"/>
    <cellStyle name="Note 5 3 2_Sheet10" xfId="3208"/>
    <cellStyle name="Note 5 3 3" xfId="3209"/>
    <cellStyle name="Note 5 3 3 2" xfId="3210"/>
    <cellStyle name="Note 5 3 4" xfId="3211"/>
    <cellStyle name="Note 5 3_AGL" xfId="3212"/>
    <cellStyle name="Note 5 4" xfId="3213"/>
    <cellStyle name="Note 5 4 2" xfId="3214"/>
    <cellStyle name="Note 5 4 2 2" xfId="3215"/>
    <cellStyle name="Note 5 4 2_Sheet10" xfId="3216"/>
    <cellStyle name="Note 5 4 3" xfId="3217"/>
    <cellStyle name="Note 5 4 3 2" xfId="3218"/>
    <cellStyle name="Note 5 4 4" xfId="3219"/>
    <cellStyle name="Note 5 4_AGL" xfId="3220"/>
    <cellStyle name="Note 5 5" xfId="3221"/>
    <cellStyle name="Note 5 5 2" xfId="3222"/>
    <cellStyle name="Note 5 5 2 2" xfId="3223"/>
    <cellStyle name="Note 5 5 2 2 2" xfId="3224"/>
    <cellStyle name="Note 5 5 2 2_Sheet10" xfId="3225"/>
    <cellStyle name="Note 5 5 2 3" xfId="3226"/>
    <cellStyle name="Note 5 5 2 3 2" xfId="3227"/>
    <cellStyle name="Note 5 5 2 4" xfId="3228"/>
    <cellStyle name="Note 5 5 2_AGL" xfId="3229"/>
    <cellStyle name="Note 5 5 3" xfId="3230"/>
    <cellStyle name="Note 5 5 3 2" xfId="3231"/>
    <cellStyle name="Note 5 5 3 2 2" xfId="3232"/>
    <cellStyle name="Note 5 5 3 2_Sheet10" xfId="3233"/>
    <cellStyle name="Note 5 5 3 3" xfId="3234"/>
    <cellStyle name="Note 5 5 3 3 2" xfId="3235"/>
    <cellStyle name="Note 5 5 3 4" xfId="3236"/>
    <cellStyle name="Note 5 5 3_AGL" xfId="3237"/>
    <cellStyle name="Note 5 5 4" xfId="3238"/>
    <cellStyle name="Note 5 5 4 2" xfId="3239"/>
    <cellStyle name="Note 5 5 4_Sheet10" xfId="3240"/>
    <cellStyle name="Note 5 5 5" xfId="3241"/>
    <cellStyle name="Note 5 5 5 2" xfId="3242"/>
    <cellStyle name="Note 5 5 6" xfId="3243"/>
    <cellStyle name="Note 5 5_AGL" xfId="3244"/>
    <cellStyle name="Note 5 6" xfId="3245"/>
    <cellStyle name="Note 5 6 2" xfId="3246"/>
    <cellStyle name="Note 5 6_Sheet10" xfId="3247"/>
    <cellStyle name="Note 5 7" xfId="3248"/>
    <cellStyle name="Note 5 7 2" xfId="3249"/>
    <cellStyle name="Note 5 8" xfId="3250"/>
    <cellStyle name="Note 5_AGL" xfId="3251"/>
    <cellStyle name="Note 6" xfId="3252"/>
    <cellStyle name="Note 6 2" xfId="3253"/>
    <cellStyle name="Note 6 2 2" xfId="3254"/>
    <cellStyle name="Note 6 2 2 2" xfId="3255"/>
    <cellStyle name="Note 6 2 2_Sheet10" xfId="3256"/>
    <cellStyle name="Note 6 2 3" xfId="3257"/>
    <cellStyle name="Note 6 2 3 2" xfId="3258"/>
    <cellStyle name="Note 6 2 4" xfId="3259"/>
    <cellStyle name="Note 6 2_AGL" xfId="3260"/>
    <cellStyle name="Note 6 3" xfId="3261"/>
    <cellStyle name="Note 6 3 2" xfId="3262"/>
    <cellStyle name="Note 6 3 2 2" xfId="3263"/>
    <cellStyle name="Note 6 3 2_Sheet10" xfId="3264"/>
    <cellStyle name="Note 6 3 3" xfId="3265"/>
    <cellStyle name="Note 6 3 3 2" xfId="3266"/>
    <cellStyle name="Note 6 3 4" xfId="3267"/>
    <cellStyle name="Note 6 3_AGL" xfId="3268"/>
    <cellStyle name="Note 6 4" xfId="3269"/>
    <cellStyle name="Note 6 4 2" xfId="3270"/>
    <cellStyle name="Note 6 4 2 2" xfId="3271"/>
    <cellStyle name="Note 6 4 2_Sheet10" xfId="3272"/>
    <cellStyle name="Note 6 4 3" xfId="3273"/>
    <cellStyle name="Note 6 4 3 2" xfId="3274"/>
    <cellStyle name="Note 6 4 4" xfId="3275"/>
    <cellStyle name="Note 6 4_AGL" xfId="3276"/>
    <cellStyle name="Note 6 5" xfId="3277"/>
    <cellStyle name="Note 6 5 2" xfId="3278"/>
    <cellStyle name="Note 6 5_Sheet10" xfId="3279"/>
    <cellStyle name="Note 6 6" xfId="3280"/>
    <cellStyle name="Note 6 6 2" xfId="3281"/>
    <cellStyle name="Note 6 7" xfId="3282"/>
    <cellStyle name="Note 6_AGL" xfId="3283"/>
    <cellStyle name="Note 7" xfId="3284"/>
    <cellStyle name="Note 7 2" xfId="3285"/>
    <cellStyle name="Note 7 2 2" xfId="3286"/>
    <cellStyle name="Note 7 2 2 2" xfId="3287"/>
    <cellStyle name="Note 7 2 2_Sheet10" xfId="3288"/>
    <cellStyle name="Note 7 2 3" xfId="3289"/>
    <cellStyle name="Note 7 2 3 2" xfId="3290"/>
    <cellStyle name="Note 7 2 4" xfId="3291"/>
    <cellStyle name="Note 7 2_AGL" xfId="3292"/>
    <cellStyle name="Note 7 3" xfId="3293"/>
    <cellStyle name="Note 7 3 2" xfId="3294"/>
    <cellStyle name="Note 7 3_Sheet10" xfId="3295"/>
    <cellStyle name="Note 7 4" xfId="3296"/>
    <cellStyle name="Note 7 4 2" xfId="3297"/>
    <cellStyle name="Note 7 5" xfId="3298"/>
    <cellStyle name="Note 7_AGL" xfId="3299"/>
    <cellStyle name="Note 8" xfId="3300"/>
    <cellStyle name="Note 8 10" xfId="3301"/>
    <cellStyle name="Note 8 2" xfId="3302"/>
    <cellStyle name="Note 8 2 2" xfId="3303"/>
    <cellStyle name="Note 8 2 2 2" xfId="3304"/>
    <cellStyle name="Note 8 2 2_Sheet10" xfId="3305"/>
    <cellStyle name="Note 8 2 3" xfId="3306"/>
    <cellStyle name="Note 8 2 3 2" xfId="3307"/>
    <cellStyle name="Note 8 2 4" xfId="3308"/>
    <cellStyle name="Note 8 2_AGL" xfId="3309"/>
    <cellStyle name="Note 8 3" xfId="3310"/>
    <cellStyle name="Note 8 3 2" xfId="3311"/>
    <cellStyle name="Note 8 3 2 2" xfId="3312"/>
    <cellStyle name="Note 8 3 2_Sheet10" xfId="3313"/>
    <cellStyle name="Note 8 3 3" xfId="3314"/>
    <cellStyle name="Note 8 3 3 2" xfId="3315"/>
    <cellStyle name="Note 8 3 4" xfId="3316"/>
    <cellStyle name="Note 8 3_AGL" xfId="3317"/>
    <cellStyle name="Note 8 4" xfId="3318"/>
    <cellStyle name="Note 8 4 2" xfId="3319"/>
    <cellStyle name="Note 8 4 2 2" xfId="3320"/>
    <cellStyle name="Note 8 4 2_Sheet10" xfId="3321"/>
    <cellStyle name="Note 8 4 3" xfId="3322"/>
    <cellStyle name="Note 8 4 3 2" xfId="3323"/>
    <cellStyle name="Note 8 4 4" xfId="3324"/>
    <cellStyle name="Note 8 4_AGL" xfId="3325"/>
    <cellStyle name="Note 8 5" xfId="3326"/>
    <cellStyle name="Note 8 5 2" xfId="3327"/>
    <cellStyle name="Note 8 5 2 2" xfId="3328"/>
    <cellStyle name="Note 8 5 2_Sheet10" xfId="3329"/>
    <cellStyle name="Note 8 5 3" xfId="3330"/>
    <cellStyle name="Note 8 5 3 2" xfId="3331"/>
    <cellStyle name="Note 8 5 4" xfId="3332"/>
    <cellStyle name="Note 8 5_AGL" xfId="3333"/>
    <cellStyle name="Note 8 6" xfId="3334"/>
    <cellStyle name="Note 8 6 2" xfId="3335"/>
    <cellStyle name="Note 8 6 2 2" xfId="3336"/>
    <cellStyle name="Note 8 6 2_Sheet10" xfId="3337"/>
    <cellStyle name="Note 8 6 3" xfId="3338"/>
    <cellStyle name="Note 8 6 3 2" xfId="3339"/>
    <cellStyle name="Note 8 6 4" xfId="3340"/>
    <cellStyle name="Note 8 6_AGL" xfId="3341"/>
    <cellStyle name="Note 8 7" xfId="3342"/>
    <cellStyle name="Note 8 7 2" xfId="3343"/>
    <cellStyle name="Note 8 7 2 2" xfId="3344"/>
    <cellStyle name="Note 8 7 2_Sheet10" xfId="3345"/>
    <cellStyle name="Note 8 7 3" xfId="3346"/>
    <cellStyle name="Note 8 7 3 2" xfId="3347"/>
    <cellStyle name="Note 8 7 4" xfId="3348"/>
    <cellStyle name="Note 8 7_AGL" xfId="3349"/>
    <cellStyle name="Note 8 8" xfId="3350"/>
    <cellStyle name="Note 8 8 2" xfId="3351"/>
    <cellStyle name="Note 8 8_Sheet10" xfId="3352"/>
    <cellStyle name="Note 8 9" xfId="3353"/>
    <cellStyle name="Note 8 9 2" xfId="3354"/>
    <cellStyle name="Note 8_AGL" xfId="3355"/>
    <cellStyle name="Note 9" xfId="3356"/>
    <cellStyle name="Note 9 2" xfId="3357"/>
    <cellStyle name="Note 9 2 2" xfId="3358"/>
    <cellStyle name="Note 9 2_Sheet10" xfId="3359"/>
    <cellStyle name="Note 9 3" xfId="3360"/>
    <cellStyle name="Note 9 3 2" xfId="3361"/>
    <cellStyle name="Note 9 4" xfId="3362"/>
    <cellStyle name="Note 9_AGL" xfId="3363"/>
    <cellStyle name="ofwhich" xfId="3364"/>
    <cellStyle name="ofwhich 2" xfId="3365"/>
    <cellStyle name="ofwhich 2 2" xfId="3366"/>
    <cellStyle name="ofwhich 3" xfId="3367"/>
    <cellStyle name="ofwhich 4" xfId="3368"/>
    <cellStyle name="ofwhich_AGL" xfId="3369"/>
    <cellStyle name="Output 2" xfId="3370"/>
    <cellStyle name="Output 2 2" xfId="3371"/>
    <cellStyle name="Output 2 2 2" xfId="3372"/>
    <cellStyle name="Output 2 2 2 2" xfId="3373"/>
    <cellStyle name="Output 2 2 2_Sheet10" xfId="3374"/>
    <cellStyle name="Output 2 2 3" xfId="3375"/>
    <cellStyle name="Output 2 2_AGL" xfId="3376"/>
    <cellStyle name="Output 2 3" xfId="3377"/>
    <cellStyle name="Output 2 3 2" xfId="3378"/>
    <cellStyle name="Output 2 3_Sheet10" xfId="3379"/>
    <cellStyle name="Output 2 4" xfId="3380"/>
    <cellStyle name="Output 2_AGL" xfId="3381"/>
    <cellStyle name="Output 3" xfId="3382"/>
    <cellStyle name="Output 3 2" xfId="3383"/>
    <cellStyle name="Output 3 2 2" xfId="3384"/>
    <cellStyle name="Output 3 2_Sheet10" xfId="3385"/>
    <cellStyle name="Output 3 3" xfId="3386"/>
    <cellStyle name="Output 3_AGL" xfId="3387"/>
    <cellStyle name="Output 4" xfId="3388"/>
    <cellStyle name="Output 4 2" xfId="3389"/>
    <cellStyle name="Output 4_Sheet10" xfId="3390"/>
    <cellStyle name="Output 5" xfId="3391"/>
    <cellStyle name="Percent 10 2" xfId="3392"/>
    <cellStyle name="Percent 10 2 2" xfId="3393"/>
    <cellStyle name="Percent 10 2 2 2" xfId="3394"/>
    <cellStyle name="Percent 10 2 3" xfId="3395"/>
    <cellStyle name="Percent 10 2 3 2" xfId="3396"/>
    <cellStyle name="Percent 10 2 4" xfId="3397"/>
    <cellStyle name="Percent 10 3" xfId="3398"/>
    <cellStyle name="Percent 10 3 2" xfId="3399"/>
    <cellStyle name="Percent 10 4" xfId="3400"/>
    <cellStyle name="Percent 10 4 2" xfId="3401"/>
    <cellStyle name="Percent 10 5" xfId="3402"/>
    <cellStyle name="Percent 11" xfId="3403"/>
    <cellStyle name="Percent 11 2" xfId="3404"/>
    <cellStyle name="Percent 11 2 2" xfId="3405"/>
    <cellStyle name="Percent 11 2 2 2" xfId="3406"/>
    <cellStyle name="Percent 11 2 3" xfId="3407"/>
    <cellStyle name="Percent 11 2 3 2" xfId="3408"/>
    <cellStyle name="Percent 11 2 4" xfId="3409"/>
    <cellStyle name="Percent 11 3" xfId="3410"/>
    <cellStyle name="Percent 11 3 2" xfId="3411"/>
    <cellStyle name="Percent 11 4" xfId="3412"/>
    <cellStyle name="Percent 11 4 2" xfId="3413"/>
    <cellStyle name="Percent 11 5" xfId="3414"/>
    <cellStyle name="Percent 12" xfId="3415"/>
    <cellStyle name="Percent 12 2" xfId="3416"/>
    <cellStyle name="Percent 12 2 2" xfId="3417"/>
    <cellStyle name="Percent 12 2 2 2" xfId="3418"/>
    <cellStyle name="Percent 12 2 3" xfId="3419"/>
    <cellStyle name="Percent 12 2 3 2" xfId="3420"/>
    <cellStyle name="Percent 12 2 4" xfId="3421"/>
    <cellStyle name="Percent 12 3" xfId="3422"/>
    <cellStyle name="Percent 12 3 2" xfId="3423"/>
    <cellStyle name="Percent 12 3 2 2" xfId="3424"/>
    <cellStyle name="Percent 12 3 3" xfId="3425"/>
    <cellStyle name="Percent 12 3 3 2" xfId="3426"/>
    <cellStyle name="Percent 12 3 4" xfId="3427"/>
    <cellStyle name="Percent 12 4" xfId="3428"/>
    <cellStyle name="Percent 12 4 2" xfId="3429"/>
    <cellStyle name="Percent 12 4 2 2" xfId="3430"/>
    <cellStyle name="Percent 12 4 3" xfId="3431"/>
    <cellStyle name="Percent 12 4 3 2" xfId="3432"/>
    <cellStyle name="Percent 12 4 4" xfId="3433"/>
    <cellStyle name="Percent 12 5" xfId="3434"/>
    <cellStyle name="Percent 12 5 2" xfId="3435"/>
    <cellStyle name="Percent 12 5 2 2" xfId="3436"/>
    <cellStyle name="Percent 12 5 3" xfId="3437"/>
    <cellStyle name="Percent 12 5 3 2" xfId="3438"/>
    <cellStyle name="Percent 12 5 4" xfId="3439"/>
    <cellStyle name="Percent 12 6" xfId="3440"/>
    <cellStyle name="Percent 12 7" xfId="3441"/>
    <cellStyle name="Percent 13" xfId="3442"/>
    <cellStyle name="Percent 13 2" xfId="3443"/>
    <cellStyle name="Percent 13 2 2" xfId="3444"/>
    <cellStyle name="Percent 13 2 2 2" xfId="3445"/>
    <cellStyle name="Percent 13 2 3" xfId="3446"/>
    <cellStyle name="Percent 13 2 3 2" xfId="3447"/>
    <cellStyle name="Percent 13 2 4" xfId="3448"/>
    <cellStyle name="Percent 13 3" xfId="3449"/>
    <cellStyle name="Percent 13 3 2" xfId="3450"/>
    <cellStyle name="Percent 13 3 2 2" xfId="3451"/>
    <cellStyle name="Percent 13 3 3" xfId="3452"/>
    <cellStyle name="Percent 13 3 3 2" xfId="3453"/>
    <cellStyle name="Percent 13 3 4" xfId="3454"/>
    <cellStyle name="Percent 13 4" xfId="3455"/>
    <cellStyle name="Percent 13 4 2" xfId="3456"/>
    <cellStyle name="Percent 13 4 2 2" xfId="3457"/>
    <cellStyle name="Percent 13 4 3" xfId="3458"/>
    <cellStyle name="Percent 13 4 3 2" xfId="3459"/>
    <cellStyle name="Percent 13 4 4" xfId="3460"/>
    <cellStyle name="Percent 13 5" xfId="3461"/>
    <cellStyle name="Percent 13 5 2" xfId="3462"/>
    <cellStyle name="Percent 13 6" xfId="3463"/>
    <cellStyle name="Percent 13 6 2" xfId="3464"/>
    <cellStyle name="Percent 13 7" xfId="3465"/>
    <cellStyle name="Percent 14" xfId="3466"/>
    <cellStyle name="Percent 14 2" xfId="3467"/>
    <cellStyle name="Percent 14 2 2" xfId="3468"/>
    <cellStyle name="Percent 14 3" xfId="3469"/>
    <cellStyle name="Percent 14 3 2" xfId="3470"/>
    <cellStyle name="Percent 14 4" xfId="3471"/>
    <cellStyle name="Percent 15" xfId="3472"/>
    <cellStyle name="Percent 15 2" xfId="3473"/>
    <cellStyle name="Percent 15 2 2" xfId="3474"/>
    <cellStyle name="Percent 15 3" xfId="3475"/>
    <cellStyle name="Percent 15 3 2" xfId="3476"/>
    <cellStyle name="Percent 15 4" xfId="3477"/>
    <cellStyle name="Percent 16" xfId="3478"/>
    <cellStyle name="Percent 16 2" xfId="3479"/>
    <cellStyle name="Percent 16 2 2" xfId="3480"/>
    <cellStyle name="Percent 16 3" xfId="3481"/>
    <cellStyle name="Percent 16 3 2" xfId="3482"/>
    <cellStyle name="Percent 16 4" xfId="3483"/>
    <cellStyle name="Percent 17" xfId="3484"/>
    <cellStyle name="Percent 17 2" xfId="3485"/>
    <cellStyle name="Percent 17 2 2" xfId="3486"/>
    <cellStyle name="Percent 17 3" xfId="3487"/>
    <cellStyle name="Percent 17 3 2" xfId="3488"/>
    <cellStyle name="Percent 17 4" xfId="3489"/>
    <cellStyle name="Percent 18" xfId="3490"/>
    <cellStyle name="Percent 18 2" xfId="3491"/>
    <cellStyle name="Percent 18 2 2" xfId="3492"/>
    <cellStyle name="Percent 18 3" xfId="3493"/>
    <cellStyle name="Percent 18 3 2" xfId="3494"/>
    <cellStyle name="Percent 18 4" xfId="3495"/>
    <cellStyle name="Percent 19" xfId="3496"/>
    <cellStyle name="Percent 19 2" xfId="3497"/>
    <cellStyle name="Percent 19 2 2" xfId="3498"/>
    <cellStyle name="Percent 19 3" xfId="3499"/>
    <cellStyle name="Percent 19 3 2" xfId="3500"/>
    <cellStyle name="Percent 19 4" xfId="3501"/>
    <cellStyle name="Percent 2 2 10" xfId="3502"/>
    <cellStyle name="Percent 2 2 10 2" xfId="3503"/>
    <cellStyle name="Percent 2 2 10 2 2" xfId="3504"/>
    <cellStyle name="Percent 2 2 10 3" xfId="3505"/>
    <cellStyle name="Percent 2 2 10 3 2" xfId="3506"/>
    <cellStyle name="Percent 2 2 10 4" xfId="3507"/>
    <cellStyle name="Percent 2 2 11" xfId="3508"/>
    <cellStyle name="Percent 2 2 12" xfId="3509"/>
    <cellStyle name="Percent 2 2 2 10" xfId="3510"/>
    <cellStyle name="Percent 2 2 2 11" xfId="3511"/>
    <cellStyle name="Percent 2 2 2 2" xfId="3512"/>
    <cellStyle name="Percent 2 2 2 2 2" xfId="3513"/>
    <cellStyle name="Percent 2 2 2 2 2 2" xfId="3514"/>
    <cellStyle name="Percent 2 2 2 2 2 2 2" xfId="3515"/>
    <cellStyle name="Percent 2 2 2 2 2 3" xfId="3516"/>
    <cellStyle name="Percent 2 2 2 2 2 3 2" xfId="3517"/>
    <cellStyle name="Percent 2 2 2 2 2 4" xfId="3518"/>
    <cellStyle name="Percent 2 2 2 2 3" xfId="3519"/>
    <cellStyle name="Percent 2 2 2 2 3 2" xfId="3520"/>
    <cellStyle name="Percent 2 2 2 2 3 2 2" xfId="3521"/>
    <cellStyle name="Percent 2 2 2 2 3 3" xfId="3522"/>
    <cellStyle name="Percent 2 2 2 2 3 3 2" xfId="3523"/>
    <cellStyle name="Percent 2 2 2 2 3 4" xfId="3524"/>
    <cellStyle name="Percent 2 2 2 2 4" xfId="3525"/>
    <cellStyle name="Percent 2 2 2 2 4 2" xfId="3526"/>
    <cellStyle name="Percent 2 2 2 2 5" xfId="3527"/>
    <cellStyle name="Percent 2 2 2 2 5 2" xfId="3528"/>
    <cellStyle name="Percent 2 2 2 2 6" xfId="3529"/>
    <cellStyle name="Percent 2 2 2 3" xfId="3530"/>
    <cellStyle name="Percent 2 2 2 3 2" xfId="3531"/>
    <cellStyle name="Percent 2 2 2 3 2 2" xfId="3532"/>
    <cellStyle name="Percent 2 2 2 3 3" xfId="3533"/>
    <cellStyle name="Percent 2 2 2 3 3 2" xfId="3534"/>
    <cellStyle name="Percent 2 2 2 3 4" xfId="3535"/>
    <cellStyle name="Percent 2 2 2 4" xfId="3536"/>
    <cellStyle name="Percent 2 2 2 4 2" xfId="3537"/>
    <cellStyle name="Percent 2 2 2 4 2 2" xfId="3538"/>
    <cellStyle name="Percent 2 2 2 4 3" xfId="3539"/>
    <cellStyle name="Percent 2 2 2 4 3 2" xfId="3540"/>
    <cellStyle name="Percent 2 2 2 4 4" xfId="3541"/>
    <cellStyle name="Percent 2 2 2 5" xfId="3542"/>
    <cellStyle name="Percent 2 2 2 5 2" xfId="3543"/>
    <cellStyle name="Percent 2 2 2 5 2 2" xfId="3544"/>
    <cellStyle name="Percent 2 2 2 5 3" xfId="3545"/>
    <cellStyle name="Percent 2 2 2 5 3 2" xfId="3546"/>
    <cellStyle name="Percent 2 2 2 5 4" xfId="3547"/>
    <cellStyle name="Percent 2 2 2 6" xfId="3548"/>
    <cellStyle name="Percent 2 2 2 6 2" xfId="3549"/>
    <cellStyle name="Percent 2 2 2 6 2 2" xfId="3550"/>
    <cellStyle name="Percent 2 2 2 6 3" xfId="3551"/>
    <cellStyle name="Percent 2 2 2 6 3 2" xfId="3552"/>
    <cellStyle name="Percent 2 2 2 6 4" xfId="3553"/>
    <cellStyle name="Percent 2 2 2 7" xfId="3554"/>
    <cellStyle name="Percent 2 2 2 7 2" xfId="3555"/>
    <cellStyle name="Percent 2 2 2 7 2 2" xfId="3556"/>
    <cellStyle name="Percent 2 2 2 7 3" xfId="3557"/>
    <cellStyle name="Percent 2 2 2 7 3 2" xfId="3558"/>
    <cellStyle name="Percent 2 2 2 7 4" xfId="3559"/>
    <cellStyle name="Percent 2 2 2 8" xfId="3560"/>
    <cellStyle name="Percent 2 2 2 8 2" xfId="3561"/>
    <cellStyle name="Percent 2 2 2 9" xfId="3562"/>
    <cellStyle name="Percent 2 2 2 9 2" xfId="3563"/>
    <cellStyle name="Percent 2 2 3 2" xfId="3564"/>
    <cellStyle name="Percent 2 2 3 2 2" xfId="3565"/>
    <cellStyle name="Percent 2 2 3 2 2 2" xfId="3566"/>
    <cellStyle name="Percent 2 2 3 2 2 2 2" xfId="3567"/>
    <cellStyle name="Percent 2 2 3 2 2 3" xfId="3568"/>
    <cellStyle name="Percent 2 2 3 2 2 3 2" xfId="3569"/>
    <cellStyle name="Percent 2 2 3 2 2 4" xfId="3570"/>
    <cellStyle name="Percent 2 2 3 2 3" xfId="3571"/>
    <cellStyle name="Percent 2 2 3 2 3 2" xfId="3572"/>
    <cellStyle name="Percent 2 2 3 2 3 2 2" xfId="3573"/>
    <cellStyle name="Percent 2 2 3 2 3 3" xfId="3574"/>
    <cellStyle name="Percent 2 2 3 2 3 3 2" xfId="3575"/>
    <cellStyle name="Percent 2 2 3 2 3 4" xfId="3576"/>
    <cellStyle name="Percent 2 2 3 2 4" xfId="3577"/>
    <cellStyle name="Percent 2 2 3 2 4 2" xfId="3578"/>
    <cellStyle name="Percent 2 2 3 2 5" xfId="3579"/>
    <cellStyle name="Percent 2 2 3 2 5 2" xfId="3580"/>
    <cellStyle name="Percent 2 2 3 2 6" xfId="3581"/>
    <cellStyle name="Percent 2 2 3 3" xfId="3582"/>
    <cellStyle name="Percent 2 2 3 3 2" xfId="3583"/>
    <cellStyle name="Percent 2 2 3 3 2 2" xfId="3584"/>
    <cellStyle name="Percent 2 2 3 3 3" xfId="3585"/>
    <cellStyle name="Percent 2 2 3 3 3 2" xfId="3586"/>
    <cellStyle name="Percent 2 2 3 3 4" xfId="3587"/>
    <cellStyle name="Percent 2 2 3 4" xfId="3588"/>
    <cellStyle name="Percent 2 2 3 4 2" xfId="3589"/>
    <cellStyle name="Percent 2 2 3 4 2 2" xfId="3590"/>
    <cellStyle name="Percent 2 2 3 4 3" xfId="3591"/>
    <cellStyle name="Percent 2 2 3 4 3 2" xfId="3592"/>
    <cellStyle name="Percent 2 2 3 4 4" xfId="3593"/>
    <cellStyle name="Percent 2 2 3 5" xfId="3594"/>
    <cellStyle name="Percent 2 2 3 5 2" xfId="3595"/>
    <cellStyle name="Percent 2 2 3 5 2 2" xfId="3596"/>
    <cellStyle name="Percent 2 2 3 5 3" xfId="3597"/>
    <cellStyle name="Percent 2 2 3 5 3 2" xfId="3598"/>
    <cellStyle name="Percent 2 2 3 5 4" xfId="3599"/>
    <cellStyle name="Percent 2 2 3 6" xfId="3600"/>
    <cellStyle name="Percent 2 2 3 6 2" xfId="3601"/>
    <cellStyle name="Percent 2 2 3 7" xfId="3602"/>
    <cellStyle name="Percent 2 2 3 7 2" xfId="3603"/>
    <cellStyle name="Percent 2 2 3 8" xfId="3604"/>
    <cellStyle name="Percent 2 2 3 9" xfId="3605"/>
    <cellStyle name="Percent 2 2 4" xfId="3606"/>
    <cellStyle name="Percent 2 2 4 2" xfId="3607"/>
    <cellStyle name="Percent 2 2 4 2 2" xfId="3608"/>
    <cellStyle name="Percent 2 2 4 2 2 2" xfId="3609"/>
    <cellStyle name="Percent 2 2 4 2 3" xfId="3610"/>
    <cellStyle name="Percent 2 2 4 2 3 2" xfId="3611"/>
    <cellStyle name="Percent 2 2 4 2 4" xfId="3612"/>
    <cellStyle name="Percent 2 2 4 3" xfId="3613"/>
    <cellStyle name="Percent 2 2 4 3 2" xfId="3614"/>
    <cellStyle name="Percent 2 2 4 3 2 2" xfId="3615"/>
    <cellStyle name="Percent 2 2 4 3 3" xfId="3616"/>
    <cellStyle name="Percent 2 2 4 3 3 2" xfId="3617"/>
    <cellStyle name="Percent 2 2 4 3 4" xfId="3618"/>
    <cellStyle name="Percent 2 2 4 4" xfId="3619"/>
    <cellStyle name="Percent 2 2 4 4 2" xfId="3620"/>
    <cellStyle name="Percent 2 2 4 5" xfId="3621"/>
    <cellStyle name="Percent 2 2 4 5 2" xfId="3622"/>
    <cellStyle name="Percent 2 2 4 6" xfId="3623"/>
    <cellStyle name="Percent 2 2 5" xfId="3624"/>
    <cellStyle name="Percent 2 2 5 2" xfId="3625"/>
    <cellStyle name="Percent 2 2 5 2 2" xfId="3626"/>
    <cellStyle name="Percent 2 2 5 2 2 2" xfId="3627"/>
    <cellStyle name="Percent 2 2 5 2 3" xfId="3628"/>
    <cellStyle name="Percent 2 2 5 2 3 2" xfId="3629"/>
    <cellStyle name="Percent 2 2 5 2 4" xfId="3630"/>
    <cellStyle name="Percent 2 2 5 3" xfId="3631"/>
    <cellStyle name="Percent 2 2 5 3 2" xfId="3632"/>
    <cellStyle name="Percent 2 2 5 3 2 2" xfId="3633"/>
    <cellStyle name="Percent 2 2 5 3 3" xfId="3634"/>
    <cellStyle name="Percent 2 2 5 3 3 2" xfId="3635"/>
    <cellStyle name="Percent 2 2 5 3 4" xfId="3636"/>
    <cellStyle name="Percent 2 2 5 4" xfId="3637"/>
    <cellStyle name="Percent 2 2 5 4 2" xfId="3638"/>
    <cellStyle name="Percent 2 2 5 5" xfId="3639"/>
    <cellStyle name="Percent 2 2 5 5 2" xfId="3640"/>
    <cellStyle name="Percent 2 2 5 6" xfId="3641"/>
    <cellStyle name="Percent 2 2 6" xfId="3642"/>
    <cellStyle name="Percent 2 2 6 2" xfId="3643"/>
    <cellStyle name="Percent 2 2 6 2 2" xfId="3644"/>
    <cellStyle name="Percent 2 2 6 2 2 2" xfId="3645"/>
    <cellStyle name="Percent 2 2 6 2 3" xfId="3646"/>
    <cellStyle name="Percent 2 2 6 2 3 2" xfId="3647"/>
    <cellStyle name="Percent 2 2 6 2 4" xfId="3648"/>
    <cellStyle name="Percent 2 2 6 3" xfId="3649"/>
    <cellStyle name="Percent 2 2 6 3 2" xfId="3650"/>
    <cellStyle name="Percent 2 2 6 4" xfId="3651"/>
    <cellStyle name="Percent 2 2 6 4 2" xfId="3652"/>
    <cellStyle name="Percent 2 2 6 5" xfId="3653"/>
    <cellStyle name="Percent 2 2 7" xfId="3654"/>
    <cellStyle name="Percent 2 2 7 2" xfId="3655"/>
    <cellStyle name="Percent 2 2 7 2 2" xfId="3656"/>
    <cellStyle name="Percent 2 2 7 2 2 2" xfId="3657"/>
    <cellStyle name="Percent 2 2 7 2 3" xfId="3658"/>
    <cellStyle name="Percent 2 2 7 2 3 2" xfId="3659"/>
    <cellStyle name="Percent 2 2 7 2 4" xfId="3660"/>
    <cellStyle name="Percent 2 2 7 3" xfId="3661"/>
    <cellStyle name="Percent 2 2 7 3 2" xfId="3662"/>
    <cellStyle name="Percent 2 2 7 4" xfId="3663"/>
    <cellStyle name="Percent 2 2 7 4 2" xfId="3664"/>
    <cellStyle name="Percent 2 2 7 5" xfId="3665"/>
    <cellStyle name="Percent 2 2 8" xfId="3666"/>
    <cellStyle name="Percent 2 2 8 2" xfId="3667"/>
    <cellStyle name="Percent 2 2 8 2 2" xfId="3668"/>
    <cellStyle name="Percent 2 2 8 2 2 2" xfId="3669"/>
    <cellStyle name="Percent 2 2 8 2 3" xfId="3670"/>
    <cellStyle name="Percent 2 2 8 2 3 2" xfId="3671"/>
    <cellStyle name="Percent 2 2 8 2 4" xfId="3672"/>
    <cellStyle name="Percent 2 2 8 3" xfId="3673"/>
    <cellStyle name="Percent 2 2 8 3 2" xfId="3674"/>
    <cellStyle name="Percent 2 2 8 4" xfId="3675"/>
    <cellStyle name="Percent 2 2 8 4 2" xfId="3676"/>
    <cellStyle name="Percent 2 2 8 5" xfId="3677"/>
    <cellStyle name="Percent 2 2 9" xfId="3678"/>
    <cellStyle name="Percent 2 2 9 2" xfId="3679"/>
    <cellStyle name="Percent 2 2 9 2 2" xfId="3680"/>
    <cellStyle name="Percent 2 2 9 2 2 2" xfId="3681"/>
    <cellStyle name="Percent 2 2 9 2 3" xfId="3682"/>
    <cellStyle name="Percent 2 2 9 2 3 2" xfId="3683"/>
    <cellStyle name="Percent 2 2 9 2 4" xfId="3684"/>
    <cellStyle name="Percent 2 2 9 3" xfId="3685"/>
    <cellStyle name="Percent 2 2 9 3 2" xfId="3686"/>
    <cellStyle name="Percent 2 2 9 4" xfId="3687"/>
    <cellStyle name="Percent 2 2 9 4 2" xfId="3688"/>
    <cellStyle name="Percent 2 2 9 5" xfId="3689"/>
    <cellStyle name="Percent 2 3" xfId="3690"/>
    <cellStyle name="Percent 2 4" xfId="3691"/>
    <cellStyle name="Percent 2 5" xfId="3692"/>
    <cellStyle name="Percent 2 6" xfId="3693"/>
    <cellStyle name="Percent 2_Sheet1" xfId="3694"/>
    <cellStyle name="Percent 20" xfId="3695"/>
    <cellStyle name="Percent 20 2" xfId="3696"/>
    <cellStyle name="Percent 20 2 2" xfId="3697"/>
    <cellStyle name="Percent 20 3" xfId="3698"/>
    <cellStyle name="Percent 20 3 2" xfId="3699"/>
    <cellStyle name="Percent 20 4" xfId="3700"/>
    <cellStyle name="Percent 21" xfId="3701"/>
    <cellStyle name="Percent 21 2" xfId="3702"/>
    <cellStyle name="Percent 21 2 2" xfId="3703"/>
    <cellStyle name="Percent 21 3" xfId="3704"/>
    <cellStyle name="Percent 21 3 2" xfId="3705"/>
    <cellStyle name="Percent 21 4" xfId="3706"/>
    <cellStyle name="Percent 22" xfId="3707"/>
    <cellStyle name="Percent 23" xfId="3708"/>
    <cellStyle name="Percent 23 2" xfId="3709"/>
    <cellStyle name="Percent 23 2 2" xfId="3710"/>
    <cellStyle name="Percent 23 3" xfId="3711"/>
    <cellStyle name="Percent 23 3 2" xfId="3712"/>
    <cellStyle name="Percent 23 4" xfId="3713"/>
    <cellStyle name="Percent 24" xfId="3714"/>
    <cellStyle name="Percent 25" xfId="3715"/>
    <cellStyle name="Percent 26" xfId="3716"/>
    <cellStyle name="Percent 27" xfId="3717"/>
    <cellStyle name="Percent 28" xfId="3718"/>
    <cellStyle name="Percent 29" xfId="3719"/>
    <cellStyle name="Percent 3 2" xfId="3720"/>
    <cellStyle name="Percent 3 2 2" xfId="3721"/>
    <cellStyle name="Percent 3 3" xfId="3722"/>
    <cellStyle name="Percent 3 3 2" xfId="3723"/>
    <cellStyle name="Percent 3 3 2 2" xfId="3724"/>
    <cellStyle name="Percent 3 3 3" xfId="3725"/>
    <cellStyle name="Percent 3 3 3 2" xfId="3726"/>
    <cellStyle name="Percent 3 3 4" xfId="3727"/>
    <cellStyle name="Percent 3 4" xfId="3728"/>
    <cellStyle name="Percent 3 4 2" xfId="3729"/>
    <cellStyle name="Percent 3 4 2 2" xfId="3730"/>
    <cellStyle name="Percent 3 4 3" xfId="3731"/>
    <cellStyle name="Percent 3 4 3 2" xfId="3732"/>
    <cellStyle name="Percent 3 4 4" xfId="3733"/>
    <cellStyle name="Percent 3 5" xfId="3734"/>
    <cellStyle name="Percent 3 5 2" xfId="3735"/>
    <cellStyle name="Percent 3 5 2 2" xfId="3736"/>
    <cellStyle name="Percent 3 5 3" xfId="3737"/>
    <cellStyle name="Percent 3 5 3 2" xfId="3738"/>
    <cellStyle name="Percent 3 5 4" xfId="3739"/>
    <cellStyle name="Percent 3 6" xfId="3740"/>
    <cellStyle name="Percent 3 6 2" xfId="3741"/>
    <cellStyle name="Percent 3 6 2 2" xfId="3742"/>
    <cellStyle name="Percent 3 6 2 2 2" xfId="3743"/>
    <cellStyle name="Percent 3 6 2 3" xfId="3744"/>
    <cellStyle name="Percent 3 6 2 3 2" xfId="3745"/>
    <cellStyle name="Percent 3 6 2 4" xfId="3746"/>
    <cellStyle name="Percent 3 6 3" xfId="3747"/>
    <cellStyle name="Percent 3 6 3 2" xfId="3748"/>
    <cellStyle name="Percent 3 6 3 2 2" xfId="3749"/>
    <cellStyle name="Percent 3 6 3 3" xfId="3750"/>
    <cellStyle name="Percent 3 6 3 3 2" xfId="3751"/>
    <cellStyle name="Percent 3 6 3 4" xfId="3752"/>
    <cellStyle name="Percent 3 6 4" xfId="3753"/>
    <cellStyle name="Percent 3 6 4 2" xfId="3754"/>
    <cellStyle name="Percent 3 6 5" xfId="3755"/>
    <cellStyle name="Percent 3 6 5 2" xfId="3756"/>
    <cellStyle name="Percent 3 6 6" xfId="3757"/>
    <cellStyle name="Percent 3 7" xfId="3758"/>
    <cellStyle name="Percent 3 8" xfId="3759"/>
    <cellStyle name="Percent 30" xfId="3760"/>
    <cellStyle name="Percent 31" xfId="3761"/>
    <cellStyle name="Percent 32" xfId="3762"/>
    <cellStyle name="Percent 33" xfId="3763"/>
    <cellStyle name="Percent 34" xfId="3764"/>
    <cellStyle name="Percent 4 2" xfId="3765"/>
    <cellStyle name="Percent 4 3" xfId="3766"/>
    <cellStyle name="Percent 4 4" xfId="3767"/>
    <cellStyle name="Percent 4 5" xfId="3768"/>
    <cellStyle name="Percent 4 6" xfId="3769"/>
    <cellStyle name="Percent 5 2" xfId="3770"/>
    <cellStyle name="Percent 5 2 2" xfId="3771"/>
    <cellStyle name="Percent 5 2 2 2" xfId="3772"/>
    <cellStyle name="Percent 5 2 3" xfId="3773"/>
    <cellStyle name="Percent 5 2 3 2" xfId="3774"/>
    <cellStyle name="Percent 5 2 4" xfId="3775"/>
    <cellStyle name="Percent 5 3" xfId="3776"/>
    <cellStyle name="Percent 5 3 2" xfId="3777"/>
    <cellStyle name="Percent 5 3 2 2" xfId="3778"/>
    <cellStyle name="Percent 5 3 3" xfId="3779"/>
    <cellStyle name="Percent 5 3 3 2" xfId="3780"/>
    <cellStyle name="Percent 5 3 4" xfId="3781"/>
    <cellStyle name="Percent 5 4" xfId="3782"/>
    <cellStyle name="Percent 5 4 2" xfId="3783"/>
    <cellStyle name="Percent 5 4 2 2" xfId="3784"/>
    <cellStyle name="Percent 5 4 3" xfId="3785"/>
    <cellStyle name="Percent 5 4 3 2" xfId="3786"/>
    <cellStyle name="Percent 5 4 4" xfId="3787"/>
    <cellStyle name="Percent 5 5" xfId="3788"/>
    <cellStyle name="Percent 5 5 2" xfId="3789"/>
    <cellStyle name="Percent 5 6" xfId="3790"/>
    <cellStyle name="Percent 5 6 2" xfId="3791"/>
    <cellStyle name="Percent 5 7" xfId="3792"/>
    <cellStyle name="Percent 5 8" xfId="3793"/>
    <cellStyle name="Percent 5 9" xfId="3794"/>
    <cellStyle name="Percent 6" xfId="3795"/>
    <cellStyle name="Percent 6 2" xfId="3796"/>
    <cellStyle name="Percent 6 2 2" xfId="3797"/>
    <cellStyle name="Percent 6 2 2 2" xfId="3798"/>
    <cellStyle name="Percent 6 2 3" xfId="3799"/>
    <cellStyle name="Percent 6 2 3 2" xfId="3800"/>
    <cellStyle name="Percent 6 2 4" xfId="3801"/>
    <cellStyle name="Percent 6 3" xfId="3802"/>
    <cellStyle name="Percent 6 3 2" xfId="3803"/>
    <cellStyle name="Percent 6 3 2 2" xfId="3804"/>
    <cellStyle name="Percent 6 3 3" xfId="3805"/>
    <cellStyle name="Percent 6 3 3 2" xfId="3806"/>
    <cellStyle name="Percent 6 3 4" xfId="3807"/>
    <cellStyle name="Percent 6 4" xfId="3808"/>
    <cellStyle name="Percent 6 4 2" xfId="3809"/>
    <cellStyle name="Percent 6 4 2 2" xfId="3810"/>
    <cellStyle name="Percent 6 4 3" xfId="3811"/>
    <cellStyle name="Percent 6 4 3 2" xfId="3812"/>
    <cellStyle name="Percent 6 4 4" xfId="3813"/>
    <cellStyle name="Percent 6 5" xfId="3814"/>
    <cellStyle name="Percent 6 5 2" xfId="3815"/>
    <cellStyle name="Percent 6 5 2 2" xfId="3816"/>
    <cellStyle name="Percent 6 5 3" xfId="3817"/>
    <cellStyle name="Percent 6 5 3 2" xfId="3818"/>
    <cellStyle name="Percent 6 5 4" xfId="3819"/>
    <cellStyle name="Percent 6 6" xfId="3820"/>
    <cellStyle name="Percent 6 6 2" xfId="3821"/>
    <cellStyle name="Percent 6 7" xfId="3822"/>
    <cellStyle name="Percent 6 7 2" xfId="3823"/>
    <cellStyle name="Percent 6 8" xfId="3824"/>
    <cellStyle name="Percent 7" xfId="3825"/>
    <cellStyle name="Percent 7 2" xfId="3826"/>
    <cellStyle name="Percent 7 2 2" xfId="3827"/>
    <cellStyle name="Percent 7 2 2 2" xfId="3828"/>
    <cellStyle name="Percent 7 2 3" xfId="3829"/>
    <cellStyle name="Percent 7 2 3 2" xfId="3830"/>
    <cellStyle name="Percent 7 2 4" xfId="3831"/>
    <cellStyle name="Percent 7 3" xfId="3832"/>
    <cellStyle name="Percent 7 3 2" xfId="3833"/>
    <cellStyle name="Percent 7 3 2 2" xfId="3834"/>
    <cellStyle name="Percent 7 3 3" xfId="3835"/>
    <cellStyle name="Percent 7 3 3 2" xfId="3836"/>
    <cellStyle name="Percent 7 3 4" xfId="3837"/>
    <cellStyle name="Percent 7 4" xfId="3838"/>
    <cellStyle name="Percent 7 4 2" xfId="3839"/>
    <cellStyle name="Percent 7 4 2 2" xfId="3840"/>
    <cellStyle name="Percent 7 4 3" xfId="3841"/>
    <cellStyle name="Percent 7 4 3 2" xfId="3842"/>
    <cellStyle name="Percent 7 4 4" xfId="3843"/>
    <cellStyle name="Percent 7 5" xfId="3844"/>
    <cellStyle name="Percent 7 5 2" xfId="3845"/>
    <cellStyle name="Percent 7 5 2 2" xfId="3846"/>
    <cellStyle name="Percent 7 5 3" xfId="3847"/>
    <cellStyle name="Percent 7 5 3 2" xfId="3848"/>
    <cellStyle name="Percent 7 5 4" xfId="3849"/>
    <cellStyle name="Percent 7 6" xfId="3850"/>
    <cellStyle name="Percent 7 6 2" xfId="3851"/>
    <cellStyle name="Percent 7 7" xfId="3852"/>
    <cellStyle name="Percent 7 7 2" xfId="3853"/>
    <cellStyle name="Percent 7 8" xfId="3854"/>
    <cellStyle name="Percent 8" xfId="3855"/>
    <cellStyle name="Percent 8 2" xfId="3856"/>
    <cellStyle name="Percent 8 3" xfId="3857"/>
    <cellStyle name="Percent 8 3 2" xfId="3858"/>
    <cellStyle name="Percent 8 4" xfId="3859"/>
    <cellStyle name="Percent 8 4 2" xfId="3860"/>
    <cellStyle name="Percent 8 5" xfId="3861"/>
    <cellStyle name="Percent 9" xfId="3862"/>
    <cellStyle name="Percent 9 10" xfId="3863"/>
    <cellStyle name="Percent 9 10 2" xfId="3864"/>
    <cellStyle name="Percent 9 11" xfId="3865"/>
    <cellStyle name="Percent 9 2" xfId="3866"/>
    <cellStyle name="Percent 9 2 2" xfId="3867"/>
    <cellStyle name="Percent 9 2 2 2" xfId="3868"/>
    <cellStyle name="Percent 9 2 3" xfId="3869"/>
    <cellStyle name="Percent 9 2 3 2" xfId="3870"/>
    <cellStyle name="Percent 9 2 4" xfId="3871"/>
    <cellStyle name="Percent 9 3" xfId="3872"/>
    <cellStyle name="Percent 9 3 2" xfId="3873"/>
    <cellStyle name="Percent 9 3 2 2" xfId="3874"/>
    <cellStyle name="Percent 9 3 3" xfId="3875"/>
    <cellStyle name="Percent 9 3 3 2" xfId="3876"/>
    <cellStyle name="Percent 9 3 4" xfId="3877"/>
    <cellStyle name="Percent 9 4" xfId="3878"/>
    <cellStyle name="Percent 9 4 2" xfId="3879"/>
    <cellStyle name="Percent 9 4 2 2" xfId="3880"/>
    <cellStyle name="Percent 9 4 3" xfId="3881"/>
    <cellStyle name="Percent 9 4 3 2" xfId="3882"/>
    <cellStyle name="Percent 9 4 4" xfId="3883"/>
    <cellStyle name="Percent 9 5" xfId="3884"/>
    <cellStyle name="Percent 9 5 2" xfId="3885"/>
    <cellStyle name="Percent 9 5 2 2" xfId="3886"/>
    <cellStyle name="Percent 9 5 3" xfId="3887"/>
    <cellStyle name="Percent 9 5 3 2" xfId="3888"/>
    <cellStyle name="Percent 9 5 4" xfId="3889"/>
    <cellStyle name="Percent 9 6" xfId="3890"/>
    <cellStyle name="Percent 9 6 2" xfId="3891"/>
    <cellStyle name="Percent 9 6 2 2" xfId="3892"/>
    <cellStyle name="Percent 9 6 3" xfId="3893"/>
    <cellStyle name="Percent 9 6 3 2" xfId="3894"/>
    <cellStyle name="Percent 9 6 4" xfId="3895"/>
    <cellStyle name="Percent 9 7" xfId="3896"/>
    <cellStyle name="Percent 9 7 2" xfId="3897"/>
    <cellStyle name="Percent 9 7 2 2" xfId="3898"/>
    <cellStyle name="Percent 9 7 3" xfId="3899"/>
    <cellStyle name="Percent 9 7 3 2" xfId="3900"/>
    <cellStyle name="Percent 9 7 4" xfId="3901"/>
    <cellStyle name="Percent 9 8" xfId="3902"/>
    <cellStyle name="Percent 9 8 2" xfId="3903"/>
    <cellStyle name="Percent 9 8 2 2" xfId="3904"/>
    <cellStyle name="Percent 9 8 3" xfId="3905"/>
    <cellStyle name="Percent 9 8 3 2" xfId="3906"/>
    <cellStyle name="Percent 9 8 4" xfId="3907"/>
    <cellStyle name="Percent 9 9" xfId="3908"/>
    <cellStyle name="Percent 9 9 2" xfId="3909"/>
    <cellStyle name="Result 2" xfId="3910"/>
    <cellStyle name="Result 3" xfId="3911"/>
    <cellStyle name="Result_AGL" xfId="3912"/>
    <cellStyle name="Result2 2" xfId="3913"/>
    <cellStyle name="Result2 3" xfId="3914"/>
    <cellStyle name="Result2_AGL" xfId="3915"/>
    <cellStyle name="Standard_Tables  Draft Report" xfId="3916"/>
    <cellStyle name="Style 1" xfId="3917"/>
    <cellStyle name="Style 1 2" xfId="3918"/>
    <cellStyle name="Style 1 3" xfId="3919"/>
    <cellStyle name="Style 1_AGL" xfId="3920"/>
    <cellStyle name="Table_HeaderRow" xfId="3921"/>
    <cellStyle name="Title 2" xfId="3922"/>
    <cellStyle name="Total 2" xfId="3923"/>
    <cellStyle name="Total 2 2" xfId="3924"/>
    <cellStyle name="Total 2 2 2" xfId="3925"/>
    <cellStyle name="Total 2 2_Sheet10" xfId="3926"/>
    <cellStyle name="Total 2 3" xfId="3927"/>
    <cellStyle name="Total 2_AGL" xfId="3928"/>
    <cellStyle name="Total 3" xfId="3929"/>
    <cellStyle name="Total 3 2" xfId="3930"/>
    <cellStyle name="Total 3_Sheet10" xfId="3931"/>
    <cellStyle name="Total 4" xfId="3932"/>
    <cellStyle name="Update" xfId="3933"/>
    <cellStyle name="Warning Text 2" xfId="3934"/>
    <cellStyle name="Warning Text 2 2" xfId="3935"/>
    <cellStyle name="Warning Text 2 3" xfId="3936"/>
    <cellStyle name="Warning Text 2_AGL" xfId="3937"/>
    <cellStyle name="Warning Text 3" xfId="3938"/>
    <cellStyle name="Warning Text 4" xfId="3939"/>
    <cellStyle name="標準 2" xfId="3940"/>
    <cellStyle name="標準_Sheet1 2" xfId="3941"/>
    <cellStyle name="Hyperlink" xfId="3942" hidden="1" builtinId="8"/>
    <cellStyle name="Followed Hyperlink" xfId="3943" hidden="1" builtinId="9"/>
    <cellStyle name="Hyperlink" xfId="3944" hidden="1" builtinId="8"/>
    <cellStyle name="Followed Hyperlink" xfId="3945" hidden="1" builtinId="9"/>
    <cellStyle name="Hyperlink" xfId="3946" hidden="1" builtinId="8"/>
    <cellStyle name="Followed Hyperlink" xfId="3947" hidden="1" builtinId="9"/>
    <cellStyle name="Hyperlink" xfId="3948" hidden="1" builtinId="8"/>
    <cellStyle name="Followed Hyperlink" xfId="3949" hidden="1" builtinId="9"/>
    <cellStyle name="Hyperlink" xfId="3950" hidden="1" builtinId="8"/>
    <cellStyle name="Followed Hyperlink" xfId="3951" hidden="1" builtinId="9"/>
    <cellStyle name="Hyperlink" xfId="3952" hidden="1" builtinId="8"/>
    <cellStyle name="Followed Hyperlink" xfId="3953" hidden="1" builtinId="9"/>
    <cellStyle name="Hyperlink" xfId="3954" hidden="1" builtinId="8"/>
    <cellStyle name="Followed Hyperlink" xfId="3955" hidden="1" builtinId="9"/>
    <cellStyle name="Hyperlink" xfId="3956" hidden="1" builtinId="8"/>
    <cellStyle name="Followed Hyperlink" xfId="3957" hidden="1" builtinId="9"/>
    <cellStyle name="Hyperlink" xfId="3958" hidden="1" builtinId="8"/>
    <cellStyle name="Followed Hyperlink" xfId="3959" hidden="1" builtinId="9"/>
    <cellStyle name="Hyperlink" xfId="3960" hidden="1" builtinId="8"/>
    <cellStyle name="Followed Hyperlink" xfId="3961" hidden="1" builtinId="9"/>
    <cellStyle name="Hyperlink" xfId="3962" hidden="1" builtinId="8"/>
    <cellStyle name="Followed Hyperlink" xfId="3963" hidden="1" builtinId="9"/>
    <cellStyle name="Comma 3 2 3" xfId="3964"/>
    <cellStyle name="Advanced user input 2 4" xfId="3965"/>
    <cellStyle name="Advanced user input 2 2 3" xfId="3966"/>
    <cellStyle name="Advanced user input 3 3" xfId="3967"/>
    <cellStyle name="Basic User Data Input 2 4" xfId="3968"/>
    <cellStyle name="Basic User Data Input 2 2 3" xfId="3969"/>
    <cellStyle name="Basic User Data Input 3 3" xfId="3970"/>
    <cellStyle name="Basic User Selection 2 4" xfId="3971"/>
    <cellStyle name="Basic User Selection 2 2 3" xfId="3972"/>
    <cellStyle name="Basic User Selection 3 3" xfId="3973"/>
    <cellStyle name="Calculation 2 2 4" xfId="3974"/>
    <cellStyle name="Calculation 2 2 2 3" xfId="3975"/>
    <cellStyle name="Calculation 2 3 3" xfId="3976"/>
    <cellStyle name="Calculation 3 2 4" xfId="3977"/>
    <cellStyle name="Calculation 3 2 2 3" xfId="3978"/>
    <cellStyle name="Calculation 3 3 3" xfId="3979"/>
    <cellStyle name="Calculation 4 2 4" xfId="3980"/>
    <cellStyle name="Calculation 4 2 2 3" xfId="3981"/>
    <cellStyle name="Calculation 4 3 3" xfId="3982"/>
    <cellStyle name="Calculation 5 4" xfId="3983"/>
    <cellStyle name="Calculation 5 2 3" xfId="3984"/>
    <cellStyle name="Calculation 6 3" xfId="3985"/>
    <cellStyle name="Comma [0] 2 4" xfId="3986"/>
    <cellStyle name="Comma [0] 2 2 2" xfId="3987"/>
    <cellStyle name="Comma [0] 2 3 2" xfId="3988"/>
    <cellStyle name="Comma 10 2 5" xfId="3989"/>
    <cellStyle name="Comma 10 2 2 3" xfId="3990"/>
    <cellStyle name="Comma 10 2 2 2 2" xfId="3991"/>
    <cellStyle name="Comma 10 2 3 3" xfId="3992"/>
    <cellStyle name="Comma 10 2 3 2 2" xfId="3993"/>
    <cellStyle name="Comma 10 2 4 2" xfId="3994"/>
    <cellStyle name="Comma 10 3 5" xfId="3995"/>
    <cellStyle name="Comma 10 3 2 3" xfId="3996"/>
    <cellStyle name="Comma 10 3 2 2 2" xfId="3997"/>
    <cellStyle name="Comma 10 3 3 3" xfId="3998"/>
    <cellStyle name="Comma 10 3 3 2 2" xfId="3999"/>
    <cellStyle name="Comma 10 3 4 2" xfId="4000"/>
    <cellStyle name="Comma 10 4 5" xfId="4001"/>
    <cellStyle name="Comma 10 4 2 3" xfId="4002"/>
    <cellStyle name="Comma 10 4 2 2 2" xfId="4003"/>
    <cellStyle name="Comma 10 4 3 3" xfId="4004"/>
    <cellStyle name="Comma 10 4 3 2 2" xfId="4005"/>
    <cellStyle name="Comma 10 4 4 2" xfId="4006"/>
    <cellStyle name="Comma 10 5 5" xfId="4007"/>
    <cellStyle name="Comma 10 5 2 3" xfId="4008"/>
    <cellStyle name="Comma 10 5 2 2 2" xfId="4009"/>
    <cellStyle name="Comma 10 5 3 3" xfId="4010"/>
    <cellStyle name="Comma 10 5 3 2 2" xfId="4011"/>
    <cellStyle name="Comma 10 5 4 2" xfId="4012"/>
    <cellStyle name="Comma 11 2 5" xfId="4013"/>
    <cellStyle name="Comma 11 2 2 3" xfId="4014"/>
    <cellStyle name="Comma 11 2 2 2 2" xfId="4015"/>
    <cellStyle name="Comma 11 2 3 3" xfId="4016"/>
    <cellStyle name="Comma 11 2 3 2 2" xfId="4017"/>
    <cellStyle name="Comma 11 2 4 2" xfId="4018"/>
    <cellStyle name="Comma 11 3 5" xfId="4019"/>
    <cellStyle name="Comma 11 3 2 3" xfId="4020"/>
    <cellStyle name="Comma 11 3 2 2 2" xfId="4021"/>
    <cellStyle name="Comma 11 3 3 3" xfId="4022"/>
    <cellStyle name="Comma 11 3 3 2 2" xfId="4023"/>
    <cellStyle name="Comma 11 3 4 2" xfId="4024"/>
    <cellStyle name="Comma 11 4 5" xfId="4025"/>
    <cellStyle name="Comma 11 4 2 3" xfId="4026"/>
    <cellStyle name="Comma 11 4 2 2 2" xfId="4027"/>
    <cellStyle name="Comma 11 4 3 3" xfId="4028"/>
    <cellStyle name="Comma 11 4 3 2 2" xfId="4029"/>
    <cellStyle name="Comma 11 4 4 2" xfId="4030"/>
    <cellStyle name="Comma 11 5 5" xfId="4031"/>
    <cellStyle name="Comma 11 5 2 3" xfId="4032"/>
    <cellStyle name="Comma 11 5 2 2 2" xfId="4033"/>
    <cellStyle name="Comma 11 5 3 3" xfId="4034"/>
    <cellStyle name="Comma 11 5 3 2 2" xfId="4035"/>
    <cellStyle name="Comma 11 5 4 2" xfId="4036"/>
    <cellStyle name="Comma 12 5" xfId="4037"/>
    <cellStyle name="Comma 12 2 3" xfId="4038"/>
    <cellStyle name="Comma 12 2 2 2" xfId="4039"/>
    <cellStyle name="Comma 12 3 3" xfId="4040"/>
    <cellStyle name="Comma 12 3 2 2" xfId="4041"/>
    <cellStyle name="Comma 12 4 2" xfId="4042"/>
    <cellStyle name="Comma 13 5" xfId="4043"/>
    <cellStyle name="Comma 13 2 3" xfId="4044"/>
    <cellStyle name="Comma 13 2 2 2" xfId="4045"/>
    <cellStyle name="Comma 13 3 3" xfId="4046"/>
    <cellStyle name="Comma 13 3 2 2" xfId="4047"/>
    <cellStyle name="Comma 13 4 2" xfId="4048"/>
    <cellStyle name="Comma 14 5" xfId="4049"/>
    <cellStyle name="Comma 14 2 3" xfId="4050"/>
    <cellStyle name="Comma 14 2 2 2" xfId="4051"/>
    <cellStyle name="Comma 14 3 3" xfId="4052"/>
    <cellStyle name="Comma 14 3 2 2" xfId="4053"/>
    <cellStyle name="Comma 14 4 2" xfId="4054"/>
    <cellStyle name="Comma 15 5" xfId="4055"/>
    <cellStyle name="Comma 15 2 3" xfId="4056"/>
    <cellStyle name="Comma 15 2 2 2" xfId="4057"/>
    <cellStyle name="Comma 15 3 3" xfId="4058"/>
    <cellStyle name="Comma 15 3 2 2" xfId="4059"/>
    <cellStyle name="Comma 15 4 2" xfId="4060"/>
    <cellStyle name="Comma 16 5" xfId="4061"/>
    <cellStyle name="Comma 16 2 3" xfId="4062"/>
    <cellStyle name="Comma 16 2 2 2" xfId="4063"/>
    <cellStyle name="Comma 16 3 3" xfId="4064"/>
    <cellStyle name="Comma 16 3 2 2" xfId="4065"/>
    <cellStyle name="Comma 16 4 2" xfId="4066"/>
    <cellStyle name="Comma 17 5" xfId="4067"/>
    <cellStyle name="Comma 17 2 3" xfId="4068"/>
    <cellStyle name="Comma 17 2 2 2" xfId="4069"/>
    <cellStyle name="Comma 17 3 3" xfId="4070"/>
    <cellStyle name="Comma 17 3 2 2" xfId="4071"/>
    <cellStyle name="Comma 17 4 2" xfId="4072"/>
    <cellStyle name="Comma 18 5" xfId="4073"/>
    <cellStyle name="Comma 18 2 3" xfId="4074"/>
    <cellStyle name="Comma 18 2 2 2" xfId="4075"/>
    <cellStyle name="Comma 18 3 3" xfId="4076"/>
    <cellStyle name="Comma 18 3 2 2" xfId="4077"/>
    <cellStyle name="Comma 18 4 2" xfId="4078"/>
    <cellStyle name="Comma 19 5" xfId="4079"/>
    <cellStyle name="Comma 19 2 3" xfId="4080"/>
    <cellStyle name="Comma 19 2 2 2" xfId="4081"/>
    <cellStyle name="Comma 19 3 3" xfId="4082"/>
    <cellStyle name="Comma 19 3 2 2" xfId="4083"/>
    <cellStyle name="Comma 19 4 2" xfId="4084"/>
    <cellStyle name="Comma 2 2 2 2" xfId="4085"/>
    <cellStyle name="Comma 2 3 2 2" xfId="4086"/>
    <cellStyle name="Comma 2 3 3 2" xfId="4087"/>
    <cellStyle name="Comma 2 9 2" xfId="4088"/>
    <cellStyle name="Comma 20 5" xfId="4089"/>
    <cellStyle name="Comma 20 2 3" xfId="4090"/>
    <cellStyle name="Comma 20 2 2 2" xfId="4091"/>
    <cellStyle name="Comma 20 3 3" xfId="4092"/>
    <cellStyle name="Comma 20 3 2 2" xfId="4093"/>
    <cellStyle name="Comma 20 4 2" xfId="4094"/>
    <cellStyle name="Comma 21 5" xfId="4095"/>
    <cellStyle name="Comma 21 2 3" xfId="4096"/>
    <cellStyle name="Comma 21 2 2 2" xfId="4097"/>
    <cellStyle name="Comma 21 3 3" xfId="4098"/>
    <cellStyle name="Comma 21 3 2 2" xfId="4099"/>
    <cellStyle name="Comma 21 4 2" xfId="4100"/>
    <cellStyle name="Comma 22 5" xfId="4101"/>
    <cellStyle name="Comma 22 2 3" xfId="4102"/>
    <cellStyle name="Comma 22 2 2 2" xfId="4103"/>
    <cellStyle name="Comma 22 3 3" xfId="4104"/>
    <cellStyle name="Comma 22 3 2 2" xfId="4105"/>
    <cellStyle name="Comma 22 4 2" xfId="4106"/>
    <cellStyle name="Comma 23 5" xfId="4107"/>
    <cellStyle name="Comma 23 2 3" xfId="4108"/>
    <cellStyle name="Comma 23 2 2 2" xfId="4109"/>
    <cellStyle name="Comma 23 3 3" xfId="4110"/>
    <cellStyle name="Comma 23 3 2 2" xfId="4111"/>
    <cellStyle name="Comma 23 4 2" xfId="4112"/>
    <cellStyle name="Comma 24 5" xfId="4113"/>
    <cellStyle name="Comma 24 2 3" xfId="4114"/>
    <cellStyle name="Comma 24 2 2 2" xfId="4115"/>
    <cellStyle name="Comma 24 3 3" xfId="4116"/>
    <cellStyle name="Comma 24 3 2 2" xfId="4117"/>
    <cellStyle name="Comma 24 4 2" xfId="4118"/>
    <cellStyle name="Comma 25 5" xfId="4119"/>
    <cellStyle name="Comma 25 2 3" xfId="4120"/>
    <cellStyle name="Comma 25 2 2 2" xfId="4121"/>
    <cellStyle name="Comma 25 3 3" xfId="4122"/>
    <cellStyle name="Comma 25 3 2 2" xfId="4123"/>
    <cellStyle name="Comma 25 4 2" xfId="4124"/>
    <cellStyle name="Comma 26 5" xfId="4125"/>
    <cellStyle name="Comma 26 2 3" xfId="4126"/>
    <cellStyle name="Comma 26 2 2 2" xfId="4127"/>
    <cellStyle name="Comma 26 3 3" xfId="4128"/>
    <cellStyle name="Comma 26 3 2 2" xfId="4129"/>
    <cellStyle name="Comma 26 4 2" xfId="4130"/>
    <cellStyle name="Comma 27 5" xfId="4131"/>
    <cellStyle name="Comma 27 2 3" xfId="4132"/>
    <cellStyle name="Comma 27 2 2 2" xfId="4133"/>
    <cellStyle name="Comma 27 3 3" xfId="4134"/>
    <cellStyle name="Comma 27 3 2 2" xfId="4135"/>
    <cellStyle name="Comma 27 4 2" xfId="4136"/>
    <cellStyle name="Comma 29 5" xfId="4137"/>
    <cellStyle name="Comma 29 2 3" xfId="4138"/>
    <cellStyle name="Comma 29 2 2 2" xfId="4139"/>
    <cellStyle name="Comma 29 3 3" xfId="4140"/>
    <cellStyle name="Comma 29 3 2 2" xfId="4141"/>
    <cellStyle name="Comma 29 4 2" xfId="4142"/>
    <cellStyle name="Comma 3 2 2 2" xfId="4143"/>
    <cellStyle name="Comma 3 3 2" xfId="4144"/>
    <cellStyle name="Comma 3 4 2" xfId="4145"/>
    <cellStyle name="Comma 30 2" xfId="4146"/>
    <cellStyle name="Comma 31 2" xfId="4147"/>
    <cellStyle name="Comma 32 2" xfId="4148"/>
    <cellStyle name="Comma 33 2" xfId="4149"/>
    <cellStyle name="Comma 34 2" xfId="4150"/>
    <cellStyle name="Comma 35 2" xfId="4151"/>
    <cellStyle name="Comma 36 2" xfId="4152"/>
    <cellStyle name="Comma 37 2" xfId="4153"/>
    <cellStyle name="Comma 38 2" xfId="4154"/>
    <cellStyle name="Comma 39 2" xfId="4155"/>
    <cellStyle name="Comma 4 10 2" xfId="4156"/>
    <cellStyle name="Comma 4 2 2" xfId="4157"/>
    <cellStyle name="Comma 4 3 5" xfId="4158"/>
    <cellStyle name="Comma 4 3 2 3" xfId="4159"/>
    <cellStyle name="Comma 4 3 2 2 2" xfId="4160"/>
    <cellStyle name="Comma 4 3 3 3" xfId="4161"/>
    <cellStyle name="Comma 4 3 3 2 2" xfId="4162"/>
    <cellStyle name="Comma 4 3 4 2" xfId="4163"/>
    <cellStyle name="Comma 4 4 5" xfId="4164"/>
    <cellStyle name="Comma 4 4 2 3" xfId="4165"/>
    <cellStyle name="Comma 4 4 2 2 2" xfId="4166"/>
    <cellStyle name="Comma 4 4 3 3" xfId="4167"/>
    <cellStyle name="Comma 4 4 3 2 2" xfId="4168"/>
    <cellStyle name="Comma 4 4 4 2" xfId="4169"/>
    <cellStyle name="Comma 4 6 3" xfId="4170"/>
    <cellStyle name="Comma 4 6 2 2" xfId="4171"/>
    <cellStyle name="Comma 4 7 3" xfId="4172"/>
    <cellStyle name="Comma 4 7 2 2" xfId="4173"/>
    <cellStyle name="Comma 4 8 2" xfId="4174"/>
    <cellStyle name="Comma 4 9 2" xfId="4175"/>
    <cellStyle name="Comma 40 2" xfId="4176"/>
    <cellStyle name="Comma 41 2" xfId="4177"/>
    <cellStyle name="Comma 42 2" xfId="4178"/>
    <cellStyle name="Comma 43 2" xfId="4179"/>
    <cellStyle name="Comma 44 2" xfId="4180"/>
    <cellStyle name="Comma 5 2 5" xfId="4181"/>
    <cellStyle name="Comma 5 2 2 3" xfId="4182"/>
    <cellStyle name="Comma 5 2 2 2 2" xfId="4183"/>
    <cellStyle name="Comma 5 2 3 3" xfId="4184"/>
    <cellStyle name="Comma 5 2 3 2 2" xfId="4185"/>
    <cellStyle name="Comma 5 2 4 2" xfId="4186"/>
    <cellStyle name="Comma 5 3 6" xfId="4187"/>
    <cellStyle name="Comma 5 3 2 5" xfId="4188"/>
    <cellStyle name="Comma 5 3 2 2 3" xfId="4189"/>
    <cellStyle name="Comma 5 3 2 2 2 2" xfId="4190"/>
    <cellStyle name="Comma 5 3 2 3 3" xfId="4191"/>
    <cellStyle name="Comma 5 3 2 3 2 2" xfId="4192"/>
    <cellStyle name="Comma 5 3 2 4 2" xfId="4193"/>
    <cellStyle name="Comma 5 3 3 3" xfId="4194"/>
    <cellStyle name="Comma 5 3 3 2 2" xfId="4195"/>
    <cellStyle name="Comma 5 3 4 3" xfId="4196"/>
    <cellStyle name="Comma 5 3 4 2 2" xfId="4197"/>
    <cellStyle name="Comma 5 3 5 2" xfId="4198"/>
    <cellStyle name="Comma 5 4 5" xfId="4199"/>
    <cellStyle name="Comma 5 4 2 3" xfId="4200"/>
    <cellStyle name="Comma 5 4 2 2 2" xfId="4201"/>
    <cellStyle name="Comma 5 4 3 3" xfId="4202"/>
    <cellStyle name="Comma 5 4 3 2 2" xfId="4203"/>
    <cellStyle name="Comma 5 4 4 2" xfId="4204"/>
    <cellStyle name="Comma 5 5 5" xfId="4205"/>
    <cellStyle name="Comma 5 5 2 3" xfId="4206"/>
    <cellStyle name="Comma 5 5 2 2 2" xfId="4207"/>
    <cellStyle name="Comma 5 5 3 3" xfId="4208"/>
    <cellStyle name="Comma 5 5 3 2 2" xfId="4209"/>
    <cellStyle name="Comma 5 5 4 2" xfId="4210"/>
    <cellStyle name="Comma 5 6 2" xfId="4211"/>
    <cellStyle name="Comma 5 7 2" xfId="4212"/>
    <cellStyle name="Comma 6 8" xfId="4213"/>
    <cellStyle name="Comma 6 2 5" xfId="4214"/>
    <cellStyle name="Comma 6 2 2 3" xfId="4215"/>
    <cellStyle name="Comma 6 2 2 2 2" xfId="4216"/>
    <cellStyle name="Comma 6 2 3 3" xfId="4217"/>
    <cellStyle name="Comma 6 2 3 2 2" xfId="4218"/>
    <cellStyle name="Comma 6 2 4 2" xfId="4219"/>
    <cellStyle name="Comma 6 3 5" xfId="4220"/>
    <cellStyle name="Comma 6 3 2 3" xfId="4221"/>
    <cellStyle name="Comma 6 3 2 2 2" xfId="4222"/>
    <cellStyle name="Comma 6 3 3 3" xfId="4223"/>
    <cellStyle name="Comma 6 3 3 2 2" xfId="4224"/>
    <cellStyle name="Comma 6 3 4 2" xfId="4225"/>
    <cellStyle name="Comma 6 4 5" xfId="4226"/>
    <cellStyle name="Comma 6 4 2 3" xfId="4227"/>
    <cellStyle name="Comma 6 4 2 2 2" xfId="4228"/>
    <cellStyle name="Comma 6 4 3 3" xfId="4229"/>
    <cellStyle name="Comma 6 4 3 2 2" xfId="4230"/>
    <cellStyle name="Comma 6 4 4 2" xfId="4231"/>
    <cellStyle name="Comma 6 5 3" xfId="4232"/>
    <cellStyle name="Comma 6 5 2 2" xfId="4233"/>
    <cellStyle name="Comma 6 6 3" xfId="4234"/>
    <cellStyle name="Comma 6 6 2 2" xfId="4235"/>
    <cellStyle name="Comma 6 7 2" xfId="4236"/>
    <cellStyle name="Comma 7 9" xfId="4237"/>
    <cellStyle name="Comma 7 2 5" xfId="4238"/>
    <cellStyle name="Comma 7 2 2 3" xfId="4239"/>
    <cellStyle name="Comma 7 2 2 2 2" xfId="4240"/>
    <cellStyle name="Comma 7 2 3 3" xfId="4241"/>
    <cellStyle name="Comma 7 2 3 2 2" xfId="4242"/>
    <cellStyle name="Comma 7 2 4 2" xfId="4243"/>
    <cellStyle name="Comma 7 3 5" xfId="4244"/>
    <cellStyle name="Comma 7 3 2 3" xfId="4245"/>
    <cellStyle name="Comma 7 3 2 2 2" xfId="4246"/>
    <cellStyle name="Comma 7 3 3 3" xfId="4247"/>
    <cellStyle name="Comma 7 3 3 2 2" xfId="4248"/>
    <cellStyle name="Comma 7 3 4 2" xfId="4249"/>
    <cellStyle name="Comma 7 4 3" xfId="4250"/>
    <cellStyle name="Comma 7 4 2 2" xfId="4251"/>
    <cellStyle name="Comma 7 5 3" xfId="4252"/>
    <cellStyle name="Comma 7 5 2 2" xfId="4253"/>
    <cellStyle name="Comma 7 6 2" xfId="4254"/>
    <cellStyle name="Comma 7 7 2" xfId="4255"/>
    <cellStyle name="Comma 7 8 2" xfId="4256"/>
    <cellStyle name="Comma 8 13" xfId="4257"/>
    <cellStyle name="Comma 8 10 3" xfId="4258"/>
    <cellStyle name="Comma 8 10 2 2" xfId="4259"/>
    <cellStyle name="Comma 8 11 3" xfId="4260"/>
    <cellStyle name="Comma 8 11 2 2" xfId="4261"/>
    <cellStyle name="Comma 8 12 2" xfId="4262"/>
    <cellStyle name="Comma 8 2 5" xfId="4263"/>
    <cellStyle name="Comma 8 2 2 3" xfId="4264"/>
    <cellStyle name="Comma 8 2 2 2 2" xfId="4265"/>
    <cellStyle name="Comma 8 2 3 3" xfId="4266"/>
    <cellStyle name="Comma 8 2 3 2 2" xfId="4267"/>
    <cellStyle name="Comma 8 2 4 2" xfId="4268"/>
    <cellStyle name="Comma 8 3 5" xfId="4269"/>
    <cellStyle name="Comma 8 3 2 3" xfId="4270"/>
    <cellStyle name="Comma 8 3 2 2 2" xfId="4271"/>
    <cellStyle name="Comma 8 3 3 3" xfId="4272"/>
    <cellStyle name="Comma 8 3 3 2 2" xfId="4273"/>
    <cellStyle name="Comma 8 3 4 2" xfId="4274"/>
    <cellStyle name="Comma 8 4 5" xfId="4275"/>
    <cellStyle name="Comma 8 4 2 3" xfId="4276"/>
    <cellStyle name="Comma 8 4 2 2 2" xfId="4277"/>
    <cellStyle name="Comma 8 4 3 3" xfId="4278"/>
    <cellStyle name="Comma 8 4 3 2 2" xfId="4279"/>
    <cellStyle name="Comma 8 4 4 2" xfId="4280"/>
    <cellStyle name="Comma 8 5 5" xfId="4281"/>
    <cellStyle name="Comma 8 5 2 3" xfId="4282"/>
    <cellStyle name="Comma 8 5 2 2 2" xfId="4283"/>
    <cellStyle name="Comma 8 5 3 3" xfId="4284"/>
    <cellStyle name="Comma 8 5 3 2 2" xfId="4285"/>
    <cellStyle name="Comma 8 5 4 2" xfId="4286"/>
    <cellStyle name="Comma 8 6 5" xfId="4287"/>
    <cellStyle name="Comma 8 6 2 3" xfId="4288"/>
    <cellStyle name="Comma 8 6 2 2 2" xfId="4289"/>
    <cellStyle name="Comma 8 6 3 3" xfId="4290"/>
    <cellStyle name="Comma 8 6 3 2 2" xfId="4291"/>
    <cellStyle name="Comma 8 6 4 2" xfId="4292"/>
    <cellStyle name="Comma 8 7 5" xfId="4293"/>
    <cellStyle name="Comma 8 7 2 3" xfId="4294"/>
    <cellStyle name="Comma 8 7 2 2 2" xfId="4295"/>
    <cellStyle name="Comma 8 7 3 3" xfId="4296"/>
    <cellStyle name="Comma 8 7 3 2 2" xfId="4297"/>
    <cellStyle name="Comma 8 7 4 2" xfId="4298"/>
    <cellStyle name="Comma 8 8 5" xfId="4299"/>
    <cellStyle name="Comma 8 8 2 3" xfId="4300"/>
    <cellStyle name="Comma 8 8 2 2 2" xfId="4301"/>
    <cellStyle name="Comma 8 8 3 3" xfId="4302"/>
    <cellStyle name="Comma 8 8 3 2 2" xfId="4303"/>
    <cellStyle name="Comma 8 8 4 2" xfId="4304"/>
    <cellStyle name="Comma 8 9 5" xfId="4305"/>
    <cellStyle name="Comma 8 9 2 3" xfId="4306"/>
    <cellStyle name="Comma 8 9 2 2 2" xfId="4307"/>
    <cellStyle name="Comma 8 9 3 3" xfId="4308"/>
    <cellStyle name="Comma 8 9 3 2 2" xfId="4309"/>
    <cellStyle name="Comma 8 9 4 2" xfId="4310"/>
    <cellStyle name="Comma 9 6" xfId="4311"/>
    <cellStyle name="Comma 9 2 5" xfId="4312"/>
    <cellStyle name="Comma 9 2 2 3" xfId="4313"/>
    <cellStyle name="Comma 9 2 2 2 2" xfId="4314"/>
    <cellStyle name="Comma 9 2 3 3" xfId="4315"/>
    <cellStyle name="Comma 9 2 3 2 2" xfId="4316"/>
    <cellStyle name="Comma 9 2 4 2" xfId="4317"/>
    <cellStyle name="Comma 9 3 3" xfId="4318"/>
    <cellStyle name="Comma 9 3 2 2" xfId="4319"/>
    <cellStyle name="Comma 9 4 3" xfId="4320"/>
    <cellStyle name="Comma 9 4 2 2" xfId="4321"/>
    <cellStyle name="Comma 9 5 2" xfId="4322"/>
    <cellStyle name="Input 6 2" xfId="4323"/>
    <cellStyle name="Input 5 2 2" xfId="4324"/>
    <cellStyle name="Input 5 3" xfId="4325"/>
    <cellStyle name="Input 4 3 2" xfId="4326"/>
    <cellStyle name="Input 4 2 2 2" xfId="4327"/>
    <cellStyle name="Input 4 2 3" xfId="4328"/>
    <cellStyle name="Input 3 3 2" xfId="4329"/>
    <cellStyle name="Input 3 2 2 2" xfId="4330"/>
    <cellStyle name="Input 3 2 3" xfId="4331"/>
    <cellStyle name="Input 2 5 2" xfId="4332"/>
    <cellStyle name="Input 2 4 2 2" xfId="4333"/>
    <cellStyle name="Input 2 4 3" xfId="4334"/>
    <cellStyle name="Input 2 3 3 2" xfId="4335"/>
    <cellStyle name="Input 2 3 2 2 2" xfId="4336"/>
    <cellStyle name="Input 2 3 2 3" xfId="4337"/>
    <cellStyle name="Input 2 2 3 2" xfId="4338"/>
    <cellStyle name="Input 2 2 2 2 2" xfId="4339"/>
    <cellStyle name="Input 2 2 2 3" xfId="4340"/>
    <cellStyle name="Input 2 2 2 4" xfId="4341"/>
    <cellStyle name="Input 2 2 2 2 3" xfId="4342"/>
    <cellStyle name="Input 2 2 3 3" xfId="4343"/>
    <cellStyle name="Input 2 3 2 4" xfId="4344"/>
    <cellStyle name="Input 2 3 2 2 3" xfId="4345"/>
    <cellStyle name="Input 2 3 3 3" xfId="4346"/>
    <cellStyle name="Input 2 4 4" xfId="4347"/>
    <cellStyle name="Input 2 4 2 3" xfId="4348"/>
    <cellStyle name="Input 2 5 3" xfId="4349"/>
    <cellStyle name="Input 3 2 4" xfId="4350"/>
    <cellStyle name="Input 3 2 2 3" xfId="4351"/>
    <cellStyle name="Input 3 3 3" xfId="4352"/>
    <cellStyle name="Input 4 2 4" xfId="4353"/>
    <cellStyle name="Input 4 2 2 3" xfId="4354"/>
    <cellStyle name="Input 4 3 3" xfId="4355"/>
    <cellStyle name="Input 5 4" xfId="4356"/>
    <cellStyle name="Input 5 2 3" xfId="4357"/>
    <cellStyle name="Input 6 3" xfId="4358"/>
    <cellStyle name="Intermediate/scenario user input 2 3" xfId="4359"/>
    <cellStyle name="Intermediate/scenario user input 2 2 2" xfId="4360"/>
    <cellStyle name="Intermediate/scenario user input 3 2" xfId="4361"/>
    <cellStyle name="Header2 9 2" xfId="4362"/>
    <cellStyle name="Header2 8 2" xfId="4363"/>
    <cellStyle name="Header2 7 2" xfId="4364"/>
    <cellStyle name="Header2 6 2" xfId="4365"/>
    <cellStyle name="Header2 5 2" xfId="4366"/>
    <cellStyle name="Header2 4 2" xfId="4367"/>
    <cellStyle name="Header2 3 2 2" xfId="4368"/>
    <cellStyle name="Header2 3 3" xfId="4369"/>
    <cellStyle name="Header2 2 2 2" xfId="4370"/>
    <cellStyle name="Header2 2 3" xfId="4371"/>
    <cellStyle name="Header2 11 2" xfId="4372"/>
    <cellStyle name="Header2 10 2" xfId="4373"/>
    <cellStyle name="Header2 12" xfId="4374"/>
    <cellStyle name="Note 2 2 2 3" xfId="4375"/>
    <cellStyle name="Note 2 2 2 2 2" xfId="4376"/>
    <cellStyle name="Note 2 2 3 2" xfId="4377"/>
    <cellStyle name="Note 2 3 2 3" xfId="4378"/>
    <cellStyle name="Note 2 3 2 2 2" xfId="4379"/>
    <cellStyle name="Note 2 3 3 2" xfId="4380"/>
    <cellStyle name="Note 2 4 2 3" xfId="4381"/>
    <cellStyle name="Note 2 4 2 2 2" xfId="4382"/>
    <cellStyle name="Note 2 4 3 2" xfId="4383"/>
    <cellStyle name="Note 2 5 3" xfId="4384"/>
    <cellStyle name="Note 2 5 2 2" xfId="4385"/>
    <cellStyle name="Note 2 6 2" xfId="4386"/>
    <cellStyle name="Note 3 2 2 3" xfId="4387"/>
    <cellStyle name="Note 3 2 2 2 2" xfId="4388"/>
    <cellStyle name="Note 3 2 3 2" xfId="4389"/>
    <cellStyle name="Note 3 3 3" xfId="4390"/>
    <cellStyle name="Note 3 3 2 2" xfId="4391"/>
    <cellStyle name="Note 3 4 2" xfId="4392"/>
    <cellStyle name="Note 4 2 2 3" xfId="4393"/>
    <cellStyle name="Note 4 2 2 2 2" xfId="4394"/>
    <cellStyle name="Note 4 2 3 2" xfId="4395"/>
    <cellStyle name="Note 4 3 3" xfId="4396"/>
    <cellStyle name="Note 4 3 2 2" xfId="4397"/>
    <cellStyle name="Note 4 4 2" xfId="4398"/>
    <cellStyle name="Output 2 2 2 3" xfId="4399"/>
    <cellStyle name="Output 2 2 2 2 2" xfId="4400"/>
    <cellStyle name="Output 2 2 3 2" xfId="4401"/>
    <cellStyle name="Output 2 3 3" xfId="4402"/>
    <cellStyle name="Output 2 3 2 2" xfId="4403"/>
    <cellStyle name="Output 2 4 2" xfId="4404"/>
    <cellStyle name="Output 3 2 3" xfId="4405"/>
    <cellStyle name="Output 3 2 2 2" xfId="4406"/>
    <cellStyle name="Output 3 3 2" xfId="4407"/>
    <cellStyle name="Output 4 3" xfId="4408"/>
    <cellStyle name="Output 4 2 2" xfId="4409"/>
    <cellStyle name="Output 5 2" xfId="4410"/>
    <cellStyle name="Calculation 6 2" xfId="4411"/>
    <cellStyle name="Calculation 5 2 2" xfId="4412"/>
    <cellStyle name="Calculation 5 3" xfId="4413"/>
    <cellStyle name="Calculation 4 3 2" xfId="4414"/>
    <cellStyle name="Calculation 4 2 2 2" xfId="4415"/>
    <cellStyle name="Calculation 4 2 3" xfId="4416"/>
    <cellStyle name="Calculation 3 3 2" xfId="4417"/>
    <cellStyle name="Calculation 3 2 2 2" xfId="4418"/>
    <cellStyle name="Calculation 3 2 3" xfId="4419"/>
    <cellStyle name="Calculation 2 3 2" xfId="4420"/>
    <cellStyle name="Calculation 2 2 2 2" xfId="4421"/>
    <cellStyle name="Calculation 2 2 3" xfId="4422"/>
    <cellStyle name="Basic User Selection 3 2" xfId="4423"/>
    <cellStyle name="Basic User Selection 2 2 2" xfId="4424"/>
    <cellStyle name="Basic User Selection 2 3" xfId="4425"/>
    <cellStyle name="Basic User Data Input 3 2" xfId="4426"/>
    <cellStyle name="Basic User Data Input 2 2 2" xfId="4427"/>
    <cellStyle name="Basic User Data Input 2 3" xfId="4428"/>
    <cellStyle name="Advanced user input 3 2" xfId="4429"/>
    <cellStyle name="Advanced user input 2 2 2" xfId="4430"/>
    <cellStyle name="Advanced user input 2 3" xfId="4431"/>
    <cellStyle name="Comma 50" xfId="4432"/>
    <cellStyle name="Comma 51" xfId="4433"/>
    <cellStyle name="Total 2 2 3" xfId="4434"/>
    <cellStyle name="Total 2 2 2 2" xfId="4435"/>
    <cellStyle name="Total 2 3 2" xfId="4436"/>
    <cellStyle name="Total 3 3" xfId="4437"/>
    <cellStyle name="Total 3 2 2" xfId="4438"/>
    <cellStyle name="Total 4 2" xfId="4439"/>
    <cellStyle name="Comma 52" xfId="4440"/>
    <cellStyle name="Accent6" xfId="4441" builtinId="49"/>
    <cellStyle name="Normal 60" xfId="4442"/>
    <cellStyle name="Another spreadsheet" xfId="4443"/>
    <cellStyle name="Comma 53" xfId="4444"/>
    <cellStyle name="Normal 2 11" xfId="4445"/>
    <cellStyle name="Normal 3 11" xfId="4446"/>
    <cellStyle name="Hyperlink" xfId="4447" builtinId="8"/>
    <cellStyle name="20% - Accent1" xfId="4448" builtinId="30"/>
    <cellStyle name="20% - Accent2" xfId="4449" builtinId="34"/>
  </cellStyles>
  <dxfs count="1">
    <dxf>
      <fill>
        <patternFill>
          <bgColor rgb="FFFFC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0" Type="http://schemas.openxmlformats.org/officeDocument/2006/relationships/worksheet" Target="worksheets/sheet7.xml" /><Relationship Id="rId11" Type="http://schemas.openxmlformats.org/officeDocument/2006/relationships/worksheet" Target="worksheets/sheet8.xml" /><Relationship Id="rId12" Type="http://schemas.openxmlformats.org/officeDocument/2006/relationships/worksheet" Target="worksheets/sheet9.xml" /><Relationship Id="rId13" Type="http://schemas.openxmlformats.org/officeDocument/2006/relationships/worksheet" Target="worksheets/sheet10.xml" /><Relationship Id="rId9" Type="http://schemas.openxmlformats.org/officeDocument/2006/relationships/worksheet" Target="worksheets/sheet6.xml" /><Relationship Id="rId8" Type="http://schemas.openxmlformats.org/officeDocument/2006/relationships/worksheet" Target="worksheets/sheet5.xml" /><Relationship Id="rId36" Type="http://schemas.openxmlformats.org/officeDocument/2006/relationships/calcChain" Target="calcChain.xml" /><Relationship Id="rId34" Type="http://schemas.openxmlformats.org/officeDocument/2006/relationships/externalLink" Target="externalLinks/externalLink13.xml" /><Relationship Id="rId35" Type="http://schemas.openxmlformats.org/officeDocument/2006/relationships/externalLink" Target="externalLinks/externalLink14.xml" /><Relationship Id="rId6" Type="http://schemas.openxmlformats.org/officeDocument/2006/relationships/worksheet" Target="worksheets/sheet3.xml" /><Relationship Id="rId37" Type="http://schemas.openxmlformats.org/officeDocument/2006/relationships/sheetMetadata" Target="metadata.xml" /><Relationship Id="rId5" Type="http://schemas.openxmlformats.org/officeDocument/2006/relationships/worksheet" Target="worksheets/sheet2.xml" /><Relationship Id="rId31" Type="http://schemas.openxmlformats.org/officeDocument/2006/relationships/externalLink" Target="externalLinks/externalLink10.xml" /><Relationship Id="rId4" Type="http://schemas.openxmlformats.org/officeDocument/2006/relationships/worksheet" Target="worksheets/sheet1.xml" /><Relationship Id="rId33" Type="http://schemas.openxmlformats.org/officeDocument/2006/relationships/externalLink" Target="externalLinks/externalLink12.xml" /><Relationship Id="rId27" Type="http://schemas.openxmlformats.org/officeDocument/2006/relationships/externalLink" Target="externalLinks/externalLink6.xml" /><Relationship Id="rId2" Type="http://schemas.microsoft.com/office/2017/10/relationships/person" Target="persons/person.xml" /><Relationship Id="rId1" Type="http://schemas.openxmlformats.org/officeDocument/2006/relationships/theme" Target="theme/theme1.xml" /><Relationship Id="rId7" Type="http://schemas.openxmlformats.org/officeDocument/2006/relationships/worksheet" Target="worksheets/sheet4.xml" /><Relationship Id="rId3" Type="http://schemas.openxmlformats.org/officeDocument/2006/relationships/styles" Target="styles.xml" /><Relationship Id="rId30" Type="http://schemas.openxmlformats.org/officeDocument/2006/relationships/externalLink" Target="externalLinks/externalLink9.xml" /><Relationship Id="rId21" Type="http://schemas.openxmlformats.org/officeDocument/2006/relationships/sharedStrings" Target="sharedStrings.xml" /><Relationship Id="rId32" Type="http://schemas.openxmlformats.org/officeDocument/2006/relationships/externalLink" Target="externalLinks/externalLink11.xml" /><Relationship Id="rId16" Type="http://schemas.openxmlformats.org/officeDocument/2006/relationships/worksheet" Target="worksheets/sheet13.xml" /><Relationship Id="rId22" Type="http://schemas.openxmlformats.org/officeDocument/2006/relationships/externalLink" Target="externalLinks/externalLink1.xml" /><Relationship Id="rId24" Type="http://schemas.openxmlformats.org/officeDocument/2006/relationships/externalLink" Target="externalLinks/externalLink3.xml" /><Relationship Id="rId14" Type="http://schemas.openxmlformats.org/officeDocument/2006/relationships/worksheet" Target="worksheets/sheet11.xml" /><Relationship Id="rId28" Type="http://schemas.openxmlformats.org/officeDocument/2006/relationships/externalLink" Target="externalLinks/externalLink7.xml" /><Relationship Id="rId29" Type="http://schemas.openxmlformats.org/officeDocument/2006/relationships/externalLink" Target="externalLinks/externalLink8.xml" /><Relationship Id="rId18" Type="http://schemas.openxmlformats.org/officeDocument/2006/relationships/worksheet" Target="worksheets/sheet15.xml" /><Relationship Id="rId19" Type="http://schemas.openxmlformats.org/officeDocument/2006/relationships/worksheet" Target="worksheets/sheet16.xml" /><Relationship Id="rId23" Type="http://schemas.openxmlformats.org/officeDocument/2006/relationships/externalLink" Target="externalLinks/externalLink2.xml" /><Relationship Id="rId25" Type="http://schemas.openxmlformats.org/officeDocument/2006/relationships/externalLink" Target="externalLinks/externalLink4.xml" /><Relationship Id="rId26" Type="http://schemas.openxmlformats.org/officeDocument/2006/relationships/externalLink" Target="externalLinks/externalLink5.xml" /><Relationship Id="rId15" Type="http://schemas.openxmlformats.org/officeDocument/2006/relationships/worksheet" Target="worksheets/sheet12.xml" /><Relationship Id="rId20" Type="http://schemas.openxmlformats.org/officeDocument/2006/relationships/worksheet" Target="worksheets/sheet17.xml" /><Relationship Id="rId17" Type="http://schemas.openxmlformats.org/officeDocument/2006/relationships/worksheet" Target="worksheets/sheet14.xml" /></Relationships>
</file>

<file path=xl/charts/_rels/chart1.xml.rels><?xml version="1.0" encoding="UTF-8" standalone="yes"?><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4.xml.rels><?xml version="1.0" encoding="UTF-8" standalone="yes"?><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5.xml.rels><?xml version="1.0" encoding="UTF-8" standalone="yes"?><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_rels/chart6.xml.rels><?xml version="1.0" encoding="UTF-8" standalone="yes"?><Relationships xmlns="http://schemas.openxmlformats.org/package/2006/relationships"><Relationship Id="rId2" Type="http://schemas.microsoft.com/office/2011/relationships/chartColorStyle" Target="colors6.xml" /><Relationship Id="rId1" Type="http://schemas.microsoft.com/office/2011/relationships/chartStyle" Target="style6.xml" /></Relationships>
</file>

<file path=xl/charts/_rels/chart10.xml.rels><?xml version="1.0" encoding="UTF-8" standalone="yes"?><Relationships xmlns="http://schemas.openxmlformats.org/package/2006/relationships"><Relationship Id="rId2" Type="http://schemas.microsoft.com/office/2011/relationships/chartColorStyle" Target="colors10.xml" /><Relationship Id="rId1" Type="http://schemas.microsoft.com/office/2011/relationships/chartStyle" Target="style10.xml" /></Relationships>
</file>

<file path=xl/charts/_rels/chart11.xml.rels><?xml version="1.0" encoding="UTF-8" standalone="yes"?><Relationships xmlns="http://schemas.openxmlformats.org/package/2006/relationships"><Relationship Id="rId2" Type="http://schemas.microsoft.com/office/2011/relationships/chartColorStyle" Target="colors11.xml" /><Relationship Id="rId1" Type="http://schemas.microsoft.com/office/2011/relationships/chartStyle" Target="style11.xml" /></Relationships>
</file>

<file path=xl/charts/_rels/chart26.xml.rels><?xml version="1.0" encoding="UTF-8" standalone="yes"?><Relationships xmlns="http://schemas.openxmlformats.org/package/2006/relationships"><Relationship Id="rId2" Type="http://schemas.microsoft.com/office/2011/relationships/chartColorStyle" Target="colors26.xml" /><Relationship Id="rId1" Type="http://schemas.microsoft.com/office/2011/relationships/chartStyle" Target="style26.xml" /></Relationships>
</file>

<file path=xl/charts/_rels/chart29.xml.rels><?xml version="1.0" encoding="UTF-8" standalone="yes"?><Relationships xmlns="http://schemas.openxmlformats.org/package/2006/relationships"><Relationship Id="rId2" Type="http://schemas.microsoft.com/office/2011/relationships/chartColorStyle" Target="colors29.xml" /><Relationship Id="rId1" Type="http://schemas.microsoft.com/office/2011/relationships/chartStyle" Target="style29.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cmpd="sng">
              <a:solidFill>
                <a:schemeClr val="accent1"/>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DriversGams!$B$131:$BA$131</c:f>
              <c:numCache>
                <c:formatCode>General</c:formatCode>
                <c:ptCount val="52"/>
                <c:pt idx="0">
                  <c:v>118.629885562176</c:v>
                </c:pt>
                <c:pt idx="1">
                  <c:v>104.754419007286</c:v>
                </c:pt>
                <c:pt idx="2">
                  <c:v>106.761641305422</c:v>
                </c:pt>
                <c:pt idx="3">
                  <c:v>115.099300203249</c:v>
                </c:pt>
                <c:pt idx="4">
                  <c:v>112.953466461013</c:v>
                </c:pt>
                <c:pt idx="5">
                  <c:v>113.445255519966</c:v>
                </c:pt>
                <c:pt idx="6">
                  <c:v>116.827310850815</c:v>
                </c:pt>
                <c:pt idx="7">
                  <c:v>122.250263814075</c:v>
                </c:pt>
                <c:pt idx="8">
                  <c:v>123.688435942191</c:v>
                </c:pt>
                <c:pt idx="9">
                  <c:v>125.142006717159</c:v>
                </c:pt>
                <c:pt idx="10">
                  <c:v>128.480732416292</c:v>
                </c:pt>
                <c:pt idx="11">
                  <c:v>132.118295413196</c:v>
                </c:pt>
                <c:pt idx="12">
                  <c:v>136.58807290451</c:v>
                </c:pt>
                <c:pt idx="13">
                  <c:v>141.060905704443</c:v>
                </c:pt>
                <c:pt idx="14">
                  <c:v>145.756872451138</c:v>
                </c:pt>
                <c:pt idx="15">
                  <c:v>149.229668275318</c:v>
                </c:pt>
                <c:pt idx="16">
                  <c:v>155.705939746017</c:v>
                </c:pt>
                <c:pt idx="17">
                  <c:v>159.995879136181</c:v>
                </c:pt>
                <c:pt idx="18">
                  <c:v>164.895483044578</c:v>
                </c:pt>
                <c:pt idx="19">
                  <c:v>169.966515346598</c:v>
                </c:pt>
                <c:pt idx="20">
                  <c:v>176.018911358253</c:v>
                </c:pt>
                <c:pt idx="21">
                  <c:v>182.187518619303</c:v>
                </c:pt>
                <c:pt idx="22">
                  <c:v>186.821983793546</c:v>
                </c:pt>
                <c:pt idx="23">
                  <c:v>193.173637650101</c:v>
                </c:pt>
                <c:pt idx="24">
                  <c:v>198.990822661636</c:v>
                </c:pt>
                <c:pt idx="25">
                  <c:v>204.220285032675</c:v>
                </c:pt>
                <c:pt idx="26">
                  <c:v>210.600013552345</c:v>
                </c:pt>
                <c:pt idx="27">
                  <c:v>218.17170558342</c:v>
                </c:pt>
                <c:pt idx="28">
                  <c:v>224.71792997381</c:v>
                </c:pt>
                <c:pt idx="29">
                  <c:v>220.162018640684</c:v>
                </c:pt>
                <c:pt idx="30">
                  <c:v>225.662744472611</c:v>
                </c:pt>
                <c:pt idx="31">
                  <c:v>236.62790370736</c:v>
                </c:pt>
                <c:pt idx="32">
                  <c:v>242.612851330407</c:v>
                </c:pt>
                <c:pt idx="33">
                  <c:v>249.917978811581</c:v>
                </c:pt>
                <c:pt idx="34">
                  <c:v>256.410848354529</c:v>
                </c:pt>
                <c:pt idx="35">
                  <c:v>263.134759669989</c:v>
                </c:pt>
                <c:pt idx="36">
                  <c:v>271.268519422606</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cmpd="sng">
              <a:solidFill>
                <a:schemeClr val="accent2"/>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DriversGams!$B$132:$BA$132</c:f>
              <c:numCache>
                <c:formatCode>General</c:formatCode>
                <c:ptCount val="52"/>
                <c:pt idx="0">
                  <c:v>9.105</c:v>
                </c:pt>
                <c:pt idx="1">
                  <c:v>8.671</c:v>
                </c:pt>
                <c:pt idx="2">
                  <c:v>8.742</c:v>
                </c:pt>
                <c:pt idx="3">
                  <c:v>8.858</c:v>
                </c:pt>
                <c:pt idx="4">
                  <c:v>8.956</c:v>
                </c:pt>
                <c:pt idx="5">
                  <c:v>9.057</c:v>
                </c:pt>
                <c:pt idx="6">
                  <c:v>9.157</c:v>
                </c:pt>
                <c:pt idx="7">
                  <c:v>9.242</c:v>
                </c:pt>
                <c:pt idx="8">
                  <c:v>9.341</c:v>
                </c:pt>
                <c:pt idx="9">
                  <c:v>9.366</c:v>
                </c:pt>
                <c:pt idx="10">
                  <c:v>9.417</c:v>
                </c:pt>
                <c:pt idx="11">
                  <c:v>9.51</c:v>
                </c:pt>
                <c:pt idx="12">
                  <c:v>8.346</c:v>
                </c:pt>
                <c:pt idx="13">
                  <c:v>7.706</c:v>
                </c:pt>
                <c:pt idx="14">
                  <c:v>7.691</c:v>
                </c:pt>
                <c:pt idx="15">
                  <c:v>7.83</c:v>
                </c:pt>
                <c:pt idx="16">
                  <c:v>8.002</c:v>
                </c:pt>
                <c:pt idx="17">
                  <c:v>8.192</c:v>
                </c:pt>
                <c:pt idx="18">
                  <c:v>8.4</c:v>
                </c:pt>
                <c:pt idx="19">
                  <c:v>8.607</c:v>
                </c:pt>
                <c:pt idx="20">
                  <c:v>8.825</c:v>
                </c:pt>
                <c:pt idx="21">
                  <c:v>9.054</c:v>
                </c:pt>
                <c:pt idx="22">
                  <c:v>9.366</c:v>
                </c:pt>
                <c:pt idx="23">
                  <c:v>9.677</c:v>
                </c:pt>
                <c:pt idx="24">
                  <c:v>10.001</c:v>
                </c:pt>
                <c:pt idx="25">
                  <c:v>10.341</c:v>
                </c:pt>
                <c:pt idx="26">
                  <c:v>10.703</c:v>
                </c:pt>
                <c:pt idx="27">
                  <c:v>11.881</c:v>
                </c:pt>
                <c:pt idx="28">
                  <c:v>13.01</c:v>
                </c:pt>
                <c:pt idx="29">
                  <c:v>14.12</c:v>
                </c:pt>
                <c:pt idx="30">
                  <c:v>15.288</c:v>
                </c:pt>
                <c:pt idx="31">
                  <c:v>16.475</c:v>
                </c:pt>
                <c:pt idx="32">
                  <c:v>17.7541617608582</c:v>
                </c:pt>
                <c:pt idx="33">
                  <c:v>19.1326409608934</c:v>
                </c:pt>
                <c:pt idx="34">
                  <c:v>20.6181488638618</c:v>
                </c:pt>
                <c:pt idx="35">
                  <c:v>22.218995456052</c:v>
                </c:pt>
                <c:pt idx="36">
                  <c:v>23.9441359326568</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showLeaderLines val="0"/>
        </c:dLbls>
        <c:marker val="1"/>
        <c:axId val="2166851"/>
        <c:axId val="13064631"/>
      </c:lineChart>
      <c:catAx>
        <c:axId val="2166851"/>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3064631"/>
        <c:crosses val="autoZero"/>
        <c:auto val="1"/>
        <c:lblOffset val="100"/>
        <c:noMultiLvlLbl val="0"/>
      </c:catAx>
      <c:valAx>
        <c:axId val="13064631"/>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166851"/>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26.9982656269758</c:v>
                </c:pt>
                <c:pt idx="1">
                  <c:v>24.93550882756</c:v>
                </c:pt>
                <c:pt idx="2">
                  <c:v>18.7497639513787</c:v>
                </c:pt>
                <c:pt idx="3">
                  <c:v>14.3912612530183</c:v>
                </c:pt>
                <c:pt idx="4">
                  <c:v>12.5350626947347</c:v>
                </c:pt>
                <c:pt idx="5">
                  <c:v>10.9427265258655</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19.3112594415174</c:v>
                </c:pt>
                <c:pt idx="1">
                  <c:v>21.1101696420873</c:v>
                </c:pt>
                <c:pt idx="2">
                  <c:v>24.6293690544261</c:v>
                </c:pt>
                <c:pt idx="3">
                  <c:v>27.3059117570154</c:v>
                </c:pt>
                <c:pt idx="4">
                  <c:v>28.100885994233</c:v>
                </c:pt>
                <c:pt idx="5">
                  <c:v>29.546154082994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11.8587015246283</c:v>
                </c:pt>
                <c:pt idx="1">
                  <c:v>18.6135995303527</c:v>
                </c:pt>
                <c:pt idx="2">
                  <c:v>26.3348039941952</c:v>
                </c:pt>
                <c:pt idx="3">
                  <c:v>31.8325799899663</c:v>
                </c:pt>
                <c:pt idx="4">
                  <c:v>34.1631013110323</c:v>
                </c:pt>
                <c:pt idx="5">
                  <c:v>35.1743173911405</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showLeaderLines val="0"/>
        </c:dLbls>
        <c:axId val="13629324"/>
        <c:axId val="34522956"/>
      </c:areaChart>
      <c:catAx>
        <c:axId val="13629324"/>
        <c:scaling>
          <c:orientation val="minMax"/>
        </c:scaling>
        <c:delete val="0"/>
        <c:axPos val="b"/>
        <c:numFmt formatCode="General" sourceLinked="1"/>
        <c:majorTickMark val="out"/>
        <c:minorTickMark val="none"/>
        <c:tickLblPos val="nextTo"/>
        <c:spPr>
          <a:ln w="9525" cap="flat" cmpd="sng"/>
          <a:effectLst/>
        </c:spPr>
        <c:crossAx val="34522956"/>
        <c:crosses val="autoZero"/>
        <c:auto val="1"/>
        <c:lblOffset val="100"/>
        <c:noMultiLvlLbl val="0"/>
      </c:catAx>
      <c:valAx>
        <c:axId val="34522956"/>
        <c:scaling>
          <c:orientation val="minMax"/>
        </c:scaling>
        <c:delete val="0"/>
        <c:axPos val="l"/>
        <c:majorGridlines/>
        <c:numFmt formatCode="General" sourceLinked="1"/>
        <c:majorTickMark val="out"/>
        <c:minorTickMark val="none"/>
        <c:tickLblPos val="nextTo"/>
        <c:spPr>
          <a:ln w="9525" cap="flat" cmpd="sng"/>
          <a:effectLst/>
        </c:spPr>
        <c:crossAx val="13629324"/>
        <c:crosses val="autoZero"/>
        <c:crossBetween val="midCat"/>
      </c:valAx>
    </c:plotArea>
    <c:legend>
      <c:legendPos val="r"/>
      <c:layout/>
      <c:overlay val="0"/>
    </c:legend>
    <c:plotVisOnly val="1"/>
    <c:dispBlanksAs val="zero"/>
    <c:showDLblsOverMax val="0"/>
  </c:chart>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1.9150455230722</c:v>
                </c:pt>
                <c:pt idx="7">
                  <c:v>3.6894907315493</c:v>
                </c:pt>
                <c:pt idx="8">
                  <c:v>4.80329580534648</c:v>
                </c:pt>
                <c:pt idx="9">
                  <c:v>7.67885730493644</c:v>
                </c:pt>
                <c:pt idx="10">
                  <c:v>10.7068441363899</c:v>
                </c:pt>
                <c:pt idx="11">
                  <c:v>12.4272617322684</c:v>
                </c:pt>
                <c:pt idx="12">
                  <c:v>14.4028873265772</c:v>
                </c:pt>
                <c:pt idx="13">
                  <c:v>16.3808012843483</c:v>
                </c:pt>
                <c:pt idx="14">
                  <c:v>18.5124243702407</c:v>
                </c:pt>
                <c:pt idx="15">
                  <c:v>20.962436383996</c:v>
                </c:pt>
                <c:pt idx="16">
                  <c:v>23.5737267911772</c:v>
                </c:pt>
                <c:pt idx="17">
                  <c:v>26.403815124684</c:v>
                </c:pt>
                <c:pt idx="18">
                  <c:v>29.419621601289</c:v>
                </c:pt>
                <c:pt idx="19">
                  <c:v>29.419621601289</c:v>
                </c:pt>
                <c:pt idx="20">
                  <c:v>29.419621601289</c:v>
                </c:pt>
                <c:pt idx="21">
                  <c:v>29.419621601289</c:v>
                </c:pt>
                <c:pt idx="22">
                  <c:v>29.419621601289</c:v>
                </c:pt>
                <c:pt idx="23">
                  <c:v>29.419621601289</c:v>
                </c:pt>
                <c:pt idx="24">
                  <c:v>29.419621601289</c:v>
                </c:pt>
                <c:pt idx="25">
                  <c:v>29.419621601289</c:v>
                </c:pt>
                <c:pt idx="26">
                  <c:v>29.419621601289</c:v>
                </c:pt>
                <c:pt idx="27">
                  <c:v>29.419621601289</c:v>
                </c:pt>
                <c:pt idx="28">
                  <c:v>29.419621601289</c:v>
                </c:pt>
                <c:pt idx="29">
                  <c:v>29.419621601289</c:v>
                </c:pt>
                <c:pt idx="30">
                  <c:v>29.419621601289</c:v>
                </c:pt>
                <c:pt idx="31">
                  <c:v>29.419621601289</c:v>
                </c:pt>
                <c:pt idx="32">
                  <c:v>29.419621601289</c:v>
                </c:pt>
                <c:pt idx="33">
                  <c:v>29.419621601289</c:v>
                </c:pt>
                <c:pt idx="34">
                  <c:v>29.419621601289</c:v>
                </c:pt>
                <c:pt idx="35">
                  <c:v>29.419621601289</c:v>
                </c:pt>
                <c:pt idx="36">
                  <c:v>29.419621601289</c:v>
                </c:pt>
                <c:pt idx="37">
                  <c:v>29.419621601289</c:v>
                </c:pt>
                <c:pt idx="38">
                  <c:v>29.419621601289</c:v>
                </c:pt>
                <c:pt idx="39">
                  <c:v>29.419621601289</c:v>
                </c:pt>
                <c:pt idx="40">
                  <c:v>29.419621601289</c:v>
                </c:pt>
                <c:pt idx="41">
                  <c:v>29.419621601289</c:v>
                </c:pt>
                <c:pt idx="42">
                  <c:v>29.419621601289</c:v>
                </c:pt>
                <c:pt idx="43">
                  <c:v>29.419621601289</c:v>
                </c:pt>
                <c:pt idx="44">
                  <c:v>29.419621601289</c:v>
                </c:pt>
                <c:pt idx="45">
                  <c:v>29.419621601289</c:v>
                </c:pt>
                <c:pt idx="46">
                  <c:v>29.419621601289</c:v>
                </c:pt>
                <c:pt idx="47">
                  <c:v>29.419621601289</c:v>
                </c:pt>
                <c:pt idx="48">
                  <c:v>29.419621601289</c:v>
                </c:pt>
                <c:pt idx="49">
                  <c:v>29.419621601289</c:v>
                </c:pt>
                <c:pt idx="50">
                  <c:v>29.419621601289</c:v>
                </c:pt>
                <c:pt idx="51">
                  <c:v>29.419621601289</c:v>
                </c:pt>
                <c:pt idx="52">
                  <c:v>29.419621601289</c:v>
                </c:pt>
                <c:pt idx="53">
                  <c:v>29.419621601289</c:v>
                </c:pt>
                <c:pt idx="54">
                  <c:v>29.419621601289</c:v>
                </c:pt>
                <c:pt idx="55">
                  <c:v>29.419621601289</c:v>
                </c:pt>
                <c:pt idx="56">
                  <c:v>29.419621601289</c:v>
                </c:pt>
                <c:pt idx="57">
                  <c:v>29.419621601289</c:v>
                </c:pt>
                <c:pt idx="58">
                  <c:v>29.419621601289</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3.15179118777085</c:v>
                </c:pt>
                <c:pt idx="20">
                  <c:v>6.37688631041737</c:v>
                </c:pt>
                <c:pt idx="21">
                  <c:v>9.66378731824995</c:v>
                </c:pt>
                <c:pt idx="22">
                  <c:v>12.9583917459675</c:v>
                </c:pt>
                <c:pt idx="23">
                  <c:v>16.2387135890674</c:v>
                </c:pt>
                <c:pt idx="24">
                  <c:v>19.4921802430718</c:v>
                </c:pt>
                <c:pt idx="25">
                  <c:v>22.7947102449458</c:v>
                </c:pt>
                <c:pt idx="26">
                  <c:v>26.1485762662988</c:v>
                </c:pt>
                <c:pt idx="27">
                  <c:v>29.5994938991779</c:v>
                </c:pt>
                <c:pt idx="28">
                  <c:v>33.0907649213024</c:v>
                </c:pt>
                <c:pt idx="29">
                  <c:v>33.0907649213024</c:v>
                </c:pt>
                <c:pt idx="30">
                  <c:v>33.0907649213024</c:v>
                </c:pt>
                <c:pt idx="31">
                  <c:v>33.0907649213024</c:v>
                </c:pt>
                <c:pt idx="32">
                  <c:v>33.0907649213024</c:v>
                </c:pt>
                <c:pt idx="33">
                  <c:v>33.0907649213024</c:v>
                </c:pt>
                <c:pt idx="34">
                  <c:v>33.0907649213024</c:v>
                </c:pt>
                <c:pt idx="35">
                  <c:v>33.0907649213024</c:v>
                </c:pt>
                <c:pt idx="36">
                  <c:v>33.0907649213024</c:v>
                </c:pt>
                <c:pt idx="37">
                  <c:v>33.0907649213024</c:v>
                </c:pt>
                <c:pt idx="38">
                  <c:v>33.0907649213024</c:v>
                </c:pt>
                <c:pt idx="39">
                  <c:v>33.0907649213024</c:v>
                </c:pt>
                <c:pt idx="40">
                  <c:v>33.0907649213024</c:v>
                </c:pt>
                <c:pt idx="41">
                  <c:v>33.0907649213024</c:v>
                </c:pt>
                <c:pt idx="42">
                  <c:v>33.0907649213024</c:v>
                </c:pt>
                <c:pt idx="43">
                  <c:v>33.0907649213024</c:v>
                </c:pt>
                <c:pt idx="44">
                  <c:v>33.0907649213024</c:v>
                </c:pt>
                <c:pt idx="45">
                  <c:v>33.0907649213024</c:v>
                </c:pt>
                <c:pt idx="46">
                  <c:v>33.0907649213024</c:v>
                </c:pt>
                <c:pt idx="47">
                  <c:v>33.0907649213024</c:v>
                </c:pt>
                <c:pt idx="48">
                  <c:v>33.0907649213024</c:v>
                </c:pt>
                <c:pt idx="49">
                  <c:v>33.0907649213024</c:v>
                </c:pt>
                <c:pt idx="50">
                  <c:v>33.0907649213024</c:v>
                </c:pt>
                <c:pt idx="51">
                  <c:v>33.0907649213024</c:v>
                </c:pt>
                <c:pt idx="52">
                  <c:v>33.0907649213024</c:v>
                </c:pt>
                <c:pt idx="53">
                  <c:v>33.0907649213024</c:v>
                </c:pt>
                <c:pt idx="54">
                  <c:v>33.0907649213024</c:v>
                </c:pt>
                <c:pt idx="55">
                  <c:v>33.0907649213024</c:v>
                </c:pt>
                <c:pt idx="56">
                  <c:v>33.0907649213024</c:v>
                </c:pt>
                <c:pt idx="57">
                  <c:v>33.0907649213024</c:v>
                </c:pt>
                <c:pt idx="58">
                  <c:v>33.0907649213024</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3.52398400860105</c:v>
                </c:pt>
                <c:pt idx="30">
                  <c:v>7.00048657759855</c:v>
                </c:pt>
                <c:pt idx="31">
                  <c:v>10.4320336458797</c:v>
                </c:pt>
                <c:pt idx="32">
                  <c:v>13.8209377538941</c:v>
                </c:pt>
                <c:pt idx="33">
                  <c:v>17.1693223211213</c:v>
                </c:pt>
                <c:pt idx="34">
                  <c:v>20.5707888408358</c:v>
                </c:pt>
                <c:pt idx="35">
                  <c:v>23.932413625115</c:v>
                </c:pt>
                <c:pt idx="36">
                  <c:v>27.2560778672496</c:v>
                </c:pt>
                <c:pt idx="37">
                  <c:v>30.5435211763934</c:v>
                </c:pt>
                <c:pt idx="38">
                  <c:v>33.7963559774197</c:v>
                </c:pt>
                <c:pt idx="39">
                  <c:v>37.1495877725144</c:v>
                </c:pt>
                <c:pt idx="40">
                  <c:v>40.4670156128464</c:v>
                </c:pt>
                <c:pt idx="41">
                  <c:v>43.7501953032199</c:v>
                </c:pt>
                <c:pt idx="42">
                  <c:v>47.0005746331305</c:v>
                </c:pt>
                <c:pt idx="43">
                  <c:v>50.219503533213</c:v>
                </c:pt>
                <c:pt idx="44">
                  <c:v>53.4082430397159</c:v>
                </c:pt>
                <c:pt idx="45">
                  <c:v>56.5679732333101</c:v>
                </c:pt>
                <c:pt idx="46">
                  <c:v>59.6998002918305</c:v>
                </c:pt>
                <c:pt idx="47">
                  <c:v>62.8047627746662</c:v>
                </c:pt>
                <c:pt idx="48">
                  <c:v>65.8838372384921</c:v>
                </c:pt>
                <c:pt idx="49">
                  <c:v>67.7595738465303</c:v>
                </c:pt>
                <c:pt idx="50">
                  <c:v>69.6315429125788</c:v>
                </c:pt>
                <c:pt idx="51">
                  <c:v>71.4997960645836</c:v>
                </c:pt>
                <c:pt idx="52">
                  <c:v>73.3643837787164</c:v>
                </c:pt>
                <c:pt idx="53">
                  <c:v>75.2253554148099</c:v>
                </c:pt>
                <c:pt idx="54">
                  <c:v>77.0827592504081</c:v>
                </c:pt>
                <c:pt idx="55">
                  <c:v>78.9366425134987</c:v>
                </c:pt>
                <c:pt idx="56">
                  <c:v>80.7870514139863</c:v>
                </c:pt>
                <c:pt idx="57">
                  <c:v>82.6340311739674</c:v>
                </c:pt>
                <c:pt idx="58">
                  <c:v>84.477626056862</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showLeaderLines val="0"/>
        </c:dLbls>
        <c:axId val="23099521"/>
        <c:axId val="49375938"/>
      </c:areaChart>
      <c:dateAx>
        <c:axId val="23099521"/>
        <c:scaling>
          <c:orientation val="minMax"/>
        </c:scaling>
        <c:delete val="0"/>
        <c:axPos val="b"/>
        <c:numFmt formatCode="General" sourceLinked="1"/>
        <c:majorTickMark val="out"/>
        <c:minorTickMark val="none"/>
        <c:tickLblPos val="nextTo"/>
        <c:spPr>
          <a:ln w="9525" cap="flat" cmpd="sng"/>
          <a:effectLst/>
        </c:spPr>
        <c:crossAx val="49375938"/>
        <c:crosses val="autoZero"/>
        <c:auto val="0"/>
        <c:lblOffset val="100"/>
        <c:baseTimeUnit val="days"/>
        <c:noMultiLvlLbl val="0"/>
      </c:dateAx>
      <c:valAx>
        <c:axId val="49375938"/>
        <c:scaling>
          <c:orientation val="minMax"/>
        </c:scaling>
        <c:delete val="0"/>
        <c:axPos val="l"/>
        <c:majorGridlines/>
        <c:numFmt formatCode="General" sourceLinked="1"/>
        <c:majorTickMark val="out"/>
        <c:minorTickMark val="none"/>
        <c:tickLblPos val="nextTo"/>
        <c:spPr>
          <a:ln w="9525" cap="flat" cmpd="sng"/>
          <a:effectLst/>
        </c:spPr>
        <c:crossAx val="23099521"/>
        <c:crosses val="autoZero"/>
        <c:crossBetween val="midCat"/>
      </c:valAx>
    </c:plotArea>
    <c:legend>
      <c:legendPos val="r"/>
      <c:layout/>
      <c:overlay val="0"/>
    </c:legend>
    <c:plotVisOnly val="1"/>
    <c:dispBlanksAs val="zero"/>
    <c:showDLblsOverMax val="0"/>
  </c:chart>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cmpd="sng">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c:v>
                </c:pt>
                <c:pt idx="7">
                  <c:v>3.40294759969707</c:v>
                </c:pt>
                <c:pt idx="8">
                  <c:v>4.43024935438042</c:v>
                </c:pt>
                <c:pt idx="9">
                  <c:v>7.08248127873109</c:v>
                </c:pt>
                <c:pt idx="10">
                  <c:v>9.8753004697098</c:v>
                </c:pt>
                <c:pt idx="11">
                  <c:v>11.4621023766258</c:v>
                </c:pt>
                <c:pt idx="12">
                  <c:v>13.2842916334152</c:v>
                </c:pt>
                <c:pt idx="13">
                  <c:v>15.1085915286417</c:v>
                </c:pt>
                <c:pt idx="14">
                  <c:v>17.0746627811233</c:v>
                </c:pt>
                <c:pt idx="15">
                  <c:v>19.3343953859906</c:v>
                </c:pt>
                <c:pt idx="16">
                  <c:v>21.7428807488194</c:v>
                </c:pt>
                <c:pt idx="17">
                  <c:v>24.3531711661621</c:v>
                </c:pt>
                <c:pt idx="18">
                  <c:v>27.1347559857028</c:v>
                </c:pt>
                <c:pt idx="19">
                  <c:v>30.0417643067855</c:v>
                </c:pt>
                <c:pt idx="20">
                  <c:v>33.0163834358045</c:v>
                </c:pt>
                <c:pt idx="21">
                  <c:v>36.0480083154661</c:v>
                </c:pt>
                <c:pt idx="22">
                  <c:v>39.0867383313414</c:v>
                </c:pt>
                <c:pt idx="23">
                  <c:v>42.1122950150205</c:v>
                </c:pt>
                <c:pt idx="24">
                  <c:v>45.1130822093793</c:v>
                </c:pt>
                <c:pt idx="25">
                  <c:v>48.1591222621986</c:v>
                </c:pt>
                <c:pt idx="26">
                  <c:v>51.2525113387653</c:v>
                </c:pt>
                <c:pt idx="27">
                  <c:v>54.4354145441155</c:v>
                </c:pt>
                <c:pt idx="28">
                  <c:v>57.6555371054863</c:v>
                </c:pt>
                <c:pt idx="29">
                  <c:v>73.4914094337387</c:v>
                </c:pt>
                <c:pt idx="30">
                  <c:v>88.827109774968</c:v>
                </c:pt>
                <c:pt idx="31">
                  <c:v>118.422526942973</c:v>
                </c:pt>
                <c:pt idx="32">
                  <c:v>135.572235028072</c:v>
                </c:pt>
              </c:numCache>
            </c:numRef>
          </c:val>
          <c:smooth val="0"/>
          <c:extLst>
            <c:ext xmlns:c16="http://schemas.microsoft.com/office/drawing/2014/chart" uri="{C3380CC4-5D6E-409C-BE32-E72D297353CC}">
              <c16:uniqueId val="{00000000-CC89-493D-979B-D0F85A4F3E30}"/>
            </c:ext>
          </c:extLst>
        </c:ser>
        <c:ser>
          <c:idx val="1"/>
          <c:order val="1"/>
          <c:spPr>
            <a:ln w="28575" cap="rnd" cmpd="sng">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0.164962178795154</c:v>
                </c:pt>
                <c:pt idx="7">
                  <c:v>0.317813034932201</c:v>
                </c:pt>
                <c:pt idx="8">
                  <c:v>0.413756295556065</c:v>
                </c:pt>
                <c:pt idx="9">
                  <c:v>0.661457399533392</c:v>
                </c:pt>
                <c:pt idx="10">
                  <c:v>0.922288434128473</c:v>
                </c:pt>
                <c:pt idx="11">
                  <c:v>1.07048534727462</c:v>
                </c:pt>
                <c:pt idx="12">
                  <c:v>1.24066589838644</c:v>
                </c:pt>
                <c:pt idx="13">
                  <c:v>1.41104356931503</c:v>
                </c:pt>
                <c:pt idx="14">
                  <c:v>1.59466175717656</c:v>
                </c:pt>
                <c:pt idx="15">
                  <c:v>1.80570599345926</c:v>
                </c:pt>
                <c:pt idx="16">
                  <c:v>2.03064276381052</c:v>
                </c:pt>
                <c:pt idx="17">
                  <c:v>2.27442680552304</c:v>
                </c:pt>
                <c:pt idx="18">
                  <c:v>2.53420862335012</c:v>
                </c:pt>
                <c:pt idx="19">
                  <c:v>2.80570417537646</c:v>
                </c:pt>
                <c:pt idx="20">
                  <c:v>3.08351413437937</c:v>
                </c:pt>
                <c:pt idx="21">
                  <c:v>3.36664805741332</c:v>
                </c:pt>
                <c:pt idx="22">
                  <c:v>3.65044555366948</c:v>
                </c:pt>
                <c:pt idx="23">
                  <c:v>3.93301274691249</c:v>
                </c:pt>
                <c:pt idx="24">
                  <c:v>4.21326663195901</c:v>
                </c:pt>
                <c:pt idx="25">
                  <c:v>4.49774683782458</c:v>
                </c:pt>
                <c:pt idx="26">
                  <c:v>4.78664913262844</c:v>
                </c:pt>
                <c:pt idx="27">
                  <c:v>5.08391146122787</c:v>
                </c:pt>
                <c:pt idx="28">
                  <c:v>5.38464983409438</c:v>
                </c:pt>
                <c:pt idx="29">
                  <c:v>6.8636166703421</c:v>
                </c:pt>
                <c:pt idx="30">
                  <c:v>8.2958707164199</c:v>
                </c:pt>
                <c:pt idx="31">
                  <c:v>11.059888990191</c:v>
                </c:pt>
                <c:pt idx="32">
                  <c:v>12.6615594876185</c:v>
                </c:pt>
              </c:numCache>
            </c:numRef>
          </c:val>
          <c:smooth val="0"/>
          <c:extLst>
            <c:ext xmlns:c16="http://schemas.microsoft.com/office/drawing/2014/chart" uri="{C3380CC4-5D6E-409C-BE32-E72D297353CC}">
              <c16:uniqueId val="{00000001-CC89-493D-979B-D0F85A4F3E30}"/>
            </c:ext>
          </c:extLst>
        </c:ser>
        <c:ser>
          <c:idx val="2"/>
          <c:order val="2"/>
          <c:spPr>
            <a:ln w="28575" cap="rnd" cmpd="sng">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0.123285717282974</c:v>
                </c:pt>
                <c:pt idx="7">
                  <c:v>0.237519947054956</c:v>
                </c:pt>
                <c:pt idx="8">
                  <c:v>0.309223859981377</c:v>
                </c:pt>
                <c:pt idx="9">
                  <c:v>0.494345131406571</c:v>
                </c:pt>
                <c:pt idx="10">
                  <c:v>0.68927915461468</c:v>
                </c:pt>
                <c:pt idx="11">
                  <c:v>0.800035225307907</c:v>
                </c:pt>
                <c:pt idx="12">
                  <c:v>0.927220932144903</c:v>
                </c:pt>
                <c:pt idx="13">
                  <c:v>1.05455395795028</c:v>
                </c:pt>
                <c:pt idx="14">
                  <c:v>1.19178238304776</c:v>
                </c:pt>
                <c:pt idx="15">
                  <c:v>1.34950787042059</c:v>
                </c:pt>
                <c:pt idx="16">
                  <c:v>1.51761604696515</c:v>
                </c:pt>
                <c:pt idx="17">
                  <c:v>1.69980987262984</c:v>
                </c:pt>
                <c:pt idx="18">
                  <c:v>1.89395975584432</c:v>
                </c:pt>
                <c:pt idx="19">
                  <c:v>2.09686398586342</c:v>
                </c:pt>
                <c:pt idx="20">
                  <c:v>2.30448733513161</c:v>
                </c:pt>
                <c:pt idx="21">
                  <c:v>2.51608958871077</c:v>
                </c:pt>
                <c:pt idx="22">
                  <c:v>2.72818776869723</c:v>
                </c:pt>
                <c:pt idx="23">
                  <c:v>2.93936647253127</c:v>
                </c:pt>
                <c:pt idx="24">
                  <c:v>3.14881630819455</c:v>
                </c:pt>
                <c:pt idx="25">
                  <c:v>3.3614247163103</c:v>
                </c:pt>
                <c:pt idx="26">
                  <c:v>3.57733800564568</c:v>
                </c:pt>
                <c:pt idx="27">
                  <c:v>3.79949922872273</c:v>
                </c:pt>
                <c:pt idx="28">
                  <c:v>4.02425829946345</c:v>
                </c:pt>
                <c:pt idx="29">
                  <c:v>5.12957521862799</c:v>
                </c:pt>
                <c:pt idx="30">
                  <c:v>6.19998098491829</c:v>
                </c:pt>
                <c:pt idx="31">
                  <c:v>8.26569070064819</c:v>
                </c:pt>
                <c:pt idx="32">
                  <c:v>9.46271111810719</c:v>
                </c:pt>
              </c:numCache>
            </c:numRef>
          </c:val>
          <c:smooth val="0"/>
          <c:extLst>
            <c:ext xmlns:c16="http://schemas.microsoft.com/office/drawing/2014/chart" uri="{C3380CC4-5D6E-409C-BE32-E72D297353CC}">
              <c16:uniqueId val="{00000002-CC89-493D-979B-D0F85A4F3E30}"/>
            </c:ext>
          </c:extLst>
        </c:ser>
        <c:ser>
          <c:idx val="3"/>
          <c:order val="3"/>
          <c:spPr>
            <a:ln w="28575" cap="rnd" cmpd="sng">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c:v>
                </c:pt>
                <c:pt idx="7">
                  <c:v>2.96135015986979</c:v>
                </c:pt>
                <c:pt idx="8">
                  <c:v>3.85533989269343</c:v>
                </c:pt>
                <c:pt idx="9">
                  <c:v>6.16339407310067</c:v>
                </c:pt>
                <c:pt idx="10">
                  <c:v>8.59379163738536</c:v>
                </c:pt>
                <c:pt idx="11">
                  <c:v>9.97467569247505</c:v>
                </c:pt>
                <c:pt idx="12">
                  <c:v>11.5604010934147</c:v>
                </c:pt>
                <c:pt idx="13">
                  <c:v>13.1479632371457</c:v>
                </c:pt>
                <c:pt idx="14">
                  <c:v>14.8588991970089</c:v>
                </c:pt>
                <c:pt idx="15">
                  <c:v>16.8253883405039</c:v>
                </c:pt>
                <c:pt idx="16">
                  <c:v>18.9213267307666</c:v>
                </c:pt>
                <c:pt idx="17">
                  <c:v>21.19288211569</c:v>
                </c:pt>
                <c:pt idx="18">
                  <c:v>23.6135031827825</c:v>
                </c:pt>
                <c:pt idx="19">
                  <c:v>26.1432716567805</c:v>
                </c:pt>
                <c:pt idx="20">
                  <c:v>28.7318771451683</c:v>
                </c:pt>
                <c:pt idx="21">
                  <c:v>31.3700907993693</c:v>
                </c:pt>
                <c:pt idx="22">
                  <c:v>34.0144875626678</c:v>
                </c:pt>
                <c:pt idx="23">
                  <c:v>36.6474204852041</c:v>
                </c:pt>
                <c:pt idx="24">
                  <c:v>39.2587982327018</c:v>
                </c:pt>
                <c:pt idx="25">
                  <c:v>41.9095564160453</c:v>
                </c:pt>
                <c:pt idx="26">
                  <c:v>44.6015191830435</c:v>
                </c:pt>
                <c:pt idx="27">
                  <c:v>47.3713799110938</c:v>
                </c:pt>
                <c:pt idx="28">
                  <c:v>50.1736300729136</c:v>
                </c:pt>
                <c:pt idx="29">
                  <c:v>63.9544955364671</c:v>
                </c:pt>
                <c:pt idx="30">
                  <c:v>77.3000958804917</c:v>
                </c:pt>
                <c:pt idx="31">
                  <c:v>103.054942463991</c:v>
                </c:pt>
                <c:pt idx="32">
                  <c:v>117.979148403585</c:v>
                </c:pt>
              </c:numCache>
            </c:numRef>
          </c:val>
          <c:smooth val="0"/>
          <c:extLst>
            <c:ext xmlns:c16="http://schemas.microsoft.com/office/drawing/2014/chart" uri="{C3380CC4-5D6E-409C-BE32-E72D297353CC}">
              <c16:uniqueId val="{00000003-CC89-493D-979B-D0F85A4F3E30}"/>
            </c:ext>
          </c:extLst>
        </c:ser>
        <c:ser>
          <c:idx val="4"/>
          <c:order val="4"/>
          <c:spPr>
            <a:ln w="28575" cap="rnd" cmpd="sng">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c:v>
                </c:pt>
                <c:pt idx="7">
                  <c:v>0.720390315795981</c:v>
                </c:pt>
                <c:pt idx="8">
                  <c:v>0.937865964125089</c:v>
                </c:pt>
                <c:pt idx="9">
                  <c:v>1.49933279180038</c:v>
                </c:pt>
                <c:pt idx="10">
                  <c:v>2.09056137819687</c:v>
                </c:pt>
                <c:pt idx="11">
                  <c:v>2.42648095771983</c:v>
                </c:pt>
                <c:pt idx="12">
                  <c:v>2.81223109217838</c:v>
                </c:pt>
                <c:pt idx="13">
                  <c:v>3.19842804030235</c:v>
                </c:pt>
                <c:pt idx="14">
                  <c:v>3.61463741436931</c:v>
                </c:pt>
                <c:pt idx="15">
                  <c:v>4.09301371525027</c:v>
                </c:pt>
                <c:pt idx="16">
                  <c:v>4.60288037651557</c:v>
                </c:pt>
                <c:pt idx="17">
                  <c:v>5.15546835590028</c:v>
                </c:pt>
                <c:pt idx="18">
                  <c:v>5.74431867106255</c:v>
                </c:pt>
                <c:pt idx="19">
                  <c:v>6.35972063688556</c:v>
                </c:pt>
                <c:pt idx="20">
                  <c:v>6.98943553873051</c:v>
                </c:pt>
                <c:pt idx="21">
                  <c:v>7.63121832863559</c:v>
                </c:pt>
                <c:pt idx="22">
                  <c:v>8.27450524729106</c:v>
                </c:pt>
                <c:pt idx="23">
                  <c:v>8.91500342452077</c:v>
                </c:pt>
                <c:pt idx="24">
                  <c:v>9.55025800051633</c:v>
                </c:pt>
                <c:pt idx="25">
                  <c:v>10.1950924245824</c:v>
                </c:pt>
                <c:pt idx="26">
                  <c:v>10.8499504464768</c:v>
                </c:pt>
                <c:pt idx="27">
                  <c:v>11.5237582492929</c:v>
                </c:pt>
                <c:pt idx="28">
                  <c:v>12.2054452400341</c:v>
                </c:pt>
                <c:pt idx="29">
                  <c:v>15.5578356995493</c:v>
                </c:pt>
                <c:pt idx="30">
                  <c:v>18.8043417617509</c:v>
                </c:pt>
                <c:pt idx="31">
                  <c:v>25.0695725051426</c:v>
                </c:pt>
                <c:pt idx="32">
                  <c:v>28.7000967084341</c:v>
                </c:pt>
              </c:numCache>
            </c:numRef>
          </c:val>
          <c:smooth val="0"/>
          <c:extLst>
            <c:ext xmlns:c16="http://schemas.microsoft.com/office/drawing/2014/chart" uri="{C3380CC4-5D6E-409C-BE32-E72D297353CC}">
              <c16:uniqueId val="{00000004-CC89-493D-979B-D0F85A4F3E30}"/>
            </c:ext>
          </c:extLst>
        </c:ser>
        <c:ser>
          <c:idx val="5"/>
          <c:order val="5"/>
          <c:spPr>
            <a:ln w="28575" cap="rnd" cmpd="sng">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0.19796348261065</c:v>
                </c:pt>
                <c:pt idx="7">
                  <c:v>0.381392726949644</c:v>
                </c:pt>
                <c:pt idx="8">
                  <c:v>0.496529797427519</c:v>
                </c:pt>
                <c:pt idx="9">
                  <c:v>0.793784438145776</c:v>
                </c:pt>
                <c:pt idx="10">
                  <c:v>1.10679570144571</c:v>
                </c:pt>
                <c:pt idx="11">
                  <c:v>1.2846399640084</c:v>
                </c:pt>
                <c:pt idx="12">
                  <c:v>1.48886577392893</c:v>
                </c:pt>
                <c:pt idx="13">
                  <c:v>1.69332813822638</c:v>
                </c:pt>
                <c:pt idx="14">
                  <c:v>1.91367983462864</c:v>
                </c:pt>
                <c:pt idx="15">
                  <c:v>2.16694426350908</c:v>
                </c:pt>
                <c:pt idx="16">
                  <c:v>2.4368804801083</c:v>
                </c:pt>
                <c:pt idx="17">
                  <c:v>2.72943443553489</c:v>
                </c:pt>
                <c:pt idx="18">
                  <c:v>3.04118658230931</c:v>
                </c:pt>
                <c:pt idx="19">
                  <c:v>3.36699583983115</c:v>
                </c:pt>
                <c:pt idx="20">
                  <c:v>3.70038272517552</c:v>
                </c:pt>
                <c:pt idx="21">
                  <c:v>4.04015865356344</c:v>
                </c:pt>
                <c:pt idx="22">
                  <c:v>4.38073090549045</c:v>
                </c:pt>
                <c:pt idx="23">
                  <c:v>4.71982672766291</c:v>
                </c:pt>
                <c:pt idx="24">
                  <c:v>5.05614645564049</c:v>
                </c:pt>
                <c:pt idx="25">
                  <c:v>5.39753799579997</c:v>
                </c:pt>
                <c:pt idx="26">
                  <c:v>5.7442362804086</c:v>
                </c:pt>
                <c:pt idx="27">
                  <c:v>6.10096705499159</c:v>
                </c:pt>
                <c:pt idx="28">
                  <c:v>6.4618692695607</c:v>
                </c:pt>
                <c:pt idx="29">
                  <c:v>8.23670897953337</c:v>
                </c:pt>
                <c:pt idx="30">
                  <c:v>9.95549083011042</c:v>
                </c:pt>
                <c:pt idx="31">
                  <c:v>13.2724613470595</c:v>
                </c:pt>
                <c:pt idx="32">
                  <c:v>15.1945520467659</c:v>
                </c:pt>
              </c:numCache>
            </c:numRef>
          </c:val>
          <c:smooth val="0"/>
          <c:extLst>
            <c:ext xmlns:c16="http://schemas.microsoft.com/office/drawing/2014/chart" uri="{C3380CC4-5D6E-409C-BE32-E72D297353CC}">
              <c16:uniqueId val="{00000005-CC89-493D-979B-D0F85A4F3E30}"/>
            </c:ext>
          </c:extLst>
        </c:ser>
        <c:ser>
          <c:idx val="6"/>
          <c:order val="6"/>
          <c:spPr>
            <a:ln w="28575" cap="rnd" cmpd="sng">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cmpd="sng">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cmpd="sng">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0.277836257020013</c:v>
                </c:pt>
                <c:pt idx="7">
                  <c:v>0.535274113755384</c:v>
                </c:pt>
                <c:pt idx="8">
                  <c:v>0.696865798665968</c:v>
                </c:pt>
                <c:pt idx="9">
                  <c:v>1.11405444209583</c:v>
                </c:pt>
                <c:pt idx="10">
                  <c:v>1.55335706828474</c:v>
                </c:pt>
                <c:pt idx="11">
                  <c:v>1.80295655800519</c:v>
                </c:pt>
                <c:pt idx="12">
                  <c:v>2.08958181770927</c:v>
                </c:pt>
                <c:pt idx="13">
                  <c:v>2.37653907492014</c:v>
                </c:pt>
                <c:pt idx="14">
                  <c:v>2.68579656902486</c:v>
                </c:pt>
                <c:pt idx="15">
                  <c:v>3.04124617027707</c:v>
                </c:pt>
                <c:pt idx="16">
                  <c:v>3.4200941631747</c:v>
                </c:pt>
                <c:pt idx="17">
                  <c:v>3.83068552517852</c:v>
                </c:pt>
                <c:pt idx="18">
                  <c:v>4.2682210162474</c:v>
                </c:pt>
                <c:pt idx="19">
                  <c:v>4.72548527235454</c:v>
                </c:pt>
                <c:pt idx="20">
                  <c:v>5.19338451893335</c:v>
                </c:pt>
                <c:pt idx="21">
                  <c:v>5.67025061021377</c:v>
                </c:pt>
                <c:pt idx="22">
                  <c:v>6.14823431949403</c:v>
                </c:pt>
                <c:pt idx="23">
                  <c:v>6.62414590056484</c:v>
                </c:pt>
                <c:pt idx="24">
                  <c:v>7.09616131043243</c:v>
                </c:pt>
                <c:pt idx="25">
                  <c:v>7.57529486802273</c:v>
                </c:pt>
                <c:pt idx="26">
                  <c:v>8.06187629425664</c:v>
                </c:pt>
                <c:pt idx="27">
                  <c:v>8.56253804190291</c:v>
                </c:pt>
                <c:pt idx="28">
                  <c:v>9.06905428986832</c:v>
                </c:pt>
                <c:pt idx="29">
                  <c:v>11.5599925948846</c:v>
                </c:pt>
                <c:pt idx="30">
                  <c:v>13.9722552490908</c:v>
                </c:pt>
                <c:pt idx="31">
                  <c:v>18.6275313683102</c:v>
                </c:pt>
                <c:pt idx="32">
                  <c:v>21.3251323531834</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showLeaderLines val="0"/>
        </c:dLbls>
        <c:marker val="1"/>
        <c:axId val="21251464"/>
        <c:axId val="48106671"/>
      </c:lineChart>
      <c:catAx>
        <c:axId val="21251464"/>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8106671"/>
        <c:crosses val="autoZero"/>
        <c:auto val="1"/>
        <c:lblOffset val="100"/>
        <c:noMultiLvlLbl val="0"/>
      </c:catAx>
      <c:valAx>
        <c:axId val="48106671"/>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1251464"/>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132.81549</c:v>
                </c:pt>
                <c:pt idx="1">
                  <c:v>134.007875</c:v>
                </c:pt>
                <c:pt idx="2">
                  <c:v>135.598851</c:v>
                </c:pt>
                <c:pt idx="3">
                  <c:v>136.994216</c:v>
                </c:pt>
                <c:pt idx="4">
                  <c:v>138.328236</c:v>
                </c:pt>
                <c:pt idx="5">
                  <c:v>139.225634224647</c:v>
                </c:pt>
                <c:pt idx="6">
                  <c:v>137.833377882401</c:v>
                </c:pt>
                <c:pt idx="7">
                  <c:v>136.441121540154</c:v>
                </c:pt>
                <c:pt idx="8">
                  <c:v>135.048865197908</c:v>
                </c:pt>
                <c:pt idx="9">
                  <c:v>133.656608855661</c:v>
                </c:pt>
                <c:pt idx="10">
                  <c:v>132.264352513415</c:v>
                </c:pt>
                <c:pt idx="11">
                  <c:v>130.872096171168</c:v>
                </c:pt>
                <c:pt idx="12">
                  <c:v>129.479839828922</c:v>
                </c:pt>
                <c:pt idx="13">
                  <c:v>128.087583486676</c:v>
                </c:pt>
                <c:pt idx="14">
                  <c:v>126.695327144429</c:v>
                </c:pt>
                <c:pt idx="15">
                  <c:v>125.303070802183</c:v>
                </c:pt>
                <c:pt idx="16">
                  <c:v>123.910814459936</c:v>
                </c:pt>
                <c:pt idx="17">
                  <c:v>122.51855811769</c:v>
                </c:pt>
                <c:pt idx="18">
                  <c:v>121.126301775443</c:v>
                </c:pt>
                <c:pt idx="19">
                  <c:v>119.734045433197</c:v>
                </c:pt>
                <c:pt idx="20">
                  <c:v>118.34178909095</c:v>
                </c:pt>
                <c:pt idx="21">
                  <c:v>116.949532748704</c:v>
                </c:pt>
                <c:pt idx="22">
                  <c:v>115.557276406457</c:v>
                </c:pt>
                <c:pt idx="23">
                  <c:v>114.165020064211</c:v>
                </c:pt>
                <c:pt idx="24">
                  <c:v>112.772763721964</c:v>
                </c:pt>
                <c:pt idx="25">
                  <c:v>111.380507379718</c:v>
                </c:pt>
                <c:pt idx="26">
                  <c:v>109.988251037471</c:v>
                </c:pt>
                <c:pt idx="27">
                  <c:v>108.595994695225</c:v>
                </c:pt>
                <c:pt idx="28">
                  <c:v>107.203738352978</c:v>
                </c:pt>
                <c:pt idx="29">
                  <c:v>105.811482010732</c:v>
                </c:pt>
                <c:pt idx="30">
                  <c:v>104.419225668485</c:v>
                </c:pt>
                <c:pt idx="31">
                  <c:v>103.026969326239</c:v>
                </c:pt>
                <c:pt idx="32">
                  <c:v>101.634712983993</c:v>
                </c:pt>
                <c:pt idx="33">
                  <c:v>100.242456641746</c:v>
                </c:pt>
                <c:pt idx="34">
                  <c:v>98.8502002994996</c:v>
                </c:pt>
                <c:pt idx="35">
                  <c:v>97.4579439572531</c:v>
                </c:pt>
                <c:pt idx="36">
                  <c:v>96.0656876150066</c:v>
                </c:pt>
                <c:pt idx="37">
                  <c:v>94.6734312727602</c:v>
                </c:pt>
                <c:pt idx="38">
                  <c:v>93.2811749305137</c:v>
                </c:pt>
              </c:numCache>
            </c:numRef>
          </c:val>
          <c:smooth val="0"/>
          <c:extLst>
            <c:ext xmlns:c16="http://schemas.microsoft.com/office/drawing/2014/chart" uri="{C3380CC4-5D6E-409C-BE32-E72D297353CC}">
              <c16:uniqueId val="{00000000-4264-4301-8A0A-757E225EA6EA}"/>
            </c:ext>
          </c:extLst>
        </c:ser>
        <c:ser>
          <c:idx val="0"/>
          <c:order val="1"/>
          <c:spPr>
            <a:ln w="28575" cap="rnd" cmpd="sng">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c:v>
                </c:pt>
                <c:pt idx="7">
                  <c:v>4.61186341443661</c:v>
                </c:pt>
                <c:pt idx="8">
                  <c:v>6.00411975668311</c:v>
                </c:pt>
                <c:pt idx="9">
                  <c:v>9.59857163117056</c:v>
                </c:pt>
                <c:pt idx="10">
                  <c:v>13.3835551704874</c:v>
                </c:pt>
                <c:pt idx="11">
                  <c:v>15.5340771653355</c:v>
                </c:pt>
                <c:pt idx="12">
                  <c:v>18.0036091582215</c:v>
                </c:pt>
                <c:pt idx="13">
                  <c:v>20.4760016054354</c:v>
                </c:pt>
                <c:pt idx="14">
                  <c:v>23.1405304628008</c:v>
                </c:pt>
                <c:pt idx="15">
                  <c:v>26.203045479995</c:v>
                </c:pt>
                <c:pt idx="16">
                  <c:v>29.4671584889715</c:v>
                </c:pt>
                <c:pt idx="17">
                  <c:v>33.004768905855</c:v>
                </c:pt>
                <c:pt idx="18">
                  <c:v>36.7745270016112</c:v>
                </c:pt>
                <c:pt idx="19">
                  <c:v>40.7142659863248</c:v>
                </c:pt>
                <c:pt idx="20">
                  <c:v>44.745634889633</c:v>
                </c:pt>
                <c:pt idx="21">
                  <c:v>48.8542611494237</c:v>
                </c:pt>
                <c:pt idx="22">
                  <c:v>52.9725166840706</c:v>
                </c:pt>
                <c:pt idx="23">
                  <c:v>57.0729189879455</c:v>
                </c:pt>
                <c:pt idx="24">
                  <c:v>61.139752305451</c:v>
                </c:pt>
                <c:pt idx="25">
                  <c:v>65.2679148077935</c:v>
                </c:pt>
                <c:pt idx="26">
                  <c:v>69.4602473344848</c:v>
                </c:pt>
                <c:pt idx="27">
                  <c:v>73.7738943755837</c:v>
                </c:pt>
                <c:pt idx="28">
                  <c:v>78.1379831532392</c:v>
                </c:pt>
                <c:pt idx="29">
                  <c:v>82.5429631639905</c:v>
                </c:pt>
                <c:pt idx="30">
                  <c:v>86.8885913752374</c:v>
                </c:pt>
                <c:pt idx="31">
                  <c:v>91.1780252105888</c:v>
                </c:pt>
                <c:pt idx="32">
                  <c:v>95.4141553456068</c:v>
                </c:pt>
                <c:pt idx="33">
                  <c:v>99.5996360546408</c:v>
                </c:pt>
                <c:pt idx="34">
                  <c:v>103.851469204284</c:v>
                </c:pt>
                <c:pt idx="35">
                  <c:v>108.053500184633</c:v>
                </c:pt>
                <c:pt idx="36">
                  <c:v>112.208080487301</c:v>
                </c:pt>
                <c:pt idx="37">
                  <c:v>116.317384623731</c:v>
                </c:pt>
                <c:pt idx="38">
                  <c:v>120.383428125014</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showLeaderLines val="0"/>
        </c:dLbls>
        <c:marker val="1"/>
        <c:axId val="18923439"/>
        <c:axId val="29078612"/>
      </c:lineChart>
      <c:catAx>
        <c:axId val="18923439"/>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9078612"/>
        <c:crosses val="autoZero"/>
        <c:auto val="1"/>
        <c:lblOffset val="100"/>
        <c:noMultiLvlLbl val="0"/>
      </c:catAx>
      <c:valAx>
        <c:axId val="29078612"/>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8923439"/>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c:v>
                </c:pt>
                <c:pt idx="1">
                  <c:v>137.454652860711</c:v>
                </c:pt>
                <c:pt idx="2">
                  <c:v>135.581814692262</c:v>
                </c:pt>
                <c:pt idx="3">
                  <c:v>133.436204088712</c:v>
                </c:pt>
                <c:pt idx="4">
                  <c:v>131.160297099888</c:v>
                </c:pt>
                <c:pt idx="5">
                  <c:v>128.412719335418</c:v>
                </c:pt>
                <c:pt idx="6">
                  <c:v>127.570170671475</c:v>
                </c:pt>
                <c:pt idx="7">
                  <c:v>126.695201848634</c:v>
                </c:pt>
                <c:pt idx="8">
                  <c:v>125.667900093951</c:v>
                </c:pt>
                <c:pt idx="9">
                  <c:v>125.046830881684</c:v>
                </c:pt>
                <c:pt idx="10">
                  <c:v>124.460908486075</c:v>
                </c:pt>
                <c:pt idx="11">
                  <c:v>123.573481769449</c:v>
                </c:pt>
                <c:pt idx="12">
                  <c:v>122.744901890293</c:v>
                </c:pt>
                <c:pt idx="13">
                  <c:v>121.916849670745</c:v>
                </c:pt>
                <c:pt idx="14">
                  <c:v>121.124240290511</c:v>
                </c:pt>
                <c:pt idx="15">
                  <c:v>120.405046248374</c:v>
                </c:pt>
                <c:pt idx="16">
                  <c:v>119.723040395727</c:v>
                </c:pt>
                <c:pt idx="17">
                  <c:v>119.091485806708</c:v>
                </c:pt>
                <c:pt idx="18">
                  <c:v>118.502754818239</c:v>
                </c:pt>
                <c:pt idx="19">
                  <c:v>117.945379705156</c:v>
                </c:pt>
                <c:pt idx="20">
                  <c:v>117.404907294056</c:v>
                </c:pt>
                <c:pt idx="21">
                  <c:v>116.878686320618</c:v>
                </c:pt>
                <c:pt idx="22">
                  <c:v>116.354241631232</c:v>
                </c:pt>
                <c:pt idx="23">
                  <c:v>115.826503608798</c:v>
                </c:pt>
                <c:pt idx="24">
                  <c:v>115.292573214033</c:v>
                </c:pt>
                <c:pt idx="25">
                  <c:v>114.769956033884</c:v>
                </c:pt>
                <c:pt idx="26">
                  <c:v>114.259176109672</c:v>
                </c:pt>
                <c:pt idx="27">
                  <c:v>113.770774717655</c:v>
                </c:pt>
                <c:pt idx="28">
                  <c:v>113.291678164643</c:v>
                </c:pt>
                <c:pt idx="29">
                  <c:v>110.830010279936</c:v>
                </c:pt>
                <c:pt idx="30">
                  <c:v>108.243299398472</c:v>
                </c:pt>
                <c:pt idx="31">
                  <c:v>102.800881756932</c:v>
                </c:pt>
                <c:pt idx="32">
                  <c:v>94.2470368446643</c:v>
                </c:pt>
              </c:numCache>
            </c:numRef>
          </c:val>
          <c:smooth val="0"/>
          <c:extLst>
            <c:ext xmlns:c16="http://schemas.microsoft.com/office/drawing/2014/chart" uri="{C3380CC4-5D6E-409C-BE32-E72D297353CC}">
              <c16:uniqueId val="{00000000-E562-45F6-8549-313071348B04}"/>
            </c:ext>
          </c:extLst>
        </c:ser>
        <c:ser>
          <c:idx val="2"/>
          <c:order val="1"/>
          <c:spPr>
            <a:ln w="28575" cap="rnd" cmpd="sng">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7.8517549075019</c:v>
                </c:pt>
                <c:pt idx="1">
                  <c:v>8.64648670872598</c:v>
                </c:pt>
                <c:pt idx="2">
                  <c:v>9.48197906231141</c:v>
                </c:pt>
                <c:pt idx="3">
                  <c:v>10.3199325566316</c:v>
                </c:pt>
                <c:pt idx="4">
                  <c:v>11.1680157227606</c:v>
                </c:pt>
                <c:pt idx="5">
                  <c:v>11.992907577983</c:v>
                </c:pt>
                <c:pt idx="6">
                  <c:v>11.914219046902</c:v>
                </c:pt>
                <c:pt idx="7">
                  <c:v>11.8325026851564</c:v>
                </c:pt>
                <c:pt idx="8">
                  <c:v>11.7365594245325</c:v>
                </c:pt>
                <c:pt idx="9">
                  <c:v>11.678555624747</c:v>
                </c:pt>
                <c:pt idx="10">
                  <c:v>11.623834307616</c:v>
                </c:pt>
                <c:pt idx="11">
                  <c:v>11.5409544601227</c:v>
                </c:pt>
                <c:pt idx="12">
                  <c:v>11.4635705221208</c:v>
                </c:pt>
                <c:pt idx="13">
                  <c:v>11.3862358640731</c:v>
                </c:pt>
                <c:pt idx="14">
                  <c:v>11.3122113352587</c:v>
                </c:pt>
                <c:pt idx="15">
                  <c:v>11.2450433185495</c:v>
                </c:pt>
                <c:pt idx="16">
                  <c:v>11.1813484353575</c:v>
                </c:pt>
                <c:pt idx="17">
                  <c:v>11.1223653700058</c:v>
                </c:pt>
                <c:pt idx="18">
                  <c:v>11.0673817486827</c:v>
                </c:pt>
                <c:pt idx="19">
                  <c:v>11.0153265609095</c:v>
                </c:pt>
                <c:pt idx="20">
                  <c:v>10.9648499748804</c:v>
                </c:pt>
                <c:pt idx="21">
                  <c:v>10.915704379859</c:v>
                </c:pt>
                <c:pt idx="22">
                  <c:v>10.8667246781433</c:v>
                </c:pt>
                <c:pt idx="23">
                  <c:v>10.8174374006742</c:v>
                </c:pt>
                <c:pt idx="24">
                  <c:v>10.767571796156</c:v>
                </c:pt>
                <c:pt idx="25">
                  <c:v>10.7187627718425</c:v>
                </c:pt>
                <c:pt idx="26">
                  <c:v>10.6710592697637</c:v>
                </c:pt>
                <c:pt idx="27">
                  <c:v>10.6254457761337</c:v>
                </c:pt>
                <c:pt idx="28">
                  <c:v>10.5807012935705</c:v>
                </c:pt>
                <c:pt idx="29">
                  <c:v>10.3507976237333</c:v>
                </c:pt>
                <c:pt idx="30">
                  <c:v>10.1092157563536</c:v>
                </c:pt>
                <c:pt idx="31">
                  <c:v>9.60092956699807</c:v>
                </c:pt>
                <c:pt idx="32">
                  <c:v>8.80205643355663</c:v>
                </c:pt>
              </c:numCache>
            </c:numRef>
          </c:val>
          <c:smooth val="0"/>
          <c:extLst>
            <c:ext xmlns:c16="http://schemas.microsoft.com/office/drawing/2014/chart" uri="{C3380CC4-5D6E-409C-BE32-E72D297353CC}">
              <c16:uniqueId val="{00000001-E562-45F6-8549-313071348B04}"/>
            </c:ext>
          </c:extLst>
        </c:ser>
        <c:ser>
          <c:idx val="3"/>
          <c:order val="2"/>
          <c:spPr>
            <a:ln w="28575" cap="rnd" cmpd="sng">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c:v>
                </c:pt>
                <c:pt idx="1">
                  <c:v>9.71208075801701</c:v>
                </c:pt>
                <c:pt idx="2">
                  <c:v>9.55291534056842</c:v>
                </c:pt>
                <c:pt idx="3">
                  <c:v>9.37392441911238</c:v>
                </c:pt>
                <c:pt idx="4">
                  <c:v>9.18521129256394</c:v>
                </c:pt>
                <c:pt idx="5">
                  <c:v>8.96298911580259</c:v>
                </c:pt>
                <c:pt idx="6">
                  <c:v>8.90418065396531</c:v>
                </c:pt>
                <c:pt idx="7">
                  <c:v>8.84310932025028</c:v>
                </c:pt>
                <c:pt idx="8">
                  <c:v>8.77140540732386</c:v>
                </c:pt>
                <c:pt idx="9">
                  <c:v>8.72805583402213</c:v>
                </c:pt>
                <c:pt idx="10">
                  <c:v>8.68715944866613</c:v>
                </c:pt>
                <c:pt idx="11">
                  <c:v>8.62521857518141</c:v>
                </c:pt>
                <c:pt idx="12">
                  <c:v>8.56738511073263</c:v>
                </c:pt>
                <c:pt idx="13">
                  <c:v>8.50958847602595</c:v>
                </c:pt>
                <c:pt idx="14">
                  <c:v>8.45426569114229</c:v>
                </c:pt>
                <c:pt idx="15">
                  <c:v>8.40406717182748</c:v>
                </c:pt>
                <c:pt idx="16">
                  <c:v>8.35646432480559</c:v>
                </c:pt>
                <c:pt idx="17">
                  <c:v>8.31238289006374</c:v>
                </c:pt>
                <c:pt idx="18">
                  <c:v>8.27129046970933</c:v>
                </c:pt>
                <c:pt idx="19">
                  <c:v>8.23238663605608</c:v>
                </c:pt>
                <c:pt idx="20">
                  <c:v>8.1946625822151</c:v>
                </c:pt>
                <c:pt idx="21">
                  <c:v>8.15793325445187</c:v>
                </c:pt>
                <c:pt idx="22">
                  <c:v>8.12132790829045</c:v>
                </c:pt>
                <c:pt idx="23">
                  <c:v>8.08449269309094</c:v>
                </c:pt>
                <c:pt idx="24">
                  <c:v>8.04722526084873</c:v>
                </c:pt>
                <c:pt idx="25">
                  <c:v>8.01074747171965</c:v>
                </c:pt>
                <c:pt idx="26">
                  <c:v>7.97509590289546</c:v>
                </c:pt>
                <c:pt idx="27">
                  <c:v>7.9410063175067</c:v>
                </c:pt>
                <c:pt idx="28">
                  <c:v>7.90756619403385</c:v>
                </c:pt>
                <c:pt idx="29">
                  <c:v>7.73574596803486</c:v>
                </c:pt>
                <c:pt idx="30">
                  <c:v>7.5551979538173</c:v>
                </c:pt>
                <c:pt idx="31">
                  <c:v>7.17532647116952</c:v>
                </c:pt>
                <c:pt idx="32">
                  <c:v>6.57828266395401</c:v>
                </c:pt>
              </c:numCache>
            </c:numRef>
          </c:val>
          <c:smooth val="0"/>
          <c:extLst>
            <c:ext xmlns:c16="http://schemas.microsoft.com/office/drawing/2014/chart" uri="{C3380CC4-5D6E-409C-BE32-E72D297353CC}">
              <c16:uniqueId val="{00000002-E562-45F6-8549-313071348B04}"/>
            </c:ext>
          </c:extLst>
        </c:ser>
        <c:ser>
          <c:idx val="4"/>
          <c:order val="3"/>
          <c:spPr>
            <a:ln w="28575" cap="rnd" cmpd="sng">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121.540271905689</c:v>
                </c:pt>
                <c:pt idx="1">
                  <c:v>119.617286572427</c:v>
                </c:pt>
                <c:pt idx="2">
                  <c:v>117.987484923396</c:v>
                </c:pt>
                <c:pt idx="3">
                  <c:v>116.12030827207</c:v>
                </c:pt>
                <c:pt idx="4">
                  <c:v>114.139743679831</c:v>
                </c:pt>
                <c:pt idx="5">
                  <c:v>111.748716602955</c:v>
                </c:pt>
                <c:pt idx="6">
                  <c:v>111.015504718973</c:v>
                </c:pt>
                <c:pt idx="7">
                  <c:v>110.254079810863</c:v>
                </c:pt>
                <c:pt idx="8">
                  <c:v>109.36009007804</c:v>
                </c:pt>
                <c:pt idx="9">
                  <c:v>108.819616457112</c:v>
                </c:pt>
                <c:pt idx="10">
                  <c:v>108.309728682154</c:v>
                </c:pt>
                <c:pt idx="11">
                  <c:v>107.537462529896</c:v>
                </c:pt>
                <c:pt idx="12">
                  <c:v>106.816406714102</c:v>
                </c:pt>
                <c:pt idx="13">
                  <c:v>106.095810084005</c:v>
                </c:pt>
                <c:pt idx="14">
                  <c:v>105.406056907941</c:v>
                </c:pt>
                <c:pt idx="15">
                  <c:v>104.780192027785</c:v>
                </c:pt>
                <c:pt idx="16">
                  <c:v>104.186689459322</c:v>
                </c:pt>
                <c:pt idx="17">
                  <c:v>103.637091139523</c:v>
                </c:pt>
                <c:pt idx="18">
                  <c:v>103.124759240266</c:v>
                </c:pt>
                <c:pt idx="19">
                  <c:v>102.639714192736</c:v>
                </c:pt>
                <c:pt idx="20">
                  <c:v>102.169378398804</c:v>
                </c:pt>
                <c:pt idx="21">
                  <c:v>101.711444646324</c:v>
                </c:pt>
                <c:pt idx="22">
                  <c:v>101.25505667112</c:v>
                </c:pt>
                <c:pt idx="23">
                  <c:v>100.795802735724</c:v>
                </c:pt>
                <c:pt idx="24">
                  <c:v>100.331160006569</c:v>
                </c:pt>
                <c:pt idx="25">
                  <c:v>99.8763623863753</c:v>
                </c:pt>
                <c:pt idx="26">
                  <c:v>99.4318659120953</c:v>
                </c:pt>
                <c:pt idx="27">
                  <c:v>99.0068439280783</c:v>
                </c:pt>
                <c:pt idx="28">
                  <c:v>98.5899193025037</c:v>
                </c:pt>
                <c:pt idx="29">
                  <c:v>96.4476998382443</c:v>
                </c:pt>
                <c:pt idx="30">
                  <c:v>94.1966640941027</c:v>
                </c:pt>
                <c:pt idx="31">
                  <c:v>89.4605040796821</c:v>
                </c:pt>
                <c:pt idx="32">
                  <c:v>82.016683904285</c:v>
                </c:pt>
              </c:numCache>
            </c:numRef>
          </c:val>
          <c:smooth val="0"/>
          <c:extLst>
            <c:ext xmlns:c16="http://schemas.microsoft.com/office/drawing/2014/chart" uri="{C3380CC4-5D6E-409C-BE32-E72D297353CC}">
              <c16:uniqueId val="{00000003-E562-45F6-8549-313071348B04}"/>
            </c:ext>
          </c:extLst>
        </c:ser>
        <c:ser>
          <c:idx val="5"/>
          <c:order val="4"/>
          <c:spPr>
            <a:ln w="28575" cap="rnd" cmpd="sng">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29.5663903737471</c:v>
                </c:pt>
                <c:pt idx="1">
                  <c:v>29.098596990083</c:v>
                </c:pt>
                <c:pt idx="2">
                  <c:v>28.7021246848013</c:v>
                </c:pt>
                <c:pt idx="3">
                  <c:v>28.2479075524529</c:v>
                </c:pt>
                <c:pt idx="4">
                  <c:v>27.7661071995625</c:v>
                </c:pt>
                <c:pt idx="5">
                  <c:v>27.1844560411384</c:v>
                </c:pt>
                <c:pt idx="6">
                  <c:v>27.0060918788029</c:v>
                </c:pt>
                <c:pt idx="7">
                  <c:v>26.8208644992646</c:v>
                </c:pt>
                <c:pt idx="8">
                  <c:v>26.6033888509355</c:v>
                </c:pt>
                <c:pt idx="9">
                  <c:v>26.471910997443</c:v>
                </c:pt>
                <c:pt idx="10">
                  <c:v>26.3478735836307</c:v>
                </c:pt>
                <c:pt idx="11">
                  <c:v>26.1600089181001</c:v>
                </c:pt>
                <c:pt idx="12">
                  <c:v>25.9846018913033</c:v>
                </c:pt>
                <c:pt idx="13">
                  <c:v>25.8093065679229</c:v>
                </c:pt>
                <c:pt idx="14">
                  <c:v>25.6415143510283</c:v>
                </c:pt>
                <c:pt idx="15">
                  <c:v>25.4892638658371</c:v>
                </c:pt>
                <c:pt idx="16">
                  <c:v>25.3448859707421</c:v>
                </c:pt>
                <c:pt idx="17">
                  <c:v>25.2111884051769</c:v>
                </c:pt>
                <c:pt idx="18">
                  <c:v>25.086556423556</c:v>
                </c:pt>
                <c:pt idx="19">
                  <c:v>24.9685623546004</c:v>
                </c:pt>
                <c:pt idx="20">
                  <c:v>24.8541465196503</c:v>
                </c:pt>
                <c:pt idx="21">
                  <c:v>24.7427476567151</c:v>
                </c:pt>
                <c:pt idx="22">
                  <c:v>24.6317248259676</c:v>
                </c:pt>
                <c:pt idx="23">
                  <c:v>24.5200048098637</c:v>
                </c:pt>
                <c:pt idx="24">
                  <c:v>24.4069738934512</c:v>
                </c:pt>
                <c:pt idx="25">
                  <c:v>24.2963379390563</c:v>
                </c:pt>
                <c:pt idx="26">
                  <c:v>24.1882078841185</c:v>
                </c:pt>
                <c:pt idx="27">
                  <c:v>24.0848152744112</c:v>
                </c:pt>
                <c:pt idx="28">
                  <c:v>23.9833924616851</c:v>
                </c:pt>
                <c:pt idx="29">
                  <c:v>23.462267274507</c:v>
                </c:pt>
                <c:pt idx="30">
                  <c:v>22.9146709880004</c:v>
                </c:pt>
                <c:pt idx="31">
                  <c:v>21.7625330697345</c:v>
                </c:pt>
                <c:pt idx="32">
                  <c:v>19.9517185164436</c:v>
                </c:pt>
              </c:numCache>
            </c:numRef>
          </c:val>
          <c:smooth val="0"/>
          <c:extLst>
            <c:ext xmlns:c16="http://schemas.microsoft.com/office/drawing/2014/chart" uri="{C3380CC4-5D6E-409C-BE32-E72D297353CC}">
              <c16:uniqueId val="{00000004-E562-45F6-8549-313071348B04}"/>
            </c:ext>
          </c:extLst>
        </c:ser>
        <c:ser>
          <c:idx val="6"/>
          <c:order val="5"/>
          <c:spPr>
            <a:ln w="28575" cap="rnd" cmpd="sng">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c:v>
                </c:pt>
                <c:pt idx="1">
                  <c:v>10.5865852464192</c:v>
                </c:pt>
                <c:pt idx="2">
                  <c:v>11.5385097666719</c:v>
                </c:pt>
                <c:pt idx="3">
                  <c:v>12.4919856905233</c:v>
                </c:pt>
                <c:pt idx="4">
                  <c:v>13.4564986235496</c:v>
                </c:pt>
                <c:pt idx="5">
                  <c:v>14.3921338097343</c:v>
                </c:pt>
                <c:pt idx="6">
                  <c:v>14.2977033422896</c:v>
                </c:pt>
                <c:pt idx="7">
                  <c:v>14.199639315277</c:v>
                </c:pt>
                <c:pt idx="8">
                  <c:v>14.0845022447992</c:v>
                </c:pt>
                <c:pt idx="9">
                  <c:v>14.0148945668814</c:v>
                </c:pt>
                <c:pt idx="10">
                  <c:v>13.949226044609</c:v>
                </c:pt>
                <c:pt idx="11">
                  <c:v>13.8497657721523</c:v>
                </c:pt>
                <c:pt idx="12">
                  <c:v>13.7569008865351</c:v>
                </c:pt>
                <c:pt idx="13">
                  <c:v>13.6640951395121</c:v>
                </c:pt>
                <c:pt idx="14">
                  <c:v>13.5752617255154</c:v>
                </c:pt>
                <c:pt idx="15">
                  <c:v>13.4946564946381</c:v>
                </c:pt>
                <c:pt idx="16">
                  <c:v>13.4182192106906</c:v>
                </c:pt>
                <c:pt idx="17">
                  <c:v>13.3474363614499</c:v>
                </c:pt>
                <c:pt idx="18">
                  <c:v>13.2814530600462</c:v>
                </c:pt>
                <c:pt idx="19">
                  <c:v>13.2189840363293</c:v>
                </c:pt>
                <c:pt idx="20">
                  <c:v>13.158409419568</c:v>
                </c:pt>
                <c:pt idx="21">
                  <c:v>13.0994320635677</c:v>
                </c:pt>
                <c:pt idx="22">
                  <c:v>13.0406537884521</c:v>
                </c:pt>
                <c:pt idx="23">
                  <c:v>12.9815064058979</c:v>
                </c:pt>
                <c:pt idx="24">
                  <c:v>12.9216649997949</c:v>
                </c:pt>
                <c:pt idx="25">
                  <c:v>12.8630915467374</c:v>
                </c:pt>
                <c:pt idx="26">
                  <c:v>12.8058447797922</c:v>
                </c:pt>
                <c:pt idx="27">
                  <c:v>12.7511061353406</c:v>
                </c:pt>
                <c:pt idx="28">
                  <c:v>12.6974103508856</c:v>
                </c:pt>
                <c:pt idx="29">
                  <c:v>12.421513587892</c:v>
                </c:pt>
                <c:pt idx="30">
                  <c:v>12.1316023600496</c:v>
                </c:pt>
                <c:pt idx="31">
                  <c:v>11.5216316083134</c:v>
                </c:pt>
                <c:pt idx="32">
                  <c:v>10.5629409022666</c:v>
                </c:pt>
              </c:numCache>
            </c:numRef>
          </c:val>
          <c:smooth val="0"/>
          <c:extLst>
            <c:ext xmlns:c16="http://schemas.microsoft.com/office/drawing/2014/chart" uri="{C3380CC4-5D6E-409C-BE32-E72D297353CC}">
              <c16:uniqueId val="{00000005-E562-45F6-8549-313071348B04}"/>
            </c:ext>
          </c:extLst>
        </c:ser>
        <c:ser>
          <c:idx val="7"/>
          <c:order val="6"/>
          <c:spPr>
            <a:ln w="28575" cap="rnd" cmpd="sng">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c:v>
                </c:pt>
                <c:pt idx="1">
                  <c:v>10.1375796321457</c:v>
                </c:pt>
                <c:pt idx="2">
                  <c:v>9.99945374352974</c:v>
                </c:pt>
                <c:pt idx="3">
                  <c:v>9.84121029450585</c:v>
                </c:pt>
                <c:pt idx="4">
                  <c:v>9.67335720365454</c:v>
                </c:pt>
                <c:pt idx="5">
                  <c:v>9.47071736714751</c:v>
                </c:pt>
                <c:pt idx="6">
                  <c:v>9.53884707868079</c:v>
                </c:pt>
                <c:pt idx="7">
                  <c:v>9.5950215040281</c:v>
                </c:pt>
                <c:pt idx="8">
                  <c:v>9.5950215040281</c:v>
                </c:pt>
                <c:pt idx="9">
                  <c:v>9.74482417211576</c:v>
                </c:pt>
                <c:pt idx="10">
                  <c:v>9.90758761109264</c:v>
                </c:pt>
                <c:pt idx="11">
                  <c:v>9.95916805261836</c:v>
                </c:pt>
                <c:pt idx="12">
                  <c:v>10.0324489054623</c:v>
                </c:pt>
                <c:pt idx="13">
                  <c:v>10.1059243385258</c:v>
                </c:pt>
                <c:pt idx="14">
                  <c:v>10.1924697040526</c:v>
                </c:pt>
                <c:pt idx="15">
                  <c:v>10.3060877739472</c:v>
                </c:pt>
                <c:pt idx="16">
                  <c:v>10.4334193931648</c:v>
                </c:pt>
                <c:pt idx="17">
                  <c:v>10.5793554645391</c:v>
                </c:pt>
                <c:pt idx="18">
                  <c:v>10.7410832043536</c:v>
                </c:pt>
                <c:pt idx="19">
                  <c:v>10.9143737642342</c:v>
                </c:pt>
                <c:pt idx="20">
                  <c:v>11.0938973793005</c:v>
                </c:pt>
                <c:pt idx="21">
                  <c:v>11.2786763669987</c:v>
                </c:pt>
                <c:pt idx="22">
                  <c:v>11.4641103787601</c:v>
                </c:pt>
                <c:pt idx="23">
                  <c:v>11.6483299381423</c:v>
                </c:pt>
                <c:pt idx="24">
                  <c:v>11.8302659928812</c:v>
                </c:pt>
                <c:pt idx="25">
                  <c:v>12.0163739185488</c:v>
                </c:pt>
                <c:pt idx="26">
                  <c:v>12.2068469610818</c:v>
                </c:pt>
                <c:pt idx="27">
                  <c:v>12.4055723307447</c:v>
                </c:pt>
                <c:pt idx="28">
                  <c:v>12.6077289609876</c:v>
                </c:pt>
                <c:pt idx="29">
                  <c:v>13.59410562952</c:v>
                </c:pt>
                <c:pt idx="30">
                  <c:v>14.5343713330661</c:v>
                </c:pt>
                <c:pt idx="31">
                  <c:v>16.3157075843957</c:v>
                </c:pt>
                <c:pt idx="32">
                  <c:v>16.9496711906325</c:v>
                </c:pt>
              </c:numCache>
            </c:numRef>
          </c:val>
          <c:smooth val="0"/>
          <c:extLst>
            <c:ext xmlns:c16="http://schemas.microsoft.com/office/drawing/2014/chart" uri="{C3380CC4-5D6E-409C-BE32-E72D297353CC}">
              <c16:uniqueId val="{00000006-E562-45F6-8549-313071348B04}"/>
            </c:ext>
          </c:extLst>
        </c:ser>
        <c:ser>
          <c:idx val="8"/>
          <c:order val="7"/>
          <c:spPr>
            <a:ln w="28575" cap="rnd" cmpd="sng">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c:v>
                </c:pt>
                <c:pt idx="1">
                  <c:v>3.50303592100065</c:v>
                </c:pt>
                <c:pt idx="2">
                  <c:v>3.45530658451213</c:v>
                </c:pt>
                <c:pt idx="3">
                  <c:v>3.40062563439304</c:v>
                </c:pt>
                <c:pt idx="4">
                  <c:v>3.34262407701551</c:v>
                </c:pt>
                <c:pt idx="5">
                  <c:v>3.27260197587621</c:v>
                </c:pt>
                <c:pt idx="6">
                  <c:v>3.29614416596976</c:v>
                </c:pt>
                <c:pt idx="7">
                  <c:v>3.31555521248911</c:v>
                </c:pt>
                <c:pt idx="8">
                  <c:v>3.31555521248911</c:v>
                </c:pt>
                <c:pt idx="9">
                  <c:v>3.36731945468641</c:v>
                </c:pt>
                <c:pt idx="10">
                  <c:v>3.42356228522889</c:v>
                </c:pt>
                <c:pt idx="11">
                  <c:v>3.44138588277802</c:v>
                </c:pt>
                <c:pt idx="12">
                  <c:v>3.46670804735267</c:v>
                </c:pt>
                <c:pt idx="13">
                  <c:v>3.49209744903159</c:v>
                </c:pt>
                <c:pt idx="14">
                  <c:v>3.52200315978678</c:v>
                </c:pt>
                <c:pt idx="15">
                  <c:v>3.56126383092899</c:v>
                </c:pt>
                <c:pt idx="16">
                  <c:v>3.60526321265357</c:v>
                </c:pt>
                <c:pt idx="17">
                  <c:v>3.65569135415719</c:v>
                </c:pt>
                <c:pt idx="18">
                  <c:v>3.7115762993364</c:v>
                </c:pt>
                <c:pt idx="19">
                  <c:v>3.77145677160486</c:v>
                </c:pt>
                <c:pt idx="20">
                  <c:v>3.83349107319011</c:v>
                </c:pt>
                <c:pt idx="21">
                  <c:v>3.89734136634103</c:v>
                </c:pt>
                <c:pt idx="22">
                  <c:v>3.96141800275191</c:v>
                </c:pt>
                <c:pt idx="23">
                  <c:v>4.0250749857087</c:v>
                </c:pt>
                <c:pt idx="24">
                  <c:v>4.08794290469941</c:v>
                </c:pt>
                <c:pt idx="25">
                  <c:v>4.15225241174676</c:v>
                </c:pt>
                <c:pt idx="26">
                  <c:v>4.2180702828942</c:v>
                </c:pt>
                <c:pt idx="27">
                  <c:v>4.28673974183841</c:v>
                </c:pt>
                <c:pt idx="28">
                  <c:v>4.35659487127815</c:v>
                </c:pt>
                <c:pt idx="29">
                  <c:v>4.69743686975177</c:v>
                </c:pt>
                <c:pt idx="30">
                  <c:v>5.02234524574741</c:v>
                </c:pt>
                <c:pt idx="31">
                  <c:v>5.63788515785832</c:v>
                </c:pt>
                <c:pt idx="32">
                  <c:v>5.85695098676807</c:v>
                </c:pt>
              </c:numCache>
            </c:numRef>
          </c:val>
          <c:smooth val="0"/>
          <c:extLst>
            <c:ext xmlns:c16="http://schemas.microsoft.com/office/drawing/2014/chart" uri="{C3380CC4-5D6E-409C-BE32-E72D297353CC}">
              <c16:uniqueId val="{00000007-E562-45F6-8549-313071348B04}"/>
            </c:ext>
          </c:extLst>
        </c:ser>
        <c:ser>
          <c:idx val="9"/>
          <c:order val="8"/>
          <c:spPr>
            <a:ln w="28575" cap="rnd" cmpd="sng">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c:v>
                </c:pt>
                <c:pt idx="1">
                  <c:v>19.0312797943524</c:v>
                </c:pt>
                <c:pt idx="2">
                  <c:v>19.3611140747556</c:v>
                </c:pt>
                <c:pt idx="3">
                  <c:v>19.6653065756339</c:v>
                </c:pt>
                <c:pt idx="4">
                  <c:v>19.9627842349686</c:v>
                </c:pt>
                <c:pt idx="5">
                  <c:v>20.198960613823</c:v>
                </c:pt>
                <c:pt idx="6">
                  <c:v>20.0664300719398</c:v>
                </c:pt>
                <c:pt idx="7">
                  <c:v>19.9287999299854</c:v>
                </c:pt>
                <c:pt idx="8">
                  <c:v>19.7672082450748</c:v>
                </c:pt>
                <c:pt idx="9">
                  <c:v>19.669515799794</c:v>
                </c:pt>
                <c:pt idx="10">
                  <c:v>19.577351850203</c:v>
                </c:pt>
                <c:pt idx="11">
                  <c:v>19.4377621164949</c:v>
                </c:pt>
                <c:pt idx="12">
                  <c:v>19.3074288252827</c:v>
                </c:pt>
                <c:pt idx="13">
                  <c:v>19.1771785334472</c:v>
                </c:pt>
                <c:pt idx="14">
                  <c:v>19.0525033008351</c:v>
                </c:pt>
                <c:pt idx="15">
                  <c:v>18.93937609501</c:v>
                </c:pt>
                <c:pt idx="16">
                  <c:v>18.8320984870961</c:v>
                </c:pt>
                <c:pt idx="17">
                  <c:v>18.7327567214589</c:v>
                </c:pt>
                <c:pt idx="18">
                  <c:v>18.6401509880879</c:v>
                </c:pt>
                <c:pt idx="19">
                  <c:v>18.5524774459764</c:v>
                </c:pt>
                <c:pt idx="20">
                  <c:v>18.4674626514829</c:v>
                </c:pt>
                <c:pt idx="21">
                  <c:v>18.3846895681648</c:v>
                </c:pt>
                <c:pt idx="22">
                  <c:v>18.3021958893466</c:v>
                </c:pt>
                <c:pt idx="23">
                  <c:v>18.2191841784761</c:v>
                </c:pt>
                <c:pt idx="24">
                  <c:v>18.1351984248047</c:v>
                </c:pt>
                <c:pt idx="25">
                  <c:v>18.0529922080641</c:v>
                </c:pt>
                <c:pt idx="26">
                  <c:v>17.9726479584843</c:v>
                </c:pt>
                <c:pt idx="27">
                  <c:v>17.8958237892577</c:v>
                </c:pt>
                <c:pt idx="28">
                  <c:v>17.8204632451108</c:v>
                </c:pt>
                <c:pt idx="29">
                  <c:v>17.4332497906737</c:v>
                </c:pt>
                <c:pt idx="30">
                  <c:v>17.0263674235341</c:v>
                </c:pt>
                <c:pt idx="31">
                  <c:v>16.1702903919567</c:v>
                </c:pt>
                <c:pt idx="32">
                  <c:v>14.8247945767926</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showLeaderLines val="0"/>
        </c:dLbls>
        <c:marker val="1"/>
        <c:axId val="66242020"/>
        <c:axId val="35035672"/>
      </c:lineChart>
      <c:catAx>
        <c:axId val="66242020"/>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5035672"/>
        <c:crosses val="autoZero"/>
        <c:auto val="1"/>
        <c:lblOffset val="100"/>
        <c:noMultiLvlLbl val="0"/>
      </c:catAx>
      <c:valAx>
        <c:axId val="35035672"/>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66242020"/>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c:v>
                </c:pt>
                <c:pt idx="1">
                  <c:v>132.264352513415</c:v>
                </c:pt>
                <c:pt idx="2">
                  <c:v>130.872096171168</c:v>
                </c:pt>
                <c:pt idx="3">
                  <c:v>129.479839828922</c:v>
                </c:pt>
                <c:pt idx="4">
                  <c:v>128.087583486676</c:v>
                </c:pt>
                <c:pt idx="5">
                  <c:v>126.695327144429</c:v>
                </c:pt>
                <c:pt idx="6">
                  <c:v>125.303070802183</c:v>
                </c:pt>
                <c:pt idx="7">
                  <c:v>123.910814459936</c:v>
                </c:pt>
                <c:pt idx="8">
                  <c:v>122.51855811769</c:v>
                </c:pt>
                <c:pt idx="9">
                  <c:v>121.126301775443</c:v>
                </c:pt>
                <c:pt idx="10">
                  <c:v>119.734045433197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7.67885730493644</c:v>
                </c:pt>
                <c:pt idx="1">
                  <c:v>10.7068441363899</c:v>
                </c:pt>
                <c:pt idx="2">
                  <c:v>12.4272617322684</c:v>
                </c:pt>
                <c:pt idx="3">
                  <c:v>14.4028873265772</c:v>
                </c:pt>
                <c:pt idx="4">
                  <c:v>16.3808012843483</c:v>
                </c:pt>
                <c:pt idx="5">
                  <c:v>18.5124243702407</c:v>
                </c:pt>
                <c:pt idx="6">
                  <c:v>20.962436383996</c:v>
                </c:pt>
                <c:pt idx="7">
                  <c:v>23.5737267911772</c:v>
                </c:pt>
                <c:pt idx="8">
                  <c:v>26.403815124684</c:v>
                </c:pt>
                <c:pt idx="9">
                  <c:v>29.419621601289</c:v>
                </c:pt>
                <c:pt idx="10">
                  <c:v>29.419621601289</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3.15179118777085</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a:effectLst/>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showLeaderLines val="0"/>
        </c:dLbls>
        <c:axId val="55490407"/>
        <c:axId val="39879139"/>
      </c:areaChart>
      <c:dateAx>
        <c:axId val="55490407"/>
        <c:scaling>
          <c:orientation val="minMax"/>
        </c:scaling>
        <c:delete val="0"/>
        <c:axPos val="b"/>
        <c:numFmt formatCode="General" sourceLinked="1"/>
        <c:majorTickMark val="out"/>
        <c:minorTickMark val="none"/>
        <c:tickLblPos val="nextTo"/>
        <c:spPr>
          <a:ln w="9525" cap="flat" cmpd="sng"/>
          <a:effectLst/>
        </c:spPr>
        <c:crossAx val="39879139"/>
        <c:crosses val="autoZero"/>
        <c:auto val="0"/>
        <c:lblOffset val="100"/>
        <c:baseTimeUnit val="days"/>
        <c:noMultiLvlLbl val="0"/>
      </c:dateAx>
      <c:valAx>
        <c:axId val="39879139"/>
        <c:scaling>
          <c:orientation val="minMax"/>
        </c:scaling>
        <c:delete val="0"/>
        <c:axPos val="l"/>
        <c:title>
          <c:tx>
            <c:rich>
              <a:bodyPr vert="horz" rot="-5400000" wrap="square"/>
              <a:lstStyle/>
              <a:p>
                <a:pPr>
                  <a:defRPr lang="en-US" sz="1000" u="none" baseline="0">
                    <a:latin typeface="Calibri"/>
                    <a:ea typeface="Calibri"/>
                  </a:defRPr>
                </a:pPr>
                <a:r>
                  <a:rPr lang="en-US"/>
                  <a:t>Floor space million m2</a:t>
                </a:r>
              </a:p>
            </c:rich>
          </c:tx>
          <c:layout/>
          <c:overlay val="0"/>
          <c:spPr>
            <a:noFill/>
            <a:effectLst/>
          </c:spPr>
        </c:title>
        <c:majorGridlines/>
        <c:numFmt formatCode="0" sourceLinked="0"/>
        <c:majorTickMark val="out"/>
        <c:minorTickMark val="none"/>
        <c:tickLblPos val="nextTo"/>
        <c:spPr>
          <a:ln w="9525" cap="flat" cmpd="sng"/>
          <a:effectLst/>
        </c:spPr>
        <c:crossAx val="55490407"/>
        <c:crosses val="autoZero"/>
        <c:crossBetween val="midCat"/>
      </c:valAx>
    </c:plotArea>
    <c:legend>
      <c:legendPos val="r"/>
      <c:legendEntry>
        <c:idx val="0"/>
        <c:delete val="1"/>
      </c:legendEntry>
      <c:legendEntry>
        <c:idx val="3"/>
        <c:delete val="1"/>
      </c:legendEntry>
      <c:layout/>
      <c:overlay val="0"/>
    </c:legend>
    <c:plotVisOnly val="1"/>
    <c:dispBlanksAs val="zero"/>
    <c:showDLblsOverMax val="0"/>
  </c:chart>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c:v>
                </c:pt>
                <c:pt idx="1">
                  <c:v>19.1667909085043</c:v>
                </c:pt>
                <c:pt idx="2">
                  <c:v>18.4544712094954</c:v>
                </c:pt>
                <c:pt idx="3">
                  <c:v>19.3492846184798</c:v>
                </c:pt>
                <c:pt idx="4">
                  <c:v>23.9489859386363</c:v>
                </c:pt>
                <c:pt idx="5">
                  <c:v>31.3393947782216</c:v>
                </c:pt>
                <c:pt idx="6">
                  <c:v>39.8421420719911</c:v>
                </c:pt>
                <c:pt idx="7">
                  <c:v>48.3495406351128</c:v>
                </c:pt>
                <c:pt idx="8">
                  <c:v>51.9322973098366</c:v>
                </c:pt>
                <c:pt idx="10">
                  <c:v>18.9311450218347</c:v>
                </c:pt>
                <c:pt idx="11">
                  <c:v>19.1667909085043</c:v>
                </c:pt>
                <c:pt idx="12">
                  <c:v>18.4544712094954</c:v>
                </c:pt>
                <c:pt idx="13">
                  <c:v>19.3492846184798</c:v>
                </c:pt>
                <c:pt idx="14">
                  <c:v>23.9489859386363</c:v>
                </c:pt>
                <c:pt idx="15">
                  <c:v>31.3393947782216</c:v>
                </c:pt>
                <c:pt idx="16">
                  <c:v>39.8421420719911</c:v>
                </c:pt>
                <c:pt idx="17">
                  <c:v>48.3495406351128</c:v>
                </c:pt>
                <c:pt idx="18">
                  <c:v>51.9322973098366</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5.41915905002307</c:v>
                </c:pt>
                <c:pt idx="1">
                  <c:v>6.26372556796581</c:v>
                </c:pt>
                <c:pt idx="2">
                  <c:v>6.02994549508652</c:v>
                </c:pt>
                <c:pt idx="3">
                  <c:v>6.32051083760172</c:v>
                </c:pt>
                <c:pt idx="4">
                  <c:v>7.82526241110969</c:v>
                </c:pt>
                <c:pt idx="5">
                  <c:v>10.2400572856535</c:v>
                </c:pt>
                <c:pt idx="6">
                  <c:v>13.014573702574</c:v>
                </c:pt>
                <c:pt idx="7">
                  <c:v>15.7980736176386</c:v>
                </c:pt>
                <c:pt idx="8">
                  <c:v>16.9687290769848</c:v>
                </c:pt>
                <c:pt idx="10">
                  <c:v>5.41915905002307</c:v>
                </c:pt>
                <c:pt idx="11">
                  <c:v>6.26372556796581</c:v>
                </c:pt>
                <c:pt idx="12">
                  <c:v>6.02994549508652</c:v>
                </c:pt>
                <c:pt idx="13">
                  <c:v>6.32051083760172</c:v>
                </c:pt>
                <c:pt idx="14">
                  <c:v>7.4339992905542</c:v>
                </c:pt>
                <c:pt idx="15">
                  <c:v>9.24165170030225</c:v>
                </c:pt>
                <c:pt idx="16">
                  <c:v>11.1583701282444</c:v>
                </c:pt>
                <c:pt idx="17">
                  <c:v>12.8676296995268</c:v>
                </c:pt>
                <c:pt idx="18">
                  <c:v>13.1300790933728</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c:v>
                </c:pt>
                <c:pt idx="1">
                  <c:v>2.53977630554407</c:v>
                </c:pt>
                <c:pt idx="2">
                  <c:v>2.44538738555474</c:v>
                </c:pt>
                <c:pt idx="3">
                  <c:v>2.56395840273077</c:v>
                </c:pt>
                <c:pt idx="4">
                  <c:v>3.17365263113741</c:v>
                </c:pt>
                <c:pt idx="5">
                  <c:v>4.15300893954346</c:v>
                </c:pt>
                <c:pt idx="6">
                  <c:v>5.27948961230683</c:v>
                </c:pt>
                <c:pt idx="7">
                  <c:v>6.40737062891976</c:v>
                </c:pt>
                <c:pt idx="8">
                  <c:v>6.88319923135554</c:v>
                </c:pt>
                <c:pt idx="10">
                  <c:v>2.50855105545817</c:v>
                </c:pt>
                <c:pt idx="11">
                  <c:v>2.53977630554407</c:v>
                </c:pt>
                <c:pt idx="12">
                  <c:v>2.44538738555474</c:v>
                </c:pt>
                <c:pt idx="13">
                  <c:v>2.56395840273077</c:v>
                </c:pt>
                <c:pt idx="14">
                  <c:v>3.01478812771314</c:v>
                </c:pt>
                <c:pt idx="15">
                  <c:v>3.74786447207935</c:v>
                </c:pt>
                <c:pt idx="16">
                  <c:v>4.52646907602615</c:v>
                </c:pt>
                <c:pt idx="17">
                  <c:v>5.2183455679413</c:v>
                </c:pt>
                <c:pt idx="18">
                  <c:v>5.32477943829394</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16.5201827032801</c:v>
                </c:pt>
                <c:pt idx="1">
                  <c:v>16.7258180780324</c:v>
                </c:pt>
                <c:pt idx="2">
                  <c:v>16.1042153404696</c:v>
                </c:pt>
                <c:pt idx="3">
                  <c:v>16.8850704332132</c:v>
                </c:pt>
                <c:pt idx="4">
                  <c:v>20.900240873734</c:v>
                </c:pt>
                <c:pt idx="5">
                  <c:v>27.3498385852395</c:v>
                </c:pt>
                <c:pt idx="6">
                  <c:v>34.7683308201388</c:v>
                </c:pt>
                <c:pt idx="7">
                  <c:v>42.1960450862945</c:v>
                </c:pt>
                <c:pt idx="8">
                  <c:v>45.3296370578759</c:v>
                </c:pt>
                <c:pt idx="10">
                  <c:v>16.5201827032801</c:v>
                </c:pt>
                <c:pt idx="11">
                  <c:v>16.7258180780324</c:v>
                </c:pt>
                <c:pt idx="12">
                  <c:v>16.1042153404696</c:v>
                </c:pt>
                <c:pt idx="13">
                  <c:v>16.8850704332132</c:v>
                </c:pt>
                <c:pt idx="14">
                  <c:v>19.8540311041842</c:v>
                </c:pt>
                <c:pt idx="15">
                  <c:v>24.6817403581107</c:v>
                </c:pt>
                <c:pt idx="16">
                  <c:v>29.8092781384677</c:v>
                </c:pt>
                <c:pt idx="17">
                  <c:v>34.3656637977004</c:v>
                </c:pt>
                <c:pt idx="18">
                  <c:v>35.0665891307595</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c:v>
                </c:pt>
                <c:pt idx="1">
                  <c:v>4.79798827451544</c:v>
                </c:pt>
                <c:pt idx="2">
                  <c:v>4.61967456619224</c:v>
                </c:pt>
                <c:pt idx="3">
                  <c:v>4.84367159650791</c:v>
                </c:pt>
                <c:pt idx="4">
                  <c:v>5.99546821440262</c:v>
                </c:pt>
                <c:pt idx="5">
                  <c:v>7.84560756488307</c:v>
                </c:pt>
                <c:pt idx="6">
                  <c:v>9.97368516273637</c:v>
                </c:pt>
                <c:pt idx="7">
                  <c:v>12.1044082035587</c:v>
                </c:pt>
                <c:pt idx="8">
                  <c:v>13.0033141623955</c:v>
                </c:pt>
                <c:pt idx="10">
                  <c:v>4.73899946378675</c:v>
                </c:pt>
                <c:pt idx="11">
                  <c:v>4.79798827451544</c:v>
                </c:pt>
                <c:pt idx="12">
                  <c:v>4.61967456619224</c:v>
                </c:pt>
                <c:pt idx="13">
                  <c:v>4.84367159650791</c:v>
                </c:pt>
                <c:pt idx="14">
                  <c:v>5.695351222602</c:v>
                </c:pt>
                <c:pt idx="15">
                  <c:v>7.08023370099816</c:v>
                </c:pt>
                <c:pt idx="16">
                  <c:v>8.55112535081227</c:v>
                </c:pt>
                <c:pt idx="17">
                  <c:v>9.85817561676499</c:v>
                </c:pt>
                <c:pt idx="18">
                  <c:v>10.0592439001601</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c:v>
                </c:pt>
                <c:pt idx="1">
                  <c:v>3.28455904892798</c:v>
                </c:pt>
                <c:pt idx="2">
                  <c:v>3.16249082559952</c:v>
                </c:pt>
                <c:pt idx="3">
                  <c:v>3.31583248271948</c:v>
                </c:pt>
                <c:pt idx="4">
                  <c:v>4.10431794524654</c:v>
                </c:pt>
                <c:pt idx="5">
                  <c:v>5.37086792363556</c:v>
                </c:pt>
                <c:pt idx="6">
                  <c:v>6.82768610053198</c:v>
                </c:pt>
                <c:pt idx="7">
                  <c:v>8.28631526844071</c:v>
                </c:pt>
                <c:pt idx="8">
                  <c:v>8.90167936111989</c:v>
                </c:pt>
                <c:pt idx="10">
                  <c:v>3.24417707611376</c:v>
                </c:pt>
                <c:pt idx="11">
                  <c:v>3.28455904892798</c:v>
                </c:pt>
                <c:pt idx="12">
                  <c:v>3.16249082559952</c:v>
                </c:pt>
                <c:pt idx="13">
                  <c:v>3.31583248271948</c:v>
                </c:pt>
                <c:pt idx="14">
                  <c:v>3.89886684266849</c:v>
                </c:pt>
                <c:pt idx="15">
                  <c:v>4.84691590320465</c:v>
                </c:pt>
                <c:pt idx="16">
                  <c:v>5.85384426608763</c:v>
                </c:pt>
                <c:pt idx="17">
                  <c:v>6.74861172545002</c:v>
                </c:pt>
                <c:pt idx="18">
                  <c:v>6.88625704925908</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130.05107807185</c:v>
                </c:pt>
                <c:pt idx="1">
                  <c:v>131.669892019406</c:v>
                </c:pt>
                <c:pt idx="2">
                  <c:v>131.880685675091</c:v>
                </c:pt>
                <c:pt idx="3">
                  <c:v>132.923567045205</c:v>
                </c:pt>
                <c:pt idx="4">
                  <c:v>164.532009506818</c:v>
                </c:pt>
                <c:pt idx="5">
                  <c:v>215.304882336153</c:v>
                </c:pt>
                <c:pt idx="6">
                  <c:v>273.705139170162</c:v>
                </c:pt>
                <c:pt idx="7">
                  <c:v>332.177994178685</c:v>
                </c:pt>
                <c:pt idx="8">
                  <c:v>356.84642681415</c:v>
                </c:pt>
                <c:pt idx="10">
                  <c:v>130.05107807185</c:v>
                </c:pt>
                <c:pt idx="11">
                  <c:v>131.669892019406</c:v>
                </c:pt>
                <c:pt idx="12">
                  <c:v>131.880685675091</c:v>
                </c:pt>
                <c:pt idx="13">
                  <c:v>132.923567045205</c:v>
                </c:pt>
                <c:pt idx="14">
                  <c:v>156.295980228992</c:v>
                </c:pt>
                <c:pt idx="15">
                  <c:v>194.300934796832</c:v>
                </c:pt>
                <c:pt idx="16">
                  <c:v>234.666215748426</c:v>
                </c:pt>
                <c:pt idx="17">
                  <c:v>270.535242001791</c:v>
                </c:pt>
                <c:pt idx="18">
                  <c:v>276.053104415873</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39.8257606848891</c:v>
                </c:pt>
                <c:pt idx="1">
                  <c:v>40.3214928066416</c:v>
                </c:pt>
                <c:pt idx="2">
                  <c:v>38.8229741575509</c:v>
                </c:pt>
                <c:pt idx="3">
                  <c:v>40.7054078213753</c:v>
                </c:pt>
                <c:pt idx="4">
                  <c:v>50.3849143949602</c:v>
                </c:pt>
                <c:pt idx="5">
                  <c:v>65.9331767589853</c:v>
                </c:pt>
                <c:pt idx="6">
                  <c:v>83.8171857736765</c:v>
                </c:pt>
                <c:pt idx="7">
                  <c:v>101.723426649628</c:v>
                </c:pt>
                <c:pt idx="8">
                  <c:v>109.277682324991</c:v>
                </c:pt>
                <c:pt idx="10">
                  <c:v>39.8257606848891</c:v>
                </c:pt>
                <c:pt idx="11">
                  <c:v>40.3214928066416</c:v>
                </c:pt>
                <c:pt idx="12">
                  <c:v>38.8229741575509</c:v>
                </c:pt>
                <c:pt idx="13">
                  <c:v>40.7054078213753</c:v>
                </c:pt>
                <c:pt idx="14">
                  <c:v>47.862781277146</c:v>
                </c:pt>
                <c:pt idx="15">
                  <c:v>59.5011025267606</c:v>
                </c:pt>
                <c:pt idx="16">
                  <c:v>71.8622305004046</c:v>
                </c:pt>
                <c:pt idx="17">
                  <c:v>82.8464628247018</c:v>
                </c:pt>
                <c:pt idx="18">
                  <c:v>84.5362071255833</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2.24909530860103</c:v>
                </c:pt>
                <c:pt idx="1">
                  <c:v>2.27709097698708</c:v>
                </c:pt>
                <c:pt idx="2">
                  <c:v>2.19246456419392</c:v>
                </c:pt>
                <c:pt idx="3">
                  <c:v>2.29877195542139</c:v>
                </c:pt>
                <c:pt idx="4">
                  <c:v>2.84540640633554</c:v>
                </c:pt>
                <c:pt idx="5">
                  <c:v>3.72346933190057</c:v>
                </c:pt>
                <c:pt idx="6">
                  <c:v>4.73343976516293</c:v>
                </c:pt>
                <c:pt idx="7">
                  <c:v>5.74466570676967</c:v>
                </c:pt>
                <c:pt idx="8">
                  <c:v>6.17128005655856</c:v>
                </c:pt>
                <c:pt idx="10">
                  <c:v>2.24909530860103</c:v>
                </c:pt>
                <c:pt idx="11">
                  <c:v>2.27709097698708</c:v>
                </c:pt>
                <c:pt idx="12">
                  <c:v>2.19246456419392</c:v>
                </c:pt>
                <c:pt idx="13">
                  <c:v>2.29877195542139</c:v>
                </c:pt>
                <c:pt idx="14">
                  <c:v>2.70297302489116</c:v>
                </c:pt>
                <c:pt idx="15">
                  <c:v>3.36022836094383</c:v>
                </c:pt>
                <c:pt idx="16">
                  <c:v>4.05830303563769</c:v>
                </c:pt>
                <c:pt idx="17">
                  <c:v>4.67861975939418</c:v>
                </c:pt>
                <c:pt idx="18">
                  <c:v>4.7740453310466</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0.644330677855015</c:v>
                </c:pt>
                <c:pt idx="1">
                  <c:v>0.65235099959025</c:v>
                </c:pt>
                <c:pt idx="2">
                  <c:v>0.628106854083864</c:v>
                </c:pt>
                <c:pt idx="3">
                  <c:v>0.658562261281879</c:v>
                </c:pt>
                <c:pt idx="4">
                  <c:v>0.815164493721509</c:v>
                </c:pt>
                <c:pt idx="5">
                  <c:v>1.06671580764986</c:v>
                </c:pt>
                <c:pt idx="6">
                  <c:v>1.356056562303</c:v>
                </c:pt>
                <c:pt idx="7">
                  <c:v>1.64575700048733</c:v>
                </c:pt>
                <c:pt idx="8">
                  <c:v>1.76797534851863</c:v>
                </c:pt>
                <c:pt idx="10">
                  <c:v>0.644330677855015</c:v>
                </c:pt>
                <c:pt idx="11">
                  <c:v>0.65235099959025</c:v>
                </c:pt>
                <c:pt idx="12">
                  <c:v>0.628106854083864</c:v>
                </c:pt>
                <c:pt idx="13">
                  <c:v>0.658562261281879</c:v>
                </c:pt>
                <c:pt idx="14">
                  <c:v>0.774359554569188</c:v>
                </c:pt>
                <c:pt idx="15">
                  <c:v>0.962652942840962</c:v>
                </c:pt>
                <c:pt idx="16">
                  <c:v>1.16264043408636</c:v>
                </c:pt>
                <c:pt idx="17">
                  <c:v>1.34035148687026</c:v>
                </c:pt>
                <c:pt idx="18">
                  <c:v>1.36768942272046</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22.2738455334186</c:v>
                </c:pt>
                <c:pt idx="2">
                  <c:v>16.3418460002661</c:v>
                </c:pt>
                <c:pt idx="3">
                  <c:v>22.4859225955736</c:v>
                </c:pt>
                <c:pt idx="4">
                  <c:v>27.8329427392383</c:v>
                </c:pt>
                <c:pt idx="5">
                  <c:v>36.4219003919251</c:v>
                </c:pt>
                <c:pt idx="6">
                  <c:v>46.3011391448585</c:v>
                </c:pt>
                <c:pt idx="7">
                  <c:v>56.1926589173959</c:v>
                </c:pt>
                <c:pt idx="8">
                  <c:v>60.365677134749</c:v>
                </c:pt>
                <c:pt idx="10">
                  <c:v>22</c:v>
                </c:pt>
                <c:pt idx="11">
                  <c:v>22.2738455334186</c:v>
                </c:pt>
                <c:pt idx="12">
                  <c:v>16.3418460002661</c:v>
                </c:pt>
                <c:pt idx="13">
                  <c:v>22.4859225955736</c:v>
                </c:pt>
                <c:pt idx="14">
                  <c:v>40.4680601627499</c:v>
                </c:pt>
                <c:pt idx="15">
                  <c:v>68.6656458347945</c:v>
                </c:pt>
                <c:pt idx="16">
                  <c:v>106.268608618118</c:v>
                </c:pt>
                <c:pt idx="17">
                  <c:v>150.833129215784</c:v>
                </c:pt>
                <c:pt idx="18">
                  <c:v>184.3294018874</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27.1425055143167</c:v>
                </c:pt>
                <c:pt idx="1">
                  <c:v>26.7032511055385</c:v>
                </c:pt>
                <c:pt idx="2">
                  <c:v>25.7066097422109</c:v>
                </c:pt>
                <c:pt idx="3">
                  <c:v>26.9453356760915</c:v>
                </c:pt>
                <c:pt idx="4">
                  <c:v>33.3603292263097</c:v>
                </c:pt>
                <c:pt idx="5">
                  <c:v>43.6549810598911</c:v>
                </c:pt>
                <c:pt idx="6">
                  <c:v>55.483182626763</c:v>
                </c:pt>
                <c:pt idx="7">
                  <c:v>67.34968226467</c:v>
                </c:pt>
                <c:pt idx="8">
                  <c:v>72.3403713281982</c:v>
                </c:pt>
                <c:pt idx="10">
                  <c:v>27.1425055143167</c:v>
                </c:pt>
                <c:pt idx="11">
                  <c:v>26.7032511055385</c:v>
                </c:pt>
                <c:pt idx="12">
                  <c:v>25.7066097422109</c:v>
                </c:pt>
                <c:pt idx="13">
                  <c:v>26.9453356760915</c:v>
                </c:pt>
                <c:pt idx="14">
                  <c:v>33.7515923468652</c:v>
                </c:pt>
                <c:pt idx="15">
                  <c:v>44.6533866452423</c:v>
                </c:pt>
                <c:pt idx="16">
                  <c:v>57.3393862010926</c:v>
                </c:pt>
                <c:pt idx="17">
                  <c:v>70.2801261827818</c:v>
                </c:pt>
                <c:pt idx="18">
                  <c:v>76.1790213118102</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88.6727271782457</c:v>
                </c:pt>
                <c:pt idx="1">
                  <c:v>87.3578826815358</c:v>
                </c:pt>
                <c:pt idx="2">
                  <c:v>84.5596074594622</c:v>
                </c:pt>
                <c:pt idx="3">
                  <c:v>89.9409429149519</c:v>
                </c:pt>
                <c:pt idx="4">
                  <c:v>91.7154890995141</c:v>
                </c:pt>
                <c:pt idx="5">
                  <c:v>106.646091549529</c:v>
                </c:pt>
                <c:pt idx="6">
                  <c:v>131.043784292623</c:v>
                </c:pt>
                <c:pt idx="7">
                  <c:v>160.051013456111</c:v>
                </c:pt>
                <c:pt idx="8">
                  <c:v>171.434120930427</c:v>
                </c:pt>
                <c:pt idx="10">
                  <c:v>88.6727271782457</c:v>
                </c:pt>
                <c:pt idx="11">
                  <c:v>87.3578826815358</c:v>
                </c:pt>
                <c:pt idx="12">
                  <c:v>84.5596074594622</c:v>
                </c:pt>
                <c:pt idx="13">
                  <c:v>89.9409429149519</c:v>
                </c:pt>
                <c:pt idx="14">
                  <c:v>91.7154890995141</c:v>
                </c:pt>
                <c:pt idx="15">
                  <c:v>106.646091549529</c:v>
                </c:pt>
                <c:pt idx="16">
                  <c:v>131.043784292623</c:v>
                </c:pt>
                <c:pt idx="17">
                  <c:v>160.051013456111</c:v>
                </c:pt>
                <c:pt idx="18">
                  <c:v>171.434120930427</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showLeaderLines val="0"/>
        </c:dLbls>
        <c:overlap val="100"/>
        <c:gapWidth val="73"/>
        <c:axId val="43129424"/>
        <c:axId val="52284827"/>
      </c:barChart>
      <c:catAx>
        <c:axId val="43129424"/>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52284827"/>
        <c:crosses val="autoZero"/>
        <c:auto val="1"/>
        <c:lblOffset val="100"/>
        <c:noMultiLvlLbl val="0"/>
      </c:catAx>
      <c:valAx>
        <c:axId val="52284827"/>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Freight Demand (Billion tonkm)</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43129424"/>
        <c:crosses val="autoZero"/>
        <c:crossBetween val="between"/>
      </c:valAx>
    </c:plotArea>
    <c:legend>
      <c:legendPos val="r"/>
      <c:layout>
        <c:manualLayout>
          <c:xMode val="edge"/>
          <c:yMode val="edge"/>
          <c:x val="0.7015"/>
          <c:y val="0.35225"/>
          <c:w val="0.27925"/>
          <c:h val="0.6035"/>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Ref>
      </c:tx>
      <c:layout/>
      <c:overlay val="0"/>
      <c:spPr>
        <a:noFill/>
        <a:ln w="9525">
          <a:noFill/>
        </a:ln>
        <a:effectLst/>
      </c:spPr>
      <c:txPr>
        <a:bodyPr vert="horz" rot="0"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tx1">
                <a:tint val="88500"/>
              </a:schemeClr>
            </a:solidFill>
            <a:ln w="9525">
              <a:noFill/>
            </a:ln>
            <a:effectLst/>
          </c:spPr>
          <c:invertIfNegative val="0"/>
          <c:cat>
            <c:strRef>
              <c:extLst>
                <c:ext xmlns:c15="http://schemas.microsoft.com/office/drawing/2012/chart" uri="{02D57815-91ED-43cb-92C2-25804820EDAC}">
                  <c15:fullRef>
                    <c15:sqref>(FTRA!$AN$75:$AS$76,FTRA!$AT$75:$AX$76)</c15:sqref>
                  </c15:fullRef>
                </c:ext>
              </c:extLst>
              <c:f>(FTRA!$AO$75:$AS$76,FTRA!$AT$75:$AX$76)</c:f>
              <c:strCache>
                <c:ptCount val="9"/>
                <c:pt idx="0">
                  <c:v>2020</c:v>
                </c:pt>
                <c:pt idx="1">
                  <c:v>2030</c:v>
                </c:pt>
                <c:pt idx="2">
                  <c:v>2040</c:v>
                </c:pt>
                <c:pt idx="3">
                  <c:v>2070</c:v>
                </c:pt>
                <c:pt idx="5">
                  <c:v>2020</c:v>
                </c:pt>
                <c:pt idx="6">
                  <c:v>2030</c:v>
                </c:pt>
                <c:pt idx="7">
                  <c:v>2040</c:v>
                </c:pt>
                <c:pt idx="8">
                  <c:v>2070</c:v>
                </c:pt>
              </c:strCache>
            </c: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c:v>
                </c:pt>
                <c:pt idx="1">
                  <c:v>252.751174466356</c:v>
                </c:pt>
                <c:pt idx="2">
                  <c:v>330.747567247991</c:v>
                </c:pt>
                <c:pt idx="3">
                  <c:v>548.181194356965</c:v>
                </c:pt>
                <c:pt idx="5">
                  <c:v>198.99120798726</c:v>
                </c:pt>
                <c:pt idx="6">
                  <c:v>252.751174466356</c:v>
                </c:pt>
                <c:pt idx="7">
                  <c:v>330.747567247991</c:v>
                </c:pt>
                <c:pt idx="8">
                  <c:v>548.181194356965</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tx1">
                <a:tint val="55000"/>
              </a:schemeClr>
            </a:solidFill>
            <a:ln w="9525">
              <a:noFill/>
            </a:ln>
            <a:effectLst/>
          </c:spPr>
          <c:invertIfNegative val="0"/>
          <c:cat>
            <c:strRef>
              <c:extLst>
                <c:ext xmlns:c15="http://schemas.microsoft.com/office/drawing/2012/chart" uri="{02D57815-91ED-43cb-92C2-25804820EDAC}">
                  <c15:fullRef>
                    <c15:sqref>(FTRA!$AN$75:$AS$76,FTRA!$AT$75:$AX$76)</c15:sqref>
                  </c15:fullRef>
                </c:ext>
              </c:extLst>
              <c:f>(FTRA!$AO$75:$AS$76,FTRA!$AT$75:$AX$76)</c:f>
              <c:strCache>
                <c:ptCount val="9"/>
                <c:pt idx="0">
                  <c:v>2020</c:v>
                </c:pt>
                <c:pt idx="1">
                  <c:v>2030</c:v>
                </c:pt>
                <c:pt idx="2">
                  <c:v>2040</c:v>
                </c:pt>
                <c:pt idx="3">
                  <c:v>2070</c:v>
                </c:pt>
                <c:pt idx="5">
                  <c:v>2020</c:v>
                </c:pt>
                <c:pt idx="6">
                  <c:v>2030</c:v>
                </c:pt>
                <c:pt idx="7">
                  <c:v>2040</c:v>
                </c:pt>
                <c:pt idx="8">
                  <c:v>2070</c:v>
                </c:pt>
              </c:strCache>
            </c: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16.3418460002661</c:v>
                </c:pt>
                <c:pt idx="1">
                  <c:v>27.8329427392383</c:v>
                </c:pt>
                <c:pt idx="2">
                  <c:v>36.4219003919251</c:v>
                </c:pt>
                <c:pt idx="3">
                  <c:v>60.365677134749</c:v>
                </c:pt>
                <c:pt idx="5">
                  <c:v>17.2066373817421</c:v>
                </c:pt>
                <c:pt idx="6">
                  <c:v>27.8329427392383</c:v>
                </c:pt>
                <c:pt idx="7">
                  <c:v>36.4219003919251</c:v>
                </c:pt>
                <c:pt idx="8">
                  <c:v>60.365677134749</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showLeaderLines val="0"/>
        </c:dLbls>
        <c:overlap val="100"/>
        <c:gapWidth val="0"/>
        <c:axId val="59099376"/>
        <c:axId val="39193286"/>
      </c:barChart>
      <c:lineChart>
        <c:grouping val="standard"/>
        <c:varyColors val="0"/>
        <c:ser>
          <c:idx val="2"/>
          <c:order val="2"/>
          <c:tx>
            <c:strRef>
              <c:f>FTRA!$AM$80</c:f>
              <c:strCache>
                <c:ptCount val="1"/>
                <c:pt idx="0">
                  <c:v>btkm</c:v>
                </c:pt>
              </c:strCache>
            </c:strRef>
          </c:tx>
          <c:spPr>
            <a:ln w="28575" cap="rnd" cmpd="sng">
              <a:solidFill>
                <a:schemeClr val="tx1"/>
              </a:solidFill>
              <a:round/>
            </a:ln>
            <a:effectLst/>
          </c:spPr>
          <c:marker>
            <c:symbol val="none"/>
          </c:marker>
          <c:cat>
            <c:strRef>
              <c:extLst>
                <c:ext xmlns:c15="http://schemas.microsoft.com/office/drawing/2012/chart" uri="{02D57815-91ED-43cb-92C2-25804820EDAC}">
                  <c15:fullRef>
                    <c15:sqref>(FTRA!$AN$75:$AS$76,FTRA!$AT$75:$AX$76)</c15:sqref>
                  </c15:fullRef>
                </c:ext>
              </c:extLst>
              <c:f>(FTRA!$AO$75:$AS$76,FTRA!$AT$75:$AX$76)</c:f>
              <c:strCache>
                <c:ptCount val="9"/>
                <c:pt idx="0">
                  <c:v>2020</c:v>
                </c:pt>
                <c:pt idx="1">
                  <c:v>2030</c:v>
                </c:pt>
                <c:pt idx="2">
                  <c:v>2040</c:v>
                </c:pt>
                <c:pt idx="3">
                  <c:v>2070</c:v>
                </c:pt>
                <c:pt idx="5">
                  <c:v>2020</c:v>
                </c:pt>
                <c:pt idx="6">
                  <c:v>2030</c:v>
                </c:pt>
                <c:pt idx="7">
                  <c:v>2040</c:v>
                </c:pt>
                <c:pt idx="8">
                  <c:v>2070</c:v>
                </c:pt>
              </c:strCache>
            </c: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c:v>
                </c:pt>
                <c:pt idx="1">
                  <c:v>280.584117205594</c:v>
                </c:pt>
                <c:pt idx="2">
                  <c:v>367.169467639916</c:v>
                </c:pt>
                <c:pt idx="3">
                  <c:v>608.546871491714</c:v>
                </c:pt>
                <c:pt idx="5">
                  <c:v>216.197845369002</c:v>
                </c:pt>
                <c:pt idx="6">
                  <c:v>280.584117205594</c:v>
                </c:pt>
                <c:pt idx="7">
                  <c:v>367.169467639916</c:v>
                </c:pt>
                <c:pt idx="8">
                  <c:v>608.546871491714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showLeaderLines val="0"/>
        </c:dLbls>
        <c:marker val="1"/>
        <c:axId val="40865458"/>
        <c:axId val="35626968"/>
      </c:lineChart>
      <c:catAx>
        <c:axId val="40865458"/>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5626968"/>
        <c:crosses val="autoZero"/>
        <c:auto val="1"/>
        <c:lblOffset val="100"/>
        <c:noMultiLvlLbl val="0"/>
      </c:catAx>
      <c:valAx>
        <c:axId val="35626968"/>
        <c:scaling>
          <c:orientation val="minMax"/>
        </c:scaling>
        <c:delete val="0"/>
        <c:axPos val="l"/>
        <c:title>
          <c:tx>
            <c:rich>
              <a:bodyPr vert="horz" rot="-5400000" spcFirstLastPara="1" vertOverflow="ellipsis" anchor="ctr" anchorCtr="1" wrap="square"/>
              <a:lstStyle/>
              <a:p>
                <a:pPr>
                  <a:defRPr lang="en-US" sz="1000" b="0" i="0" u="none" baseline="0" kern="1200">
                    <a:solidFill>
                      <a:schemeClr val="tx1">
                        <a:lumMod val="65000"/>
                        <a:lumOff val="35000"/>
                      </a:schemeClr>
                    </a:solidFill>
                    <a:latin typeface="+mn-lt"/>
                    <a:ea typeface="+mn-ea"/>
                    <a:cs typeface="+mn-cs"/>
                  </a:defRPr>
                </a:pPr>
                <a:r>
                  <a:rPr lang="en-US"/>
                  <a:t>b.tkm</a:t>
                </a:r>
              </a:p>
            </c:rich>
          </c:tx>
          <c:layout/>
          <c:overlay val="0"/>
          <c:spPr>
            <a:noFill/>
            <a:ln w="9525">
              <a:noFill/>
            </a:ln>
            <a:effectLst/>
          </c:spPr>
        </c:title>
        <c:majorGridlines>
          <c:spPr>
            <a:ln w="9525" cap="flat" cmpd="sng">
              <a:solidFill>
                <a:schemeClr val="tx1">
                  <a:lumMod val="15000"/>
                  <a:lumOff val="85000"/>
                </a:schemeClr>
              </a:solidFill>
              <a:round/>
            </a:ln>
            <a:effectLst/>
          </c:spPr>
        </c:majorGridlines>
        <c:numFmt formatCode="0" sourceLinked="0"/>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0865458"/>
        <c:crosses val="autoZero"/>
        <c:crossBetween val="between"/>
      </c:valAx>
      <c:catAx>
        <c:axId val="59099376"/>
        <c:scaling>
          <c:orientation val="minMax"/>
        </c:scaling>
        <c:delete val="1"/>
        <c:axPos val="b"/>
        <c:majorTickMark val="out"/>
        <c:minorTickMark val="none"/>
        <c:tickLblPos val="nextTo"/>
        <c:spPr>
          <a:ln w="9525" cap="flat" cmpd="sng"/>
        </c:spPr>
        <c:crossAx val="39193286"/>
        <c:crosses val="autoZero"/>
        <c:auto val="1"/>
        <c:lblOffset val="100"/>
        <c:noMultiLvlLbl val="0"/>
      </c:catAx>
      <c:valAx>
        <c:axId val="39193286"/>
        <c:scaling>
          <c:orientation val="minMax"/>
        </c:scaling>
        <c:delete val="0"/>
        <c:axPos val="l"/>
        <c:numFmt formatCode="General" sourceLinked="1"/>
        <c:majorTickMark val="out"/>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59099376"/>
        <c:crosses val="max"/>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solidFill>
        <a:schemeClr val="tx1">
          <a:lumMod val="15000"/>
          <a:lumOff val="85000"/>
        </a:schemeClr>
      </a:solidFill>
      <a:round/>
    </a:ln>
    <a:effectLst/>
  </c:spPr>
</c:chartSpace>
</file>

<file path=xl/charts/chart10.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cmpd="sng">
              <a:solidFill>
                <a:schemeClr val="accent1"/>
              </a:solidFill>
              <a:round/>
            </a:ln>
            <a:effectLst/>
          </c:spPr>
          <c:marker>
            <c:symbol val="none"/>
          </c:marker>
          <c:val>
            <c:numRef>
              <c:f>FTRA!$J$137:$AO$137</c:f>
              <c:numCache>
                <c:formatCode>0.00</c:formatCode>
                <c:ptCount val="32"/>
                <c:pt idx="0">
                  <c:v>47.5848205857499</c:v>
                </c:pt>
                <c:pt idx="1">
                  <c:v>47.8809771897484</c:v>
                </c:pt>
                <c:pt idx="2">
                  <c:v>48.1771337937469</c:v>
                </c:pt>
                <c:pt idx="3">
                  <c:v>46.3866660202478</c:v>
                </c:pt>
                <c:pt idx="4">
                  <c:v>48.6358451097923</c:v>
                </c:pt>
                <c:pt idx="5">
                  <c:v>49.9208804340583</c:v>
                </c:pt>
                <c:pt idx="6">
                  <c:v>51.2059157583244</c:v>
                </c:pt>
                <c:pt idx="7">
                  <c:v>52.4909510825904</c:v>
                </c:pt>
                <c:pt idx="8">
                  <c:v>52.4909510825904</c:v>
                </c:pt>
                <c:pt idx="9">
                  <c:v>52.4909510825904</c:v>
                </c:pt>
                <c:pt idx="10">
                  <c:v>53.7759864068564</c:v>
                </c:pt>
                <c:pt idx="11">
                  <c:v>55.0610217311224</c:v>
                </c:pt>
                <c:pt idx="12">
                  <c:v>56.3460570553884</c:v>
                </c:pt>
                <c:pt idx="13">
                  <c:v>57.6310923796545</c:v>
                </c:pt>
                <c:pt idx="14">
                  <c:v>58.9161277039205</c:v>
                </c:pt>
                <c:pt idx="15">
                  <c:v>60.2011630281865</c:v>
                </c:pt>
                <c:pt idx="16">
                  <c:v>62.0589085232852</c:v>
                </c:pt>
                <c:pt idx="17">
                  <c:v>63.9166540183838</c:v>
                </c:pt>
                <c:pt idx="18">
                  <c:v>63.9166540183838</c:v>
                </c:pt>
                <c:pt idx="19">
                  <c:v>63.9166540183838</c:v>
                </c:pt>
                <c:pt idx="20">
                  <c:v>65.7743995134825</c:v>
                </c:pt>
                <c:pt idx="21">
                  <c:v>67.6321450085811</c:v>
                </c:pt>
                <c:pt idx="22">
                  <c:v>69.4898905036798</c:v>
                </c:pt>
                <c:pt idx="23">
                  <c:v>71.3476359987785</c:v>
                </c:pt>
                <c:pt idx="24">
                  <c:v>73.2053814938771</c:v>
                </c:pt>
                <c:pt idx="25">
                  <c:v>75.0631269889758</c:v>
                </c:pt>
                <c:pt idx="26">
                  <c:v>76.9208724840744</c:v>
                </c:pt>
                <c:pt idx="27">
                  <c:v>78.7786179791731</c:v>
                </c:pt>
                <c:pt idx="28">
                  <c:v>89.4627498787668</c:v>
                </c:pt>
                <c:pt idx="29">
                  <c:v>100.14688177836</c:v>
                </c:pt>
                <c:pt idx="30">
                  <c:v>121.541708764569</c:v>
                </c:pt>
                <c:pt idx="31">
                  <c:v>130.567723454288</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cmpd="sng">
              <a:solidFill>
                <a:schemeClr val="accent2"/>
              </a:solidFill>
              <a:round/>
            </a:ln>
            <a:effectLst/>
          </c:spPr>
          <c:marker>
            <c:symbol val="none"/>
          </c:marker>
          <c:val>
            <c:numRef>
              <c:f>FTRA!$J$138:$AO$138</c:f>
              <c:numCache>
                <c:formatCode>0.00</c:formatCode>
                <c:ptCount val="32"/>
                <c:pt idx="0">
                  <c:v>3.65147837074528</c:v>
                </c:pt>
                <c:pt idx="1">
                  <c:v>3.93601664914389</c:v>
                </c:pt>
                <c:pt idx="2">
                  <c:v>4.22055492754249</c:v>
                </c:pt>
                <c:pt idx="3">
                  <c:v>4.06370110522091</c:v>
                </c:pt>
                <c:pt idx="4">
                  <c:v>4.26074030497784</c:v>
                </c:pt>
                <c:pt idx="5">
                  <c:v>4.37331574778264</c:v>
                </c:pt>
                <c:pt idx="6">
                  <c:v>4.48589119058744</c:v>
                </c:pt>
                <c:pt idx="7">
                  <c:v>4.59846663339224</c:v>
                </c:pt>
                <c:pt idx="8">
                  <c:v>4.59846663339224</c:v>
                </c:pt>
                <c:pt idx="9">
                  <c:v>4.59846663339224</c:v>
                </c:pt>
                <c:pt idx="10">
                  <c:v>4.71104207619704</c:v>
                </c:pt>
                <c:pt idx="11">
                  <c:v>4.82361751900184</c:v>
                </c:pt>
                <c:pt idx="12">
                  <c:v>4.93619296180664</c:v>
                </c:pt>
                <c:pt idx="13">
                  <c:v>5.04876840461144</c:v>
                </c:pt>
                <c:pt idx="14">
                  <c:v>5.16134384741624</c:v>
                </c:pt>
                <c:pt idx="15">
                  <c:v>5.27391929022104</c:v>
                </c:pt>
                <c:pt idx="16">
                  <c:v>5.43666697332369</c:v>
                </c:pt>
                <c:pt idx="17">
                  <c:v>5.59941465642633</c:v>
                </c:pt>
                <c:pt idx="18">
                  <c:v>5.59941465642633</c:v>
                </c:pt>
                <c:pt idx="19">
                  <c:v>5.59941465642633</c:v>
                </c:pt>
                <c:pt idx="20">
                  <c:v>5.76216233952898</c:v>
                </c:pt>
                <c:pt idx="21">
                  <c:v>5.92491002263163</c:v>
                </c:pt>
                <c:pt idx="22">
                  <c:v>6.08765770573427</c:v>
                </c:pt>
                <c:pt idx="23">
                  <c:v>6.25040538883692</c:v>
                </c:pt>
                <c:pt idx="24">
                  <c:v>6.41315307193957</c:v>
                </c:pt>
                <c:pt idx="25">
                  <c:v>6.57590075504222</c:v>
                </c:pt>
                <c:pt idx="26">
                  <c:v>6.73864843814486</c:v>
                </c:pt>
                <c:pt idx="27">
                  <c:v>6.90139612124751</c:v>
                </c:pt>
                <c:pt idx="28">
                  <c:v>7.83737885796226</c:v>
                </c:pt>
                <c:pt idx="29">
                  <c:v>8.77336159467701</c:v>
                </c:pt>
                <c:pt idx="30">
                  <c:v>10.6476541345185</c:v>
                </c:pt>
                <c:pt idx="31">
                  <c:v>11.4383776121303</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cmpd="sng">
              <a:solidFill>
                <a:schemeClr val="accent3"/>
              </a:solidFill>
              <a:round/>
            </a:ln>
            <a:effectLst/>
          </c:spPr>
          <c:marker>
            <c:symbol val="none"/>
          </c:marker>
          <c:val>
            <c:numRef>
              <c:f>FTRA!$J$139:$AO$139</c:f>
              <c:numCache>
                <c:formatCode>0.00</c:formatCode>
                <c:ptCount val="32"/>
                <c:pt idx="0">
                  <c:v>1.00301921449747</c:v>
                </c:pt>
                <c:pt idx="1">
                  <c:v>1.00926176749345</c:v>
                </c:pt>
                <c:pt idx="2">
                  <c:v>1.01550432048943</c:v>
                </c:pt>
                <c:pt idx="3">
                  <c:v>0.977763848682424</c:v>
                </c:pt>
                <c:pt idx="4">
                  <c:v>1.0251732917756</c:v>
                </c:pt>
                <c:pt idx="5">
                  <c:v>1.05225997836348</c:v>
                </c:pt>
                <c:pt idx="6">
                  <c:v>1.07934666495136</c:v>
                </c:pt>
                <c:pt idx="7">
                  <c:v>1.10643335153925</c:v>
                </c:pt>
                <c:pt idx="8">
                  <c:v>1.10643335153925</c:v>
                </c:pt>
                <c:pt idx="9">
                  <c:v>1.10643335153925</c:v>
                </c:pt>
                <c:pt idx="10">
                  <c:v>1.13352003812713</c:v>
                </c:pt>
                <c:pt idx="11">
                  <c:v>1.16060672471501</c:v>
                </c:pt>
                <c:pt idx="12">
                  <c:v>1.18769341130289</c:v>
                </c:pt>
                <c:pt idx="13">
                  <c:v>1.21478009789077</c:v>
                </c:pt>
                <c:pt idx="14">
                  <c:v>1.24186678447866</c:v>
                </c:pt>
                <c:pt idx="15">
                  <c:v>1.26895347106654</c:v>
                </c:pt>
                <c:pt idx="16">
                  <c:v>1.30811205996722</c:v>
                </c:pt>
                <c:pt idx="17">
                  <c:v>1.3472706488679</c:v>
                </c:pt>
                <c:pt idx="18">
                  <c:v>1.3472706488679</c:v>
                </c:pt>
                <c:pt idx="19">
                  <c:v>1.3472706488679</c:v>
                </c:pt>
                <c:pt idx="20">
                  <c:v>1.38642923776858</c:v>
                </c:pt>
                <c:pt idx="21">
                  <c:v>1.42558782666926</c:v>
                </c:pt>
                <c:pt idx="22">
                  <c:v>1.46474641556995</c:v>
                </c:pt>
                <c:pt idx="23">
                  <c:v>1.50390500447063</c:v>
                </c:pt>
                <c:pt idx="24">
                  <c:v>1.54306359337131</c:v>
                </c:pt>
                <c:pt idx="25">
                  <c:v>1.58222218227199</c:v>
                </c:pt>
                <c:pt idx="26">
                  <c:v>1.62138077117267</c:v>
                </c:pt>
                <c:pt idx="27">
                  <c:v>1.66053936007335</c:v>
                </c:pt>
                <c:pt idx="28">
                  <c:v>1.88574541220518</c:v>
                </c:pt>
                <c:pt idx="29">
                  <c:v>2.110951464337</c:v>
                </c:pt>
                <c:pt idx="30">
                  <c:v>2.56192348217503</c:v>
                </c:pt>
                <c:pt idx="31">
                  <c:v>2.75217882101381</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cmpd="sng">
              <a:solidFill>
                <a:schemeClr val="accent4"/>
              </a:solidFill>
              <a:round/>
            </a:ln>
            <a:effectLst/>
          </c:spPr>
          <c:marker>
            <c:symbol val="none"/>
          </c:marker>
          <c:val>
            <c:numRef>
              <c:f>FTRA!$J$140:$AO$140</c:f>
              <c:numCache>
                <c:formatCode>0.00</c:formatCode>
                <c:ptCount val="32"/>
                <c:pt idx="0">
                  <c:v>3.29935437842208</c:v>
                </c:pt>
                <c:pt idx="1">
                  <c:v>3.31988877523335</c:v>
                </c:pt>
                <c:pt idx="2">
                  <c:v>3.34042317204463</c:v>
                </c:pt>
                <c:pt idx="3">
                  <c:v>3.21627879963342</c:v>
                </c:pt>
                <c:pt idx="4">
                  <c:v>3.37222850766208</c:v>
                </c:pt>
                <c:pt idx="5">
                  <c:v>3.46132807494749</c:v>
                </c:pt>
                <c:pt idx="6">
                  <c:v>3.5504276422329</c:v>
                </c:pt>
                <c:pt idx="7">
                  <c:v>3.63952720951831</c:v>
                </c:pt>
                <c:pt idx="8">
                  <c:v>3.63952720951831</c:v>
                </c:pt>
                <c:pt idx="9">
                  <c:v>3.63952720951831</c:v>
                </c:pt>
                <c:pt idx="10">
                  <c:v>3.72862677680372</c:v>
                </c:pt>
                <c:pt idx="11">
                  <c:v>3.81772634408913</c:v>
                </c:pt>
                <c:pt idx="12">
                  <c:v>3.90682591137454</c:v>
                </c:pt>
                <c:pt idx="13">
                  <c:v>3.99592547865995</c:v>
                </c:pt>
                <c:pt idx="14">
                  <c:v>4.08502504594536</c:v>
                </c:pt>
                <c:pt idx="15">
                  <c:v>4.17412461323076</c:v>
                </c:pt>
                <c:pt idx="16">
                  <c:v>4.30293377249201</c:v>
                </c:pt>
                <c:pt idx="17">
                  <c:v>4.43174293175326</c:v>
                </c:pt>
                <c:pt idx="18">
                  <c:v>4.43174293175326</c:v>
                </c:pt>
                <c:pt idx="19">
                  <c:v>4.43174293175326</c:v>
                </c:pt>
                <c:pt idx="20">
                  <c:v>4.5605520910145</c:v>
                </c:pt>
                <c:pt idx="21">
                  <c:v>4.68936125027575</c:v>
                </c:pt>
                <c:pt idx="22">
                  <c:v>4.81817040953699</c:v>
                </c:pt>
                <c:pt idx="23">
                  <c:v>4.94697956879824</c:v>
                </c:pt>
                <c:pt idx="24">
                  <c:v>5.07578872805948</c:v>
                </c:pt>
                <c:pt idx="25">
                  <c:v>5.20459788732073</c:v>
                </c:pt>
                <c:pt idx="26">
                  <c:v>5.33340704658197</c:v>
                </c:pt>
                <c:pt idx="27">
                  <c:v>5.46221620584322</c:v>
                </c:pt>
                <c:pt idx="28">
                  <c:v>6.20301415209249</c:v>
                </c:pt>
                <c:pt idx="29">
                  <c:v>6.94381209834176</c:v>
                </c:pt>
                <c:pt idx="30">
                  <c:v>8.42724978337676</c:v>
                </c:pt>
                <c:pt idx="31">
                  <c:v>9.05308005277035</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cmpd="sng">
              <a:solidFill>
                <a:schemeClr val="accent5"/>
              </a:solidFill>
              <a:round/>
            </a:ln>
            <a:effectLst/>
          </c:spPr>
          <c:marker>
            <c:symbol val="none"/>
          </c:marker>
          <c:val>
            <c:numRef>
              <c:f>FTRA!$J$141:$AO$141</c:f>
              <c:numCache>
                <c:formatCode>0.00</c:formatCode>
                <c:ptCount val="32"/>
                <c:pt idx="0">
                  <c:v>0.598406989106161</c:v>
                </c:pt>
                <c:pt idx="1">
                  <c:v>0.602131331859188</c:v>
                </c:pt>
                <c:pt idx="2">
                  <c:v>0.605855674612215</c:v>
                </c:pt>
                <c:pt idx="3">
                  <c:v>0.583339493690604</c:v>
                </c:pt>
                <c:pt idx="4">
                  <c:v>0.611624238076882</c:v>
                </c:pt>
                <c:pt idx="5">
                  <c:v>0.627784309919612</c:v>
                </c:pt>
                <c:pt idx="6">
                  <c:v>0.643944381762341</c:v>
                </c:pt>
                <c:pt idx="7">
                  <c:v>0.66010445360507</c:v>
                </c:pt>
                <c:pt idx="8">
                  <c:v>0.66010445360507</c:v>
                </c:pt>
                <c:pt idx="9">
                  <c:v>0.66010445360507</c:v>
                </c:pt>
                <c:pt idx="10">
                  <c:v>0.676264525447799</c:v>
                </c:pt>
                <c:pt idx="11">
                  <c:v>0.692424597290528</c:v>
                </c:pt>
                <c:pt idx="12">
                  <c:v>0.708584669133257</c:v>
                </c:pt>
                <c:pt idx="13">
                  <c:v>0.724744740975986</c:v>
                </c:pt>
                <c:pt idx="14">
                  <c:v>0.740904812818715</c:v>
                </c:pt>
                <c:pt idx="15">
                  <c:v>0.757064884661444</c:v>
                </c:pt>
                <c:pt idx="16">
                  <c:v>0.780427122336465</c:v>
                </c:pt>
                <c:pt idx="17">
                  <c:v>0.803789360011486</c:v>
                </c:pt>
                <c:pt idx="18">
                  <c:v>0.803789360011486</c:v>
                </c:pt>
                <c:pt idx="19">
                  <c:v>0.803789360011486</c:v>
                </c:pt>
                <c:pt idx="20">
                  <c:v>0.827151597686507</c:v>
                </c:pt>
                <c:pt idx="21">
                  <c:v>0.850513835361528</c:v>
                </c:pt>
                <c:pt idx="22">
                  <c:v>0.873876073036549</c:v>
                </c:pt>
                <c:pt idx="23">
                  <c:v>0.89723831071157</c:v>
                </c:pt>
                <c:pt idx="24">
                  <c:v>0.920600548386591</c:v>
                </c:pt>
                <c:pt idx="25">
                  <c:v>0.943962786061612</c:v>
                </c:pt>
                <c:pt idx="26">
                  <c:v>0.967325023736634</c:v>
                </c:pt>
                <c:pt idx="27">
                  <c:v>0.990687261411654</c:v>
                </c:pt>
                <c:pt idx="28">
                  <c:v>1.12504647770265</c:v>
                </c:pt>
                <c:pt idx="29">
                  <c:v>1.25940569399364</c:v>
                </c:pt>
                <c:pt idx="30">
                  <c:v>1.52845817421038</c:v>
                </c:pt>
                <c:pt idx="31">
                  <c:v>1.64196559543454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cmpd="sng">
              <a:solidFill>
                <a:schemeClr val="accent6"/>
              </a:solidFill>
              <a:round/>
            </a:ln>
            <a:effectLst/>
          </c:spPr>
          <c:marker>
            <c:symbol val="none"/>
          </c:marker>
          <c:val>
            <c:numRef>
              <c:f>FTRA!$J$142:$AO$142</c:f>
              <c:numCache>
                <c:formatCode>0.00</c:formatCode>
                <c:ptCount val="32"/>
                <c:pt idx="0">
                  <c:v>0.297988096053326</c:v>
                </c:pt>
                <c:pt idx="1">
                  <c:v>0.299842703078692</c:v>
                </c:pt>
                <c:pt idx="2">
                  <c:v>0.301697310104059</c:v>
                </c:pt>
                <c:pt idx="3">
                  <c:v>0.290484951282439</c:v>
                </c:pt>
                <c:pt idx="4">
                  <c:v>0.304569875557157</c:v>
                </c:pt>
                <c:pt idx="5">
                  <c:v>0.312617089457002</c:v>
                </c:pt>
                <c:pt idx="6">
                  <c:v>0.320664303356848</c:v>
                </c:pt>
                <c:pt idx="7">
                  <c:v>0.328711517256693</c:v>
                </c:pt>
                <c:pt idx="8">
                  <c:v>0.328711517256693</c:v>
                </c:pt>
                <c:pt idx="9">
                  <c:v>0.328711517256693</c:v>
                </c:pt>
                <c:pt idx="10">
                  <c:v>0.336758731156539</c:v>
                </c:pt>
                <c:pt idx="11">
                  <c:v>0.344805945056384</c:v>
                </c:pt>
                <c:pt idx="12">
                  <c:v>0.35285315895623</c:v>
                </c:pt>
                <c:pt idx="13">
                  <c:v>0.360900372856075</c:v>
                </c:pt>
                <c:pt idx="14">
                  <c:v>0.368947586755921</c:v>
                </c:pt>
                <c:pt idx="15">
                  <c:v>0.376994800655766</c:v>
                </c:pt>
                <c:pt idx="16">
                  <c:v>0.388628469464888</c:v>
                </c:pt>
                <c:pt idx="17">
                  <c:v>0.40026213827401</c:v>
                </c:pt>
                <c:pt idx="18">
                  <c:v>0.40026213827401</c:v>
                </c:pt>
                <c:pt idx="19">
                  <c:v>0.40026213827401</c:v>
                </c:pt>
                <c:pt idx="20">
                  <c:v>0.411895807083132</c:v>
                </c:pt>
                <c:pt idx="21">
                  <c:v>0.423529475892253</c:v>
                </c:pt>
                <c:pt idx="22">
                  <c:v>0.435163144701375</c:v>
                </c:pt>
                <c:pt idx="23">
                  <c:v>0.446796813510497</c:v>
                </c:pt>
                <c:pt idx="24">
                  <c:v>0.458430482319619</c:v>
                </c:pt>
                <c:pt idx="25">
                  <c:v>0.47006415112874</c:v>
                </c:pt>
                <c:pt idx="26">
                  <c:v>0.481697819937862</c:v>
                </c:pt>
                <c:pt idx="27">
                  <c:v>0.493331488746984</c:v>
                </c:pt>
                <c:pt idx="28">
                  <c:v>0.560238205711594</c:v>
                </c:pt>
                <c:pt idx="29">
                  <c:v>0.627144922676204</c:v>
                </c:pt>
                <c:pt idx="30">
                  <c:v>0.761124701953126</c:v>
                </c:pt>
                <c:pt idx="31">
                  <c:v>0.81764787256153</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cmpd="sng">
              <a:solidFill>
                <a:schemeClr val="accent1">
                  <a:lumMod val="60000"/>
                </a:schemeClr>
              </a:solidFill>
              <a:round/>
            </a:ln>
            <a:effectLst/>
          </c:spPr>
          <c:marker>
            <c:symbol val="none"/>
          </c:marker>
          <c:val>
            <c:numRef>
              <c:f>FTRA!$J$143:$AO$143</c:f>
              <c:numCache>
                <c:formatCode>0.00</c:formatCode>
                <c:ptCount val="32"/>
                <c:pt idx="0">
                  <c:v>6.66218776463712</c:v>
                </c:pt>
                <c:pt idx="1">
                  <c:v>6.78192199662705</c:v>
                </c:pt>
                <c:pt idx="2">
                  <c:v>6.90165622861697</c:v>
                </c:pt>
                <c:pt idx="3">
                  <c:v>6.71161285916975</c:v>
                </c:pt>
                <c:pt idx="4">
                  <c:v>7.08349212967522</c:v>
                </c:pt>
                <c:pt idx="5">
                  <c:v>7.23294396663656</c:v>
                </c:pt>
                <c:pt idx="6">
                  <c:v>7.38239580359789</c:v>
                </c:pt>
                <c:pt idx="7">
                  <c:v>7.53184764055922</c:v>
                </c:pt>
                <c:pt idx="8">
                  <c:v>7.53184764055922</c:v>
                </c:pt>
                <c:pt idx="9">
                  <c:v>7.53184764055922</c:v>
                </c:pt>
                <c:pt idx="10">
                  <c:v>7.68129947752055</c:v>
                </c:pt>
                <c:pt idx="11">
                  <c:v>7.83075131448189</c:v>
                </c:pt>
                <c:pt idx="12">
                  <c:v>7.98020315144322</c:v>
                </c:pt>
                <c:pt idx="13">
                  <c:v>8.12965498840455</c:v>
                </c:pt>
                <c:pt idx="14">
                  <c:v>8.27910682536589</c:v>
                </c:pt>
                <c:pt idx="15">
                  <c:v>8.42855866232722</c:v>
                </c:pt>
                <c:pt idx="16">
                  <c:v>8.6886552468032</c:v>
                </c:pt>
                <c:pt idx="17">
                  <c:v>8.94875183127919</c:v>
                </c:pt>
                <c:pt idx="18">
                  <c:v>8.94875183127919</c:v>
                </c:pt>
                <c:pt idx="19">
                  <c:v>8.94875183127919</c:v>
                </c:pt>
                <c:pt idx="20">
                  <c:v>9.20884841575517</c:v>
                </c:pt>
                <c:pt idx="21">
                  <c:v>9.46894500023115</c:v>
                </c:pt>
                <c:pt idx="22">
                  <c:v>9.72904158470713</c:v>
                </c:pt>
                <c:pt idx="23">
                  <c:v>9.98913816918312</c:v>
                </c:pt>
                <c:pt idx="24">
                  <c:v>10.2492347536591</c:v>
                </c:pt>
                <c:pt idx="25">
                  <c:v>10.5093313381351</c:v>
                </c:pt>
                <c:pt idx="26">
                  <c:v>10.7694279226111</c:v>
                </c:pt>
                <c:pt idx="27">
                  <c:v>11.0295245070871</c:v>
                </c:pt>
                <c:pt idx="28">
                  <c:v>12.5253732239898</c:v>
                </c:pt>
                <c:pt idx="29">
                  <c:v>14.0212219408926</c:v>
                </c:pt>
                <c:pt idx="30">
                  <c:v>17.016638395541</c:v>
                </c:pt>
                <c:pt idx="31">
                  <c:v>18.2803398005073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cmpd="sng">
              <a:solidFill>
                <a:schemeClr val="accent2">
                  <a:lumMod val="60000"/>
                </a:schemeClr>
              </a:solidFill>
              <a:round/>
            </a:ln>
            <a:effectLst/>
          </c:spPr>
          <c:marker>
            <c:symbol val="none"/>
          </c:marker>
          <c:val>
            <c:numRef>
              <c:f>FTRA!$J$144:$AO$144</c:f>
              <c:numCache>
                <c:formatCode>0.00</c:formatCode>
                <c:ptCount val="32"/>
                <c:pt idx="0">
                  <c:v>2.22615663066399</c:v>
                </c:pt>
                <c:pt idx="1">
                  <c:v>2.24001169998212</c:v>
                </c:pt>
                <c:pt idx="2">
                  <c:v>2.25386676930024</c:v>
                </c:pt>
                <c:pt idx="3">
                  <c:v>2.17010346711899</c:v>
                </c:pt>
                <c:pt idx="4">
                  <c:v>2.27532662194243</c:v>
                </c:pt>
                <c:pt idx="5">
                  <c:v>2.33544432066522</c:v>
                </c:pt>
                <c:pt idx="6">
                  <c:v>2.39556201938802</c:v>
                </c:pt>
                <c:pt idx="7">
                  <c:v>2.45567971811081</c:v>
                </c:pt>
                <c:pt idx="8">
                  <c:v>2.45567971811081</c:v>
                </c:pt>
                <c:pt idx="9">
                  <c:v>2.45567971811081</c:v>
                </c:pt>
                <c:pt idx="10">
                  <c:v>2.5157974168336</c:v>
                </c:pt>
                <c:pt idx="11">
                  <c:v>2.57591511555639</c:v>
                </c:pt>
                <c:pt idx="12">
                  <c:v>2.63603281427919</c:v>
                </c:pt>
                <c:pt idx="13">
                  <c:v>2.69615051300198</c:v>
                </c:pt>
                <c:pt idx="14">
                  <c:v>2.75626821172477</c:v>
                </c:pt>
                <c:pt idx="15">
                  <c:v>2.81638591044757</c:v>
                </c:pt>
                <c:pt idx="16">
                  <c:v>2.90329666057948</c:v>
                </c:pt>
                <c:pt idx="17">
                  <c:v>2.99020741071139</c:v>
                </c:pt>
                <c:pt idx="18">
                  <c:v>2.99020741071139</c:v>
                </c:pt>
                <c:pt idx="19">
                  <c:v>2.99020741071139</c:v>
                </c:pt>
                <c:pt idx="20">
                  <c:v>3.07711816084331</c:v>
                </c:pt>
                <c:pt idx="21">
                  <c:v>3.16402891097522</c:v>
                </c:pt>
                <c:pt idx="22">
                  <c:v>3.25093966110713</c:v>
                </c:pt>
                <c:pt idx="23">
                  <c:v>3.33785041123905</c:v>
                </c:pt>
                <c:pt idx="24">
                  <c:v>3.42476116137096</c:v>
                </c:pt>
                <c:pt idx="25">
                  <c:v>3.51167191150287</c:v>
                </c:pt>
                <c:pt idx="26">
                  <c:v>3.59858266163479</c:v>
                </c:pt>
                <c:pt idx="27">
                  <c:v>3.6854934117667</c:v>
                </c:pt>
                <c:pt idx="28">
                  <c:v>4.1853282493975</c:v>
                </c:pt>
                <c:pt idx="29">
                  <c:v>4.6851630870283</c:v>
                </c:pt>
                <c:pt idx="30">
                  <c:v>5.68607546561823</c:v>
                </c:pt>
                <c:pt idx="31">
                  <c:v>6.10833874627469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cmpd="sng">
              <a:solidFill>
                <a:schemeClr val="accent3">
                  <a:lumMod val="60000"/>
                </a:schemeClr>
              </a:solidFill>
              <a:round/>
            </a:ln>
            <a:effectLst/>
          </c:spPr>
          <c:marker>
            <c:symbol val="none"/>
          </c:marker>
          <c:val>
            <c:numRef>
              <c:f>FTRA!$J$145:$AO$145</c:f>
              <c:numCache>
                <c:formatCode>0.00</c:formatCode>
                <c:ptCount val="32"/>
                <c:pt idx="0">
                  <c:v>0.122213678849837</c:v>
                </c:pt>
                <c:pt idx="1">
                  <c:v>0.122974307715193</c:v>
                </c:pt>
                <c:pt idx="2">
                  <c:v>0.12373493658055</c:v>
                </c:pt>
                <c:pt idx="3">
                  <c:v>0.119136418591666</c:v>
                </c:pt>
                <c:pt idx="4">
                  <c:v>0.124913060124442</c:v>
                </c:pt>
                <c:pt idx="5">
                  <c:v>0.128213459127682</c:v>
                </c:pt>
                <c:pt idx="6">
                  <c:v>0.131513858130921</c:v>
                </c:pt>
                <c:pt idx="7">
                  <c:v>0.134814257134161</c:v>
                </c:pt>
                <c:pt idx="8">
                  <c:v>0.134814257134161</c:v>
                </c:pt>
                <c:pt idx="9">
                  <c:v>0.134814257134161</c:v>
                </c:pt>
                <c:pt idx="10">
                  <c:v>0.138114656137401</c:v>
                </c:pt>
                <c:pt idx="11">
                  <c:v>0.14141505514064</c:v>
                </c:pt>
                <c:pt idx="12">
                  <c:v>0.14471545414388</c:v>
                </c:pt>
                <c:pt idx="13">
                  <c:v>0.148015853147119</c:v>
                </c:pt>
                <c:pt idx="14">
                  <c:v>0.151316252150359</c:v>
                </c:pt>
                <c:pt idx="15">
                  <c:v>0.154616651153599</c:v>
                </c:pt>
                <c:pt idx="16">
                  <c:v>0.1593879607546</c:v>
                </c:pt>
                <c:pt idx="17">
                  <c:v>0.164159270355601</c:v>
                </c:pt>
                <c:pt idx="18">
                  <c:v>0.164159270355601</c:v>
                </c:pt>
                <c:pt idx="19">
                  <c:v>0.164159270355601</c:v>
                </c:pt>
                <c:pt idx="20">
                  <c:v>0.168930579956603</c:v>
                </c:pt>
                <c:pt idx="21">
                  <c:v>0.173701889557604</c:v>
                </c:pt>
                <c:pt idx="22">
                  <c:v>0.178473199158606</c:v>
                </c:pt>
                <c:pt idx="23">
                  <c:v>0.183244508759607</c:v>
                </c:pt>
                <c:pt idx="24">
                  <c:v>0.188015818360608</c:v>
                </c:pt>
                <c:pt idx="25">
                  <c:v>0.19278712796161</c:v>
                </c:pt>
                <c:pt idx="26">
                  <c:v>0.197558437562611</c:v>
                </c:pt>
                <c:pt idx="27">
                  <c:v>0.202329747163613</c:v>
                </c:pt>
                <c:pt idx="28">
                  <c:v>0.229770158805246</c:v>
                </c:pt>
                <c:pt idx="29">
                  <c:v>0.257210570446879</c:v>
                </c:pt>
                <c:pt idx="30">
                  <c:v>0.312159616847684</c:v>
                </c:pt>
                <c:pt idx="31">
                  <c:v>0.335341430859053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cmpd="sng">
              <a:solidFill>
                <a:schemeClr val="accent4">
                  <a:lumMod val="60000"/>
                </a:schemeClr>
              </a:solidFill>
              <a:round/>
            </a:ln>
            <a:effectLst/>
          </c:spPr>
          <c:marker>
            <c:symbol val="none"/>
          </c:marker>
          <c:val>
            <c:numRef>
              <c:f>FTRA!$J$146:$AO$146</c:f>
              <c:numCache>
                <c:formatCode>0.00</c:formatCode>
                <c:ptCount val="32"/>
                <c:pt idx="0">
                  <c:v>0.0294120681482402</c:v>
                </c:pt>
                <c:pt idx="1">
                  <c:v>0.0295951218639447</c:v>
                </c:pt>
                <c:pt idx="2">
                  <c:v>0.0297781755796492</c:v>
                </c:pt>
                <c:pt idx="3">
                  <c:v>0.0286714915673289</c:v>
                </c:pt>
                <c:pt idx="4">
                  <c:v>0.0300617039889575</c:v>
                </c:pt>
                <c:pt idx="5">
                  <c:v>0.0308559813670155</c:v>
                </c:pt>
                <c:pt idx="6">
                  <c:v>0.0316502587450735</c:v>
                </c:pt>
                <c:pt idx="7">
                  <c:v>0.0324445361231314</c:v>
                </c:pt>
                <c:pt idx="8">
                  <c:v>0.0324445361231314</c:v>
                </c:pt>
                <c:pt idx="9">
                  <c:v>0.0324445361231314</c:v>
                </c:pt>
                <c:pt idx="10">
                  <c:v>0.0332388135011894</c:v>
                </c:pt>
                <c:pt idx="11">
                  <c:v>0.0340330908792474</c:v>
                </c:pt>
                <c:pt idx="12">
                  <c:v>0.0348273682573054</c:v>
                </c:pt>
                <c:pt idx="13">
                  <c:v>0.0356216456353633</c:v>
                </c:pt>
                <c:pt idx="14">
                  <c:v>0.0364159230134213</c:v>
                </c:pt>
                <c:pt idx="15">
                  <c:v>0.0372102003914792</c:v>
                </c:pt>
                <c:pt idx="16">
                  <c:v>0.0383584686087664</c:v>
                </c:pt>
                <c:pt idx="17">
                  <c:v>0.0395067368260535</c:v>
                </c:pt>
                <c:pt idx="18">
                  <c:v>0.0395067368260535</c:v>
                </c:pt>
                <c:pt idx="19">
                  <c:v>0.0395067368260535</c:v>
                </c:pt>
                <c:pt idx="20">
                  <c:v>0.0406550050433407</c:v>
                </c:pt>
                <c:pt idx="21">
                  <c:v>0.0418032732606279</c:v>
                </c:pt>
                <c:pt idx="22">
                  <c:v>0.042951541477915</c:v>
                </c:pt>
                <c:pt idx="23">
                  <c:v>0.0440998096952022</c:v>
                </c:pt>
                <c:pt idx="24">
                  <c:v>0.0452480779124893</c:v>
                </c:pt>
                <c:pt idx="25">
                  <c:v>0.0463963461297765</c:v>
                </c:pt>
                <c:pt idx="26">
                  <c:v>0.0475446143470636</c:v>
                </c:pt>
                <c:pt idx="27">
                  <c:v>0.0486928825643508</c:v>
                </c:pt>
                <c:pt idx="28">
                  <c:v>0.0552967199155783</c:v>
                </c:pt>
                <c:pt idx="29">
                  <c:v>0.0619005572668059</c:v>
                </c:pt>
                <c:pt idx="30">
                  <c:v>0.0751246506140576</c:v>
                </c:pt>
                <c:pt idx="31">
                  <c:v>0.0807036095319047</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cmpd="sng">
              <a:solidFill>
                <a:schemeClr val="accent5">
                  <a:lumMod val="60000"/>
                </a:schemeClr>
              </a:solidFill>
              <a:round/>
            </a:ln>
            <a:effectLst/>
          </c:spPr>
          <c:marker>
            <c:symbol val="none"/>
          </c:marker>
          <c:val>
            <c:numRef>
              <c:f>FTRA!$J$147:$AO$147</c:f>
              <c:numCache>
                <c:formatCode>0.00</c:formatCode>
                <c:ptCount val="32"/>
                <c:pt idx="0">
                  <c:v>22</c:v>
                </c:pt>
                <c:pt idx="1">
                  <c:v>20.6090245634933</c:v>
                </c:pt>
                <c:pt idx="2">
                  <c:v>19.2180491269867</c:v>
                </c:pt>
                <c:pt idx="3">
                  <c:v>17.2066373817421</c:v>
                </c:pt>
                <c:pt idx="4">
                  <c:v>17.1342232384213</c:v>
                </c:pt>
                <c:pt idx="5">
                  <c:v>18.3229698496232</c:v>
                </c:pt>
                <c:pt idx="6">
                  <c:v>19.5117164608251</c:v>
                </c:pt>
                <c:pt idx="7">
                  <c:v>20.700463072027</c:v>
                </c:pt>
                <c:pt idx="8">
                  <c:v>20.700463072027</c:v>
                </c:pt>
                <c:pt idx="9">
                  <c:v>20.700463072027</c:v>
                </c:pt>
                <c:pt idx="10">
                  <c:v>21.8892096832289</c:v>
                </c:pt>
                <c:pt idx="11">
                  <c:v>23.0779562944307</c:v>
                </c:pt>
                <c:pt idx="12">
                  <c:v>24.2667029056326</c:v>
                </c:pt>
                <c:pt idx="13">
                  <c:v>25.4554495168345</c:v>
                </c:pt>
                <c:pt idx="14">
                  <c:v>26.6441961280364</c:v>
                </c:pt>
                <c:pt idx="15">
                  <c:v>27.8329427392383</c:v>
                </c:pt>
                <c:pt idx="16">
                  <c:v>28.691838504507</c:v>
                </c:pt>
                <c:pt idx="17">
                  <c:v>29.5507342697756</c:v>
                </c:pt>
                <c:pt idx="18">
                  <c:v>29.5507342697756</c:v>
                </c:pt>
                <c:pt idx="19">
                  <c:v>29.5507342697756</c:v>
                </c:pt>
                <c:pt idx="20">
                  <c:v>30.4096300350443</c:v>
                </c:pt>
                <c:pt idx="21">
                  <c:v>31.268525800313</c:v>
                </c:pt>
                <c:pt idx="22">
                  <c:v>32.1274215655817</c:v>
                </c:pt>
                <c:pt idx="23">
                  <c:v>32.9863173308504</c:v>
                </c:pt>
                <c:pt idx="24">
                  <c:v>33.845213096119</c:v>
                </c:pt>
                <c:pt idx="25">
                  <c:v>34.7041088613877</c:v>
                </c:pt>
                <c:pt idx="26">
                  <c:v>35.5630046266564</c:v>
                </c:pt>
                <c:pt idx="27">
                  <c:v>36.4219003919251</c:v>
                </c:pt>
                <c:pt idx="28">
                  <c:v>41.3615197683918</c:v>
                </c:pt>
                <c:pt idx="29">
                  <c:v>46.3011391448585</c:v>
                </c:pt>
                <c:pt idx="30">
                  <c:v>56.1926589173959</c:v>
                </c:pt>
                <c:pt idx="31">
                  <c:v>60.365677134749</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cmpd="sng">
              <a:solidFill>
                <a:schemeClr val="accent6">
                  <a:lumMod val="60000"/>
                </a:schemeClr>
              </a:solidFill>
              <a:round/>
            </a:ln>
            <a:effectLst/>
          </c:spPr>
          <c:marker>
            <c:symbol val="none"/>
          </c:marker>
          <c:val>
            <c:numRef>
              <c:f>FTRA!$J$148:$AO$148</c:f>
              <c:numCache>
                <c:formatCode>0.00</c:formatCode>
                <c:ptCount val="32"/>
                <c:pt idx="0">
                  <c:v>27.1425055143167</c:v>
                </c:pt>
                <c:pt idx="1">
                  <c:v>26.9228783099276</c:v>
                </c:pt>
                <c:pt idx="2">
                  <c:v>26.7032511055385</c:v>
                </c:pt>
                <c:pt idx="3">
                  <c:v>25.7108444016277</c:v>
                </c:pt>
                <c:pt idx="4">
                  <c:v>26.9575020850541</c:v>
                </c:pt>
                <c:pt idx="5">
                  <c:v>27.6697615791591</c:v>
                </c:pt>
                <c:pt idx="6">
                  <c:v>28.382021073264</c:v>
                </c:pt>
                <c:pt idx="7">
                  <c:v>29.094280567369</c:v>
                </c:pt>
                <c:pt idx="8">
                  <c:v>29.094280567369</c:v>
                </c:pt>
                <c:pt idx="9">
                  <c:v>29.094280567369</c:v>
                </c:pt>
                <c:pt idx="10">
                  <c:v>29.806540061474</c:v>
                </c:pt>
                <c:pt idx="11">
                  <c:v>30.518799555579</c:v>
                </c:pt>
                <c:pt idx="12">
                  <c:v>31.231059049684</c:v>
                </c:pt>
                <c:pt idx="13">
                  <c:v>31.943318543789</c:v>
                </c:pt>
                <c:pt idx="14">
                  <c:v>32.655578037894</c:v>
                </c:pt>
                <c:pt idx="15">
                  <c:v>33.367837531999</c:v>
                </c:pt>
                <c:pt idx="16">
                  <c:v>34.3975344138886</c:v>
                </c:pt>
                <c:pt idx="17">
                  <c:v>35.4272312957783</c:v>
                </c:pt>
                <c:pt idx="18">
                  <c:v>35.4272312957783</c:v>
                </c:pt>
                <c:pt idx="19">
                  <c:v>35.4272312957783</c:v>
                </c:pt>
                <c:pt idx="20">
                  <c:v>36.456928177668</c:v>
                </c:pt>
                <c:pt idx="21">
                  <c:v>37.4866250595576</c:v>
                </c:pt>
                <c:pt idx="22">
                  <c:v>38.5163219414473</c:v>
                </c:pt>
                <c:pt idx="23">
                  <c:v>39.546018823337</c:v>
                </c:pt>
                <c:pt idx="24">
                  <c:v>40.5757157052266</c:v>
                </c:pt>
                <c:pt idx="25">
                  <c:v>41.6054125871163</c:v>
                </c:pt>
                <c:pt idx="26">
                  <c:v>42.635109469006</c:v>
                </c:pt>
                <c:pt idx="27">
                  <c:v>43.6648063508956</c:v>
                </c:pt>
                <c:pt idx="28">
                  <c:v>49.5867247900655</c:v>
                </c:pt>
                <c:pt idx="29">
                  <c:v>55.5086432292354</c:v>
                </c:pt>
                <c:pt idx="30">
                  <c:v>67.367203346534</c:v>
                </c:pt>
                <c:pt idx="31">
                  <c:v>72.3700733340616</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cmpd="sng">
              <a:solidFill>
                <a:schemeClr val="accent1">
                  <a:lumMod val="80000"/>
                  <a:lumOff val="20000"/>
                </a:schemeClr>
              </a:solidFill>
              <a:round/>
            </a:ln>
            <a:effectLst/>
          </c:spPr>
          <c:marker>
            <c:symbol val="none"/>
          </c:marker>
          <c:val>
            <c:numRef>
              <c:f>FTRA!$J$149:$AO$149</c:f>
              <c:numCache>
                <c:formatCode>0.00</c:formatCode>
                <c:ptCount val="32"/>
                <c:pt idx="0">
                  <c:v>88.6727271782457</c:v>
                </c:pt>
                <c:pt idx="1">
                  <c:v>88.0153049298907</c:v>
                </c:pt>
                <c:pt idx="2">
                  <c:v>87.3578826815358</c:v>
                </c:pt>
                <c:pt idx="3">
                  <c:v>84.5596074594622</c:v>
                </c:pt>
                <c:pt idx="4">
                  <c:v>89.9409429149519</c:v>
                </c:pt>
                <c:pt idx="5">
                  <c:v>90.1381147132366</c:v>
                </c:pt>
                <c:pt idx="6">
                  <c:v>90.3352865115213</c:v>
                </c:pt>
                <c:pt idx="7">
                  <c:v>90.532458309806</c:v>
                </c:pt>
                <c:pt idx="8">
                  <c:v>90.532458309806</c:v>
                </c:pt>
                <c:pt idx="9">
                  <c:v>90.532458309806</c:v>
                </c:pt>
                <c:pt idx="10">
                  <c:v>90.7296301080907</c:v>
                </c:pt>
                <c:pt idx="11">
                  <c:v>90.9268019063754</c:v>
                </c:pt>
                <c:pt idx="12">
                  <c:v>91.1239737046601</c:v>
                </c:pt>
                <c:pt idx="13">
                  <c:v>91.3211455029448</c:v>
                </c:pt>
                <c:pt idx="14">
                  <c:v>91.5183173012295</c:v>
                </c:pt>
                <c:pt idx="15">
                  <c:v>91.7154890995141</c:v>
                </c:pt>
                <c:pt idx="16">
                  <c:v>93.2085493445157</c:v>
                </c:pt>
                <c:pt idx="17">
                  <c:v>94.7016095895172</c:v>
                </c:pt>
                <c:pt idx="18">
                  <c:v>94.7016095895172</c:v>
                </c:pt>
                <c:pt idx="19">
                  <c:v>94.7016095895172</c:v>
                </c:pt>
                <c:pt idx="20">
                  <c:v>96.1946698345187</c:v>
                </c:pt>
                <c:pt idx="21">
                  <c:v>97.6877300795202</c:v>
                </c:pt>
                <c:pt idx="22">
                  <c:v>99.1807903245217</c:v>
                </c:pt>
                <c:pt idx="23">
                  <c:v>100.673850569523</c:v>
                </c:pt>
                <c:pt idx="24">
                  <c:v>102.166910814525</c:v>
                </c:pt>
                <c:pt idx="25">
                  <c:v>103.659971059526</c:v>
                </c:pt>
                <c:pt idx="26">
                  <c:v>105.153031304528</c:v>
                </c:pt>
                <c:pt idx="27">
                  <c:v>106.646091549529</c:v>
                </c:pt>
                <c:pt idx="28">
                  <c:v>118.844937921076</c:v>
                </c:pt>
                <c:pt idx="29">
                  <c:v>131.043784292623</c:v>
                </c:pt>
                <c:pt idx="30">
                  <c:v>160.051013456111</c:v>
                </c:pt>
                <c:pt idx="31">
                  <c:v>171.434120930427</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showLeaderLines val="0"/>
        </c:dLbls>
        <c:marker val="1"/>
        <c:axId val="1415739"/>
        <c:axId val="52382366"/>
      </c:lineChart>
      <c:catAx>
        <c:axId val="1415739"/>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52382366"/>
        <c:crosses val="autoZero"/>
        <c:auto val="1"/>
        <c:lblOffset val="100"/>
        <c:noMultiLvlLbl val="0"/>
      </c:catAx>
      <c:valAx>
        <c:axId val="52382366"/>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415739"/>
        <c:crosses val="autoZero"/>
        <c:crossBetween val="between"/>
      </c:valAx>
      <c:spPr>
        <a:noFill/>
        <a:ln w="12700" cap="flat" cmpd="sng">
          <a:solidFill>
            <a:schemeClr val="accent1"/>
          </a:solid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solidFill>
        <a:schemeClr val="tx1">
          <a:lumMod val="15000"/>
          <a:lumOff val="85000"/>
        </a:schemeClr>
      </a:solidFill>
      <a:round/>
    </a:ln>
    <a:effectLst/>
  </c:spPr>
</c:chartSpace>
</file>

<file path=xl/charts/chart11.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cmpd="sng">
              <a:solidFill>
                <a:schemeClr val="accent1"/>
              </a:solidFill>
              <a:round/>
            </a:ln>
            <a:effectLst/>
          </c:spPr>
          <c:marker>
            <c:symbol val="none"/>
          </c:marker>
          <c:val>
            <c:numRef>
              <c:f>FTRA!$M$111:$AR$111</c:f>
              <c:numCache>
                <c:formatCode>0.00</c:formatCode>
                <c:ptCount val="32"/>
                <c:pt idx="0">
                  <c:v>47.5848205857499</c:v>
                </c:pt>
                <c:pt idx="1">
                  <c:v>47.8809771897484</c:v>
                </c:pt>
                <c:pt idx="2">
                  <c:v>48.1771337937469</c:v>
                </c:pt>
                <c:pt idx="3">
                  <c:v>46.3866660202478</c:v>
                </c:pt>
                <c:pt idx="4">
                  <c:v>48.1771337937469</c:v>
                </c:pt>
                <c:pt idx="5">
                  <c:v>46.3866660202478</c:v>
                </c:pt>
                <c:pt idx="6">
                  <c:v>48.6358451097923</c:v>
                </c:pt>
                <c:pt idx="7">
                  <c:v>49.9208804340583</c:v>
                </c:pt>
                <c:pt idx="8">
                  <c:v>51.2059157583244</c:v>
                </c:pt>
                <c:pt idx="9">
                  <c:v>52.4909510825904</c:v>
                </c:pt>
                <c:pt idx="10">
                  <c:v>53.7759864068564</c:v>
                </c:pt>
                <c:pt idx="11">
                  <c:v>55.0610217311224</c:v>
                </c:pt>
                <c:pt idx="12">
                  <c:v>56.3460570553884</c:v>
                </c:pt>
                <c:pt idx="13">
                  <c:v>57.6310923796545</c:v>
                </c:pt>
                <c:pt idx="14">
                  <c:v>56.3460570553884</c:v>
                </c:pt>
                <c:pt idx="15">
                  <c:v>57.6310923796545</c:v>
                </c:pt>
                <c:pt idx="16">
                  <c:v>58.9161277039205</c:v>
                </c:pt>
                <c:pt idx="17">
                  <c:v>60.2011630281865</c:v>
                </c:pt>
                <c:pt idx="18">
                  <c:v>62.0589085232852</c:v>
                </c:pt>
                <c:pt idx="19">
                  <c:v>63.9166540183838</c:v>
                </c:pt>
                <c:pt idx="20">
                  <c:v>65.7743995134825</c:v>
                </c:pt>
                <c:pt idx="21">
                  <c:v>67.6321450085811</c:v>
                </c:pt>
                <c:pt idx="22">
                  <c:v>69.4898905036798</c:v>
                </c:pt>
                <c:pt idx="23">
                  <c:v>71.3476359987785</c:v>
                </c:pt>
                <c:pt idx="24">
                  <c:v>73.2053814938771</c:v>
                </c:pt>
                <c:pt idx="25">
                  <c:v>75.0631269889758</c:v>
                </c:pt>
                <c:pt idx="26">
                  <c:v>76.9208724840744</c:v>
                </c:pt>
                <c:pt idx="27">
                  <c:v>78.7786179791731</c:v>
                </c:pt>
                <c:pt idx="28">
                  <c:v>80.9154443590919</c:v>
                </c:pt>
                <c:pt idx="29">
                  <c:v>83.0522707390106</c:v>
                </c:pt>
                <c:pt idx="30">
                  <c:v>85.1890971189293</c:v>
                </c:pt>
                <c:pt idx="31">
                  <c:v>87.3259234988481</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cmpd="sng">
              <a:solidFill>
                <a:schemeClr val="accent2"/>
              </a:solidFill>
              <a:round/>
            </a:ln>
            <a:effectLst/>
          </c:spPr>
          <c:marker>
            <c:symbol val="none"/>
          </c:marker>
          <c:val>
            <c:numRef>
              <c:f>FTRA!$M$112:$AR$112</c:f>
              <c:numCache>
                <c:formatCode>0.00</c:formatCode>
                <c:ptCount val="32"/>
                <c:pt idx="0">
                  <c:v>3.65147837074528</c:v>
                </c:pt>
                <c:pt idx="1">
                  <c:v>3.93601664914389</c:v>
                </c:pt>
                <c:pt idx="2">
                  <c:v>4.22055492754249</c:v>
                </c:pt>
                <c:pt idx="3">
                  <c:v>4.06370110522091</c:v>
                </c:pt>
                <c:pt idx="4">
                  <c:v>4.22055492754249</c:v>
                </c:pt>
                <c:pt idx="5">
                  <c:v>4.06370110522091</c:v>
                </c:pt>
                <c:pt idx="6">
                  <c:v>4.26074030497784</c:v>
                </c:pt>
                <c:pt idx="7">
                  <c:v>4.37331574778264</c:v>
                </c:pt>
                <c:pt idx="8">
                  <c:v>4.48589119058744</c:v>
                </c:pt>
                <c:pt idx="9">
                  <c:v>4.59846663339224</c:v>
                </c:pt>
                <c:pt idx="10">
                  <c:v>4.71104207619704</c:v>
                </c:pt>
                <c:pt idx="11">
                  <c:v>4.82361751900184</c:v>
                </c:pt>
                <c:pt idx="12">
                  <c:v>4.93619296180664</c:v>
                </c:pt>
                <c:pt idx="13">
                  <c:v>5.04876840461144</c:v>
                </c:pt>
                <c:pt idx="14">
                  <c:v>4.93619296180664</c:v>
                </c:pt>
                <c:pt idx="15">
                  <c:v>5.04876840461144</c:v>
                </c:pt>
                <c:pt idx="16">
                  <c:v>5.16134384741624</c:v>
                </c:pt>
                <c:pt idx="17">
                  <c:v>5.27391929022104</c:v>
                </c:pt>
                <c:pt idx="18">
                  <c:v>5.43666697332369</c:v>
                </c:pt>
                <c:pt idx="19">
                  <c:v>5.59941465642633</c:v>
                </c:pt>
                <c:pt idx="20">
                  <c:v>5.76216233952898</c:v>
                </c:pt>
                <c:pt idx="21">
                  <c:v>5.92491002263163</c:v>
                </c:pt>
                <c:pt idx="22">
                  <c:v>6.08765770573427</c:v>
                </c:pt>
                <c:pt idx="23">
                  <c:v>6.25040538883692</c:v>
                </c:pt>
                <c:pt idx="24">
                  <c:v>6.41315307193957</c:v>
                </c:pt>
                <c:pt idx="25">
                  <c:v>6.57590075504222</c:v>
                </c:pt>
                <c:pt idx="26">
                  <c:v>6.73864843814486</c:v>
                </c:pt>
                <c:pt idx="27">
                  <c:v>6.90139612124751</c:v>
                </c:pt>
                <c:pt idx="28">
                  <c:v>7.08859266859046</c:v>
                </c:pt>
                <c:pt idx="29">
                  <c:v>7.27578921593341</c:v>
                </c:pt>
                <c:pt idx="30">
                  <c:v>7.46298576327636</c:v>
                </c:pt>
                <c:pt idx="31">
                  <c:v>7.65018231061931</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cmpd="sng">
              <a:solidFill>
                <a:schemeClr val="accent3"/>
              </a:solidFill>
              <a:round/>
            </a:ln>
            <a:effectLst/>
          </c:spPr>
          <c:marker>
            <c:symbol val="none"/>
          </c:marker>
          <c:val>
            <c:numRef>
              <c:f>FTRA!$M$113:$AR$113</c:f>
              <c:numCache>
                <c:formatCode>0.00</c:formatCode>
                <c:ptCount val="32"/>
                <c:pt idx="0">
                  <c:v>1.00301921449747</c:v>
                </c:pt>
                <c:pt idx="1">
                  <c:v>1.00926176749345</c:v>
                </c:pt>
                <c:pt idx="2">
                  <c:v>1.01550432048943</c:v>
                </c:pt>
                <c:pt idx="3">
                  <c:v>0.977763848682424</c:v>
                </c:pt>
                <c:pt idx="4">
                  <c:v>1.01550432048943</c:v>
                </c:pt>
                <c:pt idx="5">
                  <c:v>0.977763848682424</c:v>
                </c:pt>
                <c:pt idx="6">
                  <c:v>1.0251732917756</c:v>
                </c:pt>
                <c:pt idx="7">
                  <c:v>1.05225997836348</c:v>
                </c:pt>
                <c:pt idx="8">
                  <c:v>1.07934666495136</c:v>
                </c:pt>
                <c:pt idx="9">
                  <c:v>1.10643335153925</c:v>
                </c:pt>
                <c:pt idx="10">
                  <c:v>1.13352003812713</c:v>
                </c:pt>
                <c:pt idx="11">
                  <c:v>1.16060672471501</c:v>
                </c:pt>
                <c:pt idx="12">
                  <c:v>1.18769341130289</c:v>
                </c:pt>
                <c:pt idx="13">
                  <c:v>1.21478009789077</c:v>
                </c:pt>
                <c:pt idx="14">
                  <c:v>1.18769341130289</c:v>
                </c:pt>
                <c:pt idx="15">
                  <c:v>1.21478009789077</c:v>
                </c:pt>
                <c:pt idx="16">
                  <c:v>1.24186678447866</c:v>
                </c:pt>
                <c:pt idx="17">
                  <c:v>1.26895347106654</c:v>
                </c:pt>
                <c:pt idx="18">
                  <c:v>1.30811205996722</c:v>
                </c:pt>
                <c:pt idx="19">
                  <c:v>1.3472706488679</c:v>
                </c:pt>
                <c:pt idx="20">
                  <c:v>1.38642923776858</c:v>
                </c:pt>
                <c:pt idx="21">
                  <c:v>1.42558782666926</c:v>
                </c:pt>
                <c:pt idx="22">
                  <c:v>1.46474641556995</c:v>
                </c:pt>
                <c:pt idx="23">
                  <c:v>1.50390500447063</c:v>
                </c:pt>
                <c:pt idx="24">
                  <c:v>1.54306359337131</c:v>
                </c:pt>
                <c:pt idx="25">
                  <c:v>1.58222218227199</c:v>
                </c:pt>
                <c:pt idx="26">
                  <c:v>1.62138077117267</c:v>
                </c:pt>
                <c:pt idx="27">
                  <c:v>1.66053936007335</c:v>
                </c:pt>
                <c:pt idx="28">
                  <c:v>1.70558057049972</c:v>
                </c:pt>
                <c:pt idx="29">
                  <c:v>1.75062178092608</c:v>
                </c:pt>
                <c:pt idx="30">
                  <c:v>1.79566299135245</c:v>
                </c:pt>
                <c:pt idx="31">
                  <c:v>1.84070420177881</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cmpd="sng">
              <a:solidFill>
                <a:schemeClr val="accent4"/>
              </a:solidFill>
              <a:round/>
            </a:ln>
            <a:effectLst/>
          </c:spPr>
          <c:marker>
            <c:symbol val="none"/>
          </c:marker>
          <c:val>
            <c:numRef>
              <c:f>FTRA!$M$114:$AR$114</c:f>
              <c:numCache>
                <c:formatCode>0.00</c:formatCode>
                <c:ptCount val="32"/>
                <c:pt idx="0">
                  <c:v>3.29935437842208</c:v>
                </c:pt>
                <c:pt idx="1">
                  <c:v>3.31988877523335</c:v>
                </c:pt>
                <c:pt idx="2">
                  <c:v>3.34042317204463</c:v>
                </c:pt>
                <c:pt idx="3">
                  <c:v>3.21627879963342</c:v>
                </c:pt>
                <c:pt idx="4">
                  <c:v>3.34042317204463</c:v>
                </c:pt>
                <c:pt idx="5">
                  <c:v>3.21627879963342</c:v>
                </c:pt>
                <c:pt idx="6">
                  <c:v>3.37222850766208</c:v>
                </c:pt>
                <c:pt idx="7">
                  <c:v>3.46132807494749</c:v>
                </c:pt>
                <c:pt idx="8">
                  <c:v>3.5504276422329</c:v>
                </c:pt>
                <c:pt idx="9">
                  <c:v>3.63952720951831</c:v>
                </c:pt>
                <c:pt idx="10">
                  <c:v>3.72862677680372</c:v>
                </c:pt>
                <c:pt idx="11">
                  <c:v>3.81772634408913</c:v>
                </c:pt>
                <c:pt idx="12">
                  <c:v>3.90682591137454</c:v>
                </c:pt>
                <c:pt idx="13">
                  <c:v>3.99592547865995</c:v>
                </c:pt>
                <c:pt idx="14">
                  <c:v>3.90682591137454</c:v>
                </c:pt>
                <c:pt idx="15">
                  <c:v>3.99592547865995</c:v>
                </c:pt>
                <c:pt idx="16">
                  <c:v>4.08502504594536</c:v>
                </c:pt>
                <c:pt idx="17">
                  <c:v>4.17412461323076</c:v>
                </c:pt>
                <c:pt idx="18">
                  <c:v>4.30293377249201</c:v>
                </c:pt>
                <c:pt idx="19">
                  <c:v>4.43174293175326</c:v>
                </c:pt>
                <c:pt idx="20">
                  <c:v>4.5605520910145</c:v>
                </c:pt>
                <c:pt idx="21">
                  <c:v>4.68936125027575</c:v>
                </c:pt>
                <c:pt idx="22">
                  <c:v>4.81817040953699</c:v>
                </c:pt>
                <c:pt idx="23">
                  <c:v>4.94697956879824</c:v>
                </c:pt>
                <c:pt idx="24">
                  <c:v>5.07578872805948</c:v>
                </c:pt>
                <c:pt idx="25">
                  <c:v>5.20459788732073</c:v>
                </c:pt>
                <c:pt idx="26">
                  <c:v>5.33340704658197</c:v>
                </c:pt>
                <c:pt idx="27">
                  <c:v>5.46221620584322</c:v>
                </c:pt>
                <c:pt idx="28">
                  <c:v>5.61037579509307</c:v>
                </c:pt>
                <c:pt idx="29">
                  <c:v>5.75853538434293</c:v>
                </c:pt>
                <c:pt idx="30">
                  <c:v>5.90669497359278</c:v>
                </c:pt>
                <c:pt idx="31">
                  <c:v>6.05485456284264</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cmpd="sng">
              <a:solidFill>
                <a:schemeClr val="accent5"/>
              </a:solidFill>
              <a:round/>
            </a:ln>
            <a:effectLst/>
          </c:spPr>
          <c:marker>
            <c:symbol val="none"/>
          </c:marker>
          <c:val>
            <c:numRef>
              <c:f>FTRA!$M$115:$AR$115</c:f>
              <c:numCache>
                <c:formatCode>0.00</c:formatCode>
                <c:ptCount val="32"/>
                <c:pt idx="0">
                  <c:v>0.598406989106161</c:v>
                </c:pt>
                <c:pt idx="1">
                  <c:v>0.602131331859188</c:v>
                </c:pt>
                <c:pt idx="2">
                  <c:v>0.605855674612215</c:v>
                </c:pt>
                <c:pt idx="3">
                  <c:v>0.583339493690604</c:v>
                </c:pt>
                <c:pt idx="4">
                  <c:v>0.605855674612215</c:v>
                </c:pt>
                <c:pt idx="5">
                  <c:v>0.583339493690604</c:v>
                </c:pt>
                <c:pt idx="6">
                  <c:v>0.611624238076882</c:v>
                </c:pt>
                <c:pt idx="7">
                  <c:v>0.627784309919612</c:v>
                </c:pt>
                <c:pt idx="8">
                  <c:v>0.643944381762341</c:v>
                </c:pt>
                <c:pt idx="9">
                  <c:v>0.66010445360507</c:v>
                </c:pt>
                <c:pt idx="10">
                  <c:v>0.676264525447799</c:v>
                </c:pt>
                <c:pt idx="11">
                  <c:v>0.692424597290528</c:v>
                </c:pt>
                <c:pt idx="12">
                  <c:v>0.708584669133257</c:v>
                </c:pt>
                <c:pt idx="13">
                  <c:v>0.724744740975986</c:v>
                </c:pt>
                <c:pt idx="14">
                  <c:v>0.708584669133257</c:v>
                </c:pt>
                <c:pt idx="15">
                  <c:v>0.724744740975986</c:v>
                </c:pt>
                <c:pt idx="16">
                  <c:v>0.740904812818715</c:v>
                </c:pt>
                <c:pt idx="17">
                  <c:v>0.757064884661444</c:v>
                </c:pt>
                <c:pt idx="18">
                  <c:v>0.780427122336465</c:v>
                </c:pt>
                <c:pt idx="19">
                  <c:v>0.803789360011486</c:v>
                </c:pt>
                <c:pt idx="20">
                  <c:v>0.827151597686507</c:v>
                </c:pt>
                <c:pt idx="21">
                  <c:v>0.850513835361528</c:v>
                </c:pt>
                <c:pt idx="22">
                  <c:v>0.873876073036549</c:v>
                </c:pt>
                <c:pt idx="23">
                  <c:v>0.89723831071157</c:v>
                </c:pt>
                <c:pt idx="24">
                  <c:v>0.920600548386591</c:v>
                </c:pt>
                <c:pt idx="25">
                  <c:v>0.943962786061612</c:v>
                </c:pt>
                <c:pt idx="26">
                  <c:v>0.967325023736634</c:v>
                </c:pt>
                <c:pt idx="27">
                  <c:v>0.990687261411654</c:v>
                </c:pt>
                <c:pt idx="28">
                  <c:v>1.01755910466985</c:v>
                </c:pt>
                <c:pt idx="29">
                  <c:v>1.04443094792805</c:v>
                </c:pt>
                <c:pt idx="30">
                  <c:v>1.07130279118625</c:v>
                </c:pt>
                <c:pt idx="31">
                  <c:v>1.09817463444445</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cmpd="sng">
              <a:solidFill>
                <a:schemeClr val="accent6"/>
              </a:solidFill>
              <a:round/>
            </a:ln>
            <a:effectLst/>
          </c:spPr>
          <c:marker>
            <c:symbol val="none"/>
          </c:marker>
          <c:val>
            <c:numRef>
              <c:f>FTRA!$M$116:$AR$116</c:f>
              <c:numCache>
                <c:formatCode>0.00</c:formatCode>
                <c:ptCount val="32"/>
                <c:pt idx="0">
                  <c:v>0.297988096053326</c:v>
                </c:pt>
                <c:pt idx="1">
                  <c:v>0.299842703078692</c:v>
                </c:pt>
                <c:pt idx="2">
                  <c:v>0.301697310104059</c:v>
                </c:pt>
                <c:pt idx="3">
                  <c:v>0.290484951282439</c:v>
                </c:pt>
                <c:pt idx="4">
                  <c:v>0.301697310104059</c:v>
                </c:pt>
                <c:pt idx="5">
                  <c:v>0.290484951282439</c:v>
                </c:pt>
                <c:pt idx="6">
                  <c:v>0.304569875557157</c:v>
                </c:pt>
                <c:pt idx="7">
                  <c:v>0.312617089457002</c:v>
                </c:pt>
                <c:pt idx="8">
                  <c:v>0.320664303356848</c:v>
                </c:pt>
                <c:pt idx="9">
                  <c:v>0.328711517256693</c:v>
                </c:pt>
                <c:pt idx="10">
                  <c:v>0.336758731156539</c:v>
                </c:pt>
                <c:pt idx="11">
                  <c:v>0.344805945056384</c:v>
                </c:pt>
                <c:pt idx="12">
                  <c:v>0.35285315895623</c:v>
                </c:pt>
                <c:pt idx="13">
                  <c:v>0.360900372856075</c:v>
                </c:pt>
                <c:pt idx="14">
                  <c:v>0.35285315895623</c:v>
                </c:pt>
                <c:pt idx="15">
                  <c:v>0.360900372856075</c:v>
                </c:pt>
                <c:pt idx="16">
                  <c:v>0.368947586755921</c:v>
                </c:pt>
                <c:pt idx="17">
                  <c:v>0.376994800655766</c:v>
                </c:pt>
                <c:pt idx="18">
                  <c:v>0.388628469464888</c:v>
                </c:pt>
                <c:pt idx="19">
                  <c:v>0.40026213827401</c:v>
                </c:pt>
                <c:pt idx="20">
                  <c:v>0.411895807083132</c:v>
                </c:pt>
                <c:pt idx="21">
                  <c:v>0.423529475892253</c:v>
                </c:pt>
                <c:pt idx="22">
                  <c:v>0.435163144701375</c:v>
                </c:pt>
                <c:pt idx="23">
                  <c:v>0.446796813510497</c:v>
                </c:pt>
                <c:pt idx="24">
                  <c:v>0.458430482319619</c:v>
                </c:pt>
                <c:pt idx="25">
                  <c:v>0.47006415112874</c:v>
                </c:pt>
                <c:pt idx="26">
                  <c:v>0.481697819937862</c:v>
                </c:pt>
                <c:pt idx="27">
                  <c:v>0.493331488746984</c:v>
                </c:pt>
                <c:pt idx="28">
                  <c:v>0.506712832139906</c:v>
                </c:pt>
                <c:pt idx="29">
                  <c:v>0.520094175532828</c:v>
                </c:pt>
                <c:pt idx="30">
                  <c:v>0.53347551892575</c:v>
                </c:pt>
                <c:pt idx="31">
                  <c:v>0.546856862318672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cmpd="sng">
              <a:solidFill>
                <a:schemeClr val="accent1">
                  <a:lumMod val="60000"/>
                </a:schemeClr>
              </a:solidFill>
              <a:round/>
            </a:ln>
            <a:effectLst/>
          </c:spPr>
          <c:marker>
            <c:symbol val="none"/>
          </c:marker>
          <c:val>
            <c:numRef>
              <c:f>FTRA!$M$117:$AR$117</c:f>
              <c:numCache>
                <c:formatCode>0.00</c:formatCode>
                <c:ptCount val="32"/>
                <c:pt idx="0">
                  <c:v>6.66218776463712</c:v>
                </c:pt>
                <c:pt idx="1">
                  <c:v>6.78192199662705</c:v>
                </c:pt>
                <c:pt idx="2">
                  <c:v>6.90165622861697</c:v>
                </c:pt>
                <c:pt idx="3">
                  <c:v>6.71161285916975</c:v>
                </c:pt>
                <c:pt idx="4">
                  <c:v>6.90165622861697</c:v>
                </c:pt>
                <c:pt idx="5">
                  <c:v>6.71161285916975</c:v>
                </c:pt>
                <c:pt idx="6">
                  <c:v>7.08349212967522</c:v>
                </c:pt>
                <c:pt idx="7">
                  <c:v>7.23294396663656</c:v>
                </c:pt>
                <c:pt idx="8">
                  <c:v>7.38239580359789</c:v>
                </c:pt>
                <c:pt idx="9">
                  <c:v>7.53184764055922</c:v>
                </c:pt>
                <c:pt idx="10">
                  <c:v>7.68129947752055</c:v>
                </c:pt>
                <c:pt idx="11">
                  <c:v>7.83075131448189</c:v>
                </c:pt>
                <c:pt idx="12">
                  <c:v>7.98020315144322</c:v>
                </c:pt>
                <c:pt idx="13">
                  <c:v>8.12965498840455</c:v>
                </c:pt>
                <c:pt idx="14">
                  <c:v>7.98020315144322</c:v>
                </c:pt>
                <c:pt idx="15">
                  <c:v>8.12965498840455</c:v>
                </c:pt>
                <c:pt idx="16">
                  <c:v>8.27910682536589</c:v>
                </c:pt>
                <c:pt idx="17">
                  <c:v>8.42855866232722</c:v>
                </c:pt>
                <c:pt idx="18">
                  <c:v>8.6886552468032</c:v>
                </c:pt>
                <c:pt idx="19">
                  <c:v>8.94875183127919</c:v>
                </c:pt>
                <c:pt idx="20">
                  <c:v>9.20884841575517</c:v>
                </c:pt>
                <c:pt idx="21">
                  <c:v>9.46894500023115</c:v>
                </c:pt>
                <c:pt idx="22">
                  <c:v>9.72904158470713</c:v>
                </c:pt>
                <c:pt idx="23">
                  <c:v>9.98913816918312</c:v>
                </c:pt>
                <c:pt idx="24">
                  <c:v>10.2492347536591</c:v>
                </c:pt>
                <c:pt idx="25">
                  <c:v>10.5093313381351</c:v>
                </c:pt>
                <c:pt idx="26">
                  <c:v>10.7694279226111</c:v>
                </c:pt>
                <c:pt idx="27">
                  <c:v>11.0295245070871</c:v>
                </c:pt>
                <c:pt idx="28">
                  <c:v>11.3286942504676</c:v>
                </c:pt>
                <c:pt idx="29">
                  <c:v>11.6278639938482</c:v>
                </c:pt>
                <c:pt idx="30">
                  <c:v>11.9270337372287</c:v>
                </c:pt>
                <c:pt idx="31">
                  <c:v>12.2262034806093</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cmpd="sng">
              <a:solidFill>
                <a:schemeClr val="accent2">
                  <a:lumMod val="60000"/>
                </a:schemeClr>
              </a:solidFill>
              <a:round/>
            </a:ln>
            <a:effectLst/>
          </c:spPr>
          <c:marker>
            <c:symbol val="none"/>
          </c:marker>
          <c:val>
            <c:numRef>
              <c:f>FTRA!$M$118:$AR$118</c:f>
              <c:numCache>
                <c:formatCode>0.00</c:formatCode>
                <c:ptCount val="32"/>
                <c:pt idx="0">
                  <c:v>2.22615663066399</c:v>
                </c:pt>
                <c:pt idx="1">
                  <c:v>2.24001169998212</c:v>
                </c:pt>
                <c:pt idx="2">
                  <c:v>2.25386676930024</c:v>
                </c:pt>
                <c:pt idx="3">
                  <c:v>2.17010346711899</c:v>
                </c:pt>
                <c:pt idx="4">
                  <c:v>2.25386676930024</c:v>
                </c:pt>
                <c:pt idx="5">
                  <c:v>2.17010346711899</c:v>
                </c:pt>
                <c:pt idx="6">
                  <c:v>2.27532662194243</c:v>
                </c:pt>
                <c:pt idx="7">
                  <c:v>2.33544432066522</c:v>
                </c:pt>
                <c:pt idx="8">
                  <c:v>2.39556201938802</c:v>
                </c:pt>
                <c:pt idx="9">
                  <c:v>2.45567971811081</c:v>
                </c:pt>
                <c:pt idx="10">
                  <c:v>2.5157974168336</c:v>
                </c:pt>
                <c:pt idx="11">
                  <c:v>2.57591511555639</c:v>
                </c:pt>
                <c:pt idx="12">
                  <c:v>2.63603281427919</c:v>
                </c:pt>
                <c:pt idx="13">
                  <c:v>2.69615051300198</c:v>
                </c:pt>
                <c:pt idx="14">
                  <c:v>2.63603281427919</c:v>
                </c:pt>
                <c:pt idx="15">
                  <c:v>2.69615051300198</c:v>
                </c:pt>
                <c:pt idx="16">
                  <c:v>2.75626821172477</c:v>
                </c:pt>
                <c:pt idx="17">
                  <c:v>2.81638591044757</c:v>
                </c:pt>
                <c:pt idx="18">
                  <c:v>2.90329666057948</c:v>
                </c:pt>
                <c:pt idx="19">
                  <c:v>2.99020741071139</c:v>
                </c:pt>
                <c:pt idx="20">
                  <c:v>3.07711816084331</c:v>
                </c:pt>
                <c:pt idx="21">
                  <c:v>3.16402891097522</c:v>
                </c:pt>
                <c:pt idx="22">
                  <c:v>3.25093966110713</c:v>
                </c:pt>
                <c:pt idx="23">
                  <c:v>3.33785041123905</c:v>
                </c:pt>
                <c:pt idx="24">
                  <c:v>3.42476116137096</c:v>
                </c:pt>
                <c:pt idx="25">
                  <c:v>3.51167191150287</c:v>
                </c:pt>
                <c:pt idx="26">
                  <c:v>3.59858266163479</c:v>
                </c:pt>
                <c:pt idx="27">
                  <c:v>3.6854934117667</c:v>
                </c:pt>
                <c:pt idx="28">
                  <c:v>3.78546037929286</c:v>
                </c:pt>
                <c:pt idx="29">
                  <c:v>3.88542734681902</c:v>
                </c:pt>
                <c:pt idx="30">
                  <c:v>3.98539431434518</c:v>
                </c:pt>
                <c:pt idx="31">
                  <c:v>4.08536128187134</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cmpd="sng">
              <a:solidFill>
                <a:schemeClr val="accent3">
                  <a:lumMod val="60000"/>
                </a:schemeClr>
              </a:solidFill>
              <a:round/>
            </a:ln>
            <a:effectLst/>
          </c:spPr>
          <c:marker>
            <c:symbol val="none"/>
          </c:marker>
          <c:val>
            <c:numRef>
              <c:f>FTRA!$M$119:$AR$119</c:f>
              <c:numCache>
                <c:formatCode>0.00</c:formatCode>
                <c:ptCount val="32"/>
                <c:pt idx="0">
                  <c:v>0.122213678849837</c:v>
                </c:pt>
                <c:pt idx="1">
                  <c:v>0.122974307715193</c:v>
                </c:pt>
                <c:pt idx="2">
                  <c:v>0.12373493658055</c:v>
                </c:pt>
                <c:pt idx="3">
                  <c:v>0.119136418591666</c:v>
                </c:pt>
                <c:pt idx="4">
                  <c:v>0.12373493658055</c:v>
                </c:pt>
                <c:pt idx="5">
                  <c:v>0.119136418591666</c:v>
                </c:pt>
                <c:pt idx="6">
                  <c:v>0.124913060124442</c:v>
                </c:pt>
                <c:pt idx="7">
                  <c:v>0.128213459127682</c:v>
                </c:pt>
                <c:pt idx="8">
                  <c:v>0.131513858130921</c:v>
                </c:pt>
                <c:pt idx="9">
                  <c:v>0.134814257134161</c:v>
                </c:pt>
                <c:pt idx="10">
                  <c:v>0.138114656137401</c:v>
                </c:pt>
                <c:pt idx="11">
                  <c:v>0.14141505514064</c:v>
                </c:pt>
                <c:pt idx="12">
                  <c:v>0.14471545414388</c:v>
                </c:pt>
                <c:pt idx="13">
                  <c:v>0.148015853147119</c:v>
                </c:pt>
                <c:pt idx="14">
                  <c:v>0.14471545414388</c:v>
                </c:pt>
                <c:pt idx="15">
                  <c:v>0.148015853147119</c:v>
                </c:pt>
                <c:pt idx="16">
                  <c:v>0.151316252150359</c:v>
                </c:pt>
                <c:pt idx="17">
                  <c:v>0.154616651153599</c:v>
                </c:pt>
                <c:pt idx="18">
                  <c:v>0.1593879607546</c:v>
                </c:pt>
                <c:pt idx="19">
                  <c:v>0.164159270355601</c:v>
                </c:pt>
                <c:pt idx="20">
                  <c:v>0.168930579956603</c:v>
                </c:pt>
                <c:pt idx="21">
                  <c:v>0.173701889557604</c:v>
                </c:pt>
                <c:pt idx="22">
                  <c:v>0.178473199158606</c:v>
                </c:pt>
                <c:pt idx="23">
                  <c:v>0.183244508759607</c:v>
                </c:pt>
                <c:pt idx="24">
                  <c:v>0.188015818360608</c:v>
                </c:pt>
                <c:pt idx="25">
                  <c:v>0.19278712796161</c:v>
                </c:pt>
                <c:pt idx="26">
                  <c:v>0.197558437562611</c:v>
                </c:pt>
                <c:pt idx="27">
                  <c:v>0.202329747163613</c:v>
                </c:pt>
                <c:pt idx="28">
                  <c:v>0.20781782949194</c:v>
                </c:pt>
                <c:pt idx="29">
                  <c:v>0.213305911820266</c:v>
                </c:pt>
                <c:pt idx="30">
                  <c:v>0.218793994148593</c:v>
                </c:pt>
                <c:pt idx="31">
                  <c:v>0.224282076476919</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cmpd="sng">
              <a:solidFill>
                <a:schemeClr val="accent4">
                  <a:lumMod val="60000"/>
                </a:schemeClr>
              </a:solidFill>
              <a:round/>
            </a:ln>
            <a:effectLst/>
          </c:spPr>
          <c:marker>
            <c:symbol val="none"/>
          </c:marker>
          <c:val>
            <c:numRef>
              <c:f>FTRA!$M$120:$AR$120</c:f>
              <c:numCache>
                <c:formatCode>0.00</c:formatCode>
                <c:ptCount val="32"/>
                <c:pt idx="0">
                  <c:v>0.0294120681482402</c:v>
                </c:pt>
                <c:pt idx="1">
                  <c:v>0.0295951218639447</c:v>
                </c:pt>
                <c:pt idx="2">
                  <c:v>0.0297781755796492</c:v>
                </c:pt>
                <c:pt idx="3">
                  <c:v>0.0286714915673289</c:v>
                </c:pt>
                <c:pt idx="4">
                  <c:v>0.0297781755796492</c:v>
                </c:pt>
                <c:pt idx="5">
                  <c:v>0.0286714915673289</c:v>
                </c:pt>
                <c:pt idx="6">
                  <c:v>0.0300617039889575</c:v>
                </c:pt>
                <c:pt idx="7">
                  <c:v>0.0308559813670155</c:v>
                </c:pt>
                <c:pt idx="8">
                  <c:v>0.0316502587450735</c:v>
                </c:pt>
                <c:pt idx="9">
                  <c:v>0.0324445361231314</c:v>
                </c:pt>
                <c:pt idx="10">
                  <c:v>0.0332388135011894</c:v>
                </c:pt>
                <c:pt idx="11">
                  <c:v>0.0340330908792474</c:v>
                </c:pt>
                <c:pt idx="12">
                  <c:v>0.0348273682573054</c:v>
                </c:pt>
                <c:pt idx="13">
                  <c:v>0.0356216456353633</c:v>
                </c:pt>
                <c:pt idx="14">
                  <c:v>0.0348273682573054</c:v>
                </c:pt>
                <c:pt idx="15">
                  <c:v>0.0356216456353633</c:v>
                </c:pt>
                <c:pt idx="16">
                  <c:v>0.0364159230134213</c:v>
                </c:pt>
                <c:pt idx="17">
                  <c:v>0.0372102003914792</c:v>
                </c:pt>
                <c:pt idx="18">
                  <c:v>0.0383584686087664</c:v>
                </c:pt>
                <c:pt idx="19">
                  <c:v>0.0395067368260535</c:v>
                </c:pt>
                <c:pt idx="20">
                  <c:v>0.0406550050433407</c:v>
                </c:pt>
                <c:pt idx="21">
                  <c:v>0.0418032732606279</c:v>
                </c:pt>
                <c:pt idx="22">
                  <c:v>0.042951541477915</c:v>
                </c:pt>
                <c:pt idx="23">
                  <c:v>0.0440998096952022</c:v>
                </c:pt>
                <c:pt idx="24">
                  <c:v>0.0452480779124893</c:v>
                </c:pt>
                <c:pt idx="25">
                  <c:v>0.0463963461297765</c:v>
                </c:pt>
                <c:pt idx="26">
                  <c:v>0.0475446143470636</c:v>
                </c:pt>
                <c:pt idx="27">
                  <c:v>0.0486928825643508</c:v>
                </c:pt>
                <c:pt idx="28">
                  <c:v>0.0500136500345963</c:v>
                </c:pt>
                <c:pt idx="29">
                  <c:v>0.0513344175048418</c:v>
                </c:pt>
                <c:pt idx="30">
                  <c:v>0.0526551849750873</c:v>
                </c:pt>
                <c:pt idx="31">
                  <c:v>0.0539759524453328</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cmpd="sng">
              <a:solidFill>
                <a:schemeClr val="accent5">
                  <a:lumMod val="60000"/>
                </a:schemeClr>
              </a:solidFill>
              <a:round/>
            </a:ln>
            <a:effectLst/>
          </c:spPr>
          <c:marker>
            <c:symbol val="none"/>
          </c:marker>
          <c:val>
            <c:numRef>
              <c:f>FTRA!$M$121:$AR$121</c:f>
              <c:numCache>
                <c:formatCode>0.00</c:formatCode>
                <c:ptCount val="32"/>
                <c:pt idx="0">
                  <c:v>22</c:v>
                </c:pt>
                <c:pt idx="1">
                  <c:v>20.6090245634933</c:v>
                </c:pt>
                <c:pt idx="2">
                  <c:v>19.2180491269867</c:v>
                </c:pt>
                <c:pt idx="3">
                  <c:v>17.2066373817421</c:v>
                </c:pt>
                <c:pt idx="4">
                  <c:v>19.2180491269867</c:v>
                </c:pt>
                <c:pt idx="5">
                  <c:v>17.2066373817421</c:v>
                </c:pt>
                <c:pt idx="6">
                  <c:v>17.1342232384213</c:v>
                </c:pt>
                <c:pt idx="7">
                  <c:v>18.3229698496232</c:v>
                </c:pt>
                <c:pt idx="8">
                  <c:v>19.5117164608251</c:v>
                </c:pt>
                <c:pt idx="9">
                  <c:v>20.700463072027</c:v>
                </c:pt>
                <c:pt idx="10">
                  <c:v>21.8892096832289</c:v>
                </c:pt>
                <c:pt idx="11">
                  <c:v>23.0779562944307</c:v>
                </c:pt>
                <c:pt idx="12">
                  <c:v>24.2667029056326</c:v>
                </c:pt>
                <c:pt idx="13">
                  <c:v>25.4554495168345</c:v>
                </c:pt>
                <c:pt idx="14">
                  <c:v>24.2667029056326</c:v>
                </c:pt>
                <c:pt idx="15">
                  <c:v>25.4554495168345</c:v>
                </c:pt>
                <c:pt idx="16">
                  <c:v>26.6441961280364</c:v>
                </c:pt>
                <c:pt idx="17">
                  <c:v>27.8329427392383</c:v>
                </c:pt>
                <c:pt idx="18">
                  <c:v>28.691838504507</c:v>
                </c:pt>
                <c:pt idx="19">
                  <c:v>29.5507342697756</c:v>
                </c:pt>
                <c:pt idx="20">
                  <c:v>30.4096300350443</c:v>
                </c:pt>
                <c:pt idx="21">
                  <c:v>31.268525800313</c:v>
                </c:pt>
                <c:pt idx="22">
                  <c:v>32.1274215655817</c:v>
                </c:pt>
                <c:pt idx="23">
                  <c:v>32.9863173308504</c:v>
                </c:pt>
                <c:pt idx="24">
                  <c:v>33.845213096119</c:v>
                </c:pt>
                <c:pt idx="25">
                  <c:v>34.7041088613877</c:v>
                </c:pt>
                <c:pt idx="26">
                  <c:v>35.5630046266564</c:v>
                </c:pt>
                <c:pt idx="27">
                  <c:v>36.4219003919251</c:v>
                </c:pt>
                <c:pt idx="28">
                  <c:v>37.4098242672184</c:v>
                </c:pt>
                <c:pt idx="29">
                  <c:v>38.3977481425118</c:v>
                </c:pt>
                <c:pt idx="30">
                  <c:v>39.3856720178051</c:v>
                </c:pt>
                <c:pt idx="31">
                  <c:v>40.3735958930984</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cmpd="sng">
              <a:solidFill>
                <a:schemeClr val="accent6">
                  <a:lumMod val="60000"/>
                </a:schemeClr>
              </a:solidFill>
              <a:round/>
            </a:ln>
            <a:effectLst/>
          </c:spPr>
          <c:marker>
            <c:symbol val="none"/>
          </c:marker>
          <c:val>
            <c:numRef>
              <c:f>FTRA!$M$122:$AR$122</c:f>
              <c:numCache>
                <c:formatCode>0.00</c:formatCode>
                <c:ptCount val="32"/>
                <c:pt idx="0">
                  <c:v>27.1425055143167</c:v>
                </c:pt>
                <c:pt idx="1">
                  <c:v>26.9228783099276</c:v>
                </c:pt>
                <c:pt idx="2">
                  <c:v>26.7032511055385</c:v>
                </c:pt>
                <c:pt idx="3">
                  <c:v>25.7108444016277</c:v>
                </c:pt>
                <c:pt idx="4">
                  <c:v>26.7032511055385</c:v>
                </c:pt>
                <c:pt idx="5">
                  <c:v>25.7108444016277</c:v>
                </c:pt>
                <c:pt idx="6">
                  <c:v>26.9575020850541</c:v>
                </c:pt>
                <c:pt idx="7">
                  <c:v>27.6697615791591</c:v>
                </c:pt>
                <c:pt idx="8">
                  <c:v>28.382021073264</c:v>
                </c:pt>
                <c:pt idx="9">
                  <c:v>29.094280567369</c:v>
                </c:pt>
                <c:pt idx="10">
                  <c:v>29.806540061474</c:v>
                </c:pt>
                <c:pt idx="11">
                  <c:v>30.518799555579</c:v>
                </c:pt>
                <c:pt idx="12">
                  <c:v>31.231059049684</c:v>
                </c:pt>
                <c:pt idx="13">
                  <c:v>31.943318543789</c:v>
                </c:pt>
                <c:pt idx="14">
                  <c:v>31.231059049684</c:v>
                </c:pt>
                <c:pt idx="15">
                  <c:v>31.943318543789</c:v>
                </c:pt>
                <c:pt idx="16">
                  <c:v>32.655578037894</c:v>
                </c:pt>
                <c:pt idx="17">
                  <c:v>33.367837531999</c:v>
                </c:pt>
                <c:pt idx="18">
                  <c:v>34.3975344138886</c:v>
                </c:pt>
                <c:pt idx="19">
                  <c:v>35.4272312957783</c:v>
                </c:pt>
                <c:pt idx="20">
                  <c:v>36.456928177668</c:v>
                </c:pt>
                <c:pt idx="21">
                  <c:v>37.4866250595576</c:v>
                </c:pt>
                <c:pt idx="22">
                  <c:v>38.5163219414473</c:v>
                </c:pt>
                <c:pt idx="23">
                  <c:v>39.546018823337</c:v>
                </c:pt>
                <c:pt idx="24">
                  <c:v>40.5757157052266</c:v>
                </c:pt>
                <c:pt idx="25">
                  <c:v>41.6054125871163</c:v>
                </c:pt>
                <c:pt idx="26">
                  <c:v>42.635109469006</c:v>
                </c:pt>
                <c:pt idx="27">
                  <c:v>43.6648063508956</c:v>
                </c:pt>
                <c:pt idx="28">
                  <c:v>44.8491900387296</c:v>
                </c:pt>
                <c:pt idx="29">
                  <c:v>46.0335737265636</c:v>
                </c:pt>
                <c:pt idx="30">
                  <c:v>47.2179574143976</c:v>
                </c:pt>
                <c:pt idx="31">
                  <c:v>48.4023411022316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cmpd="sng">
              <a:solidFill>
                <a:schemeClr val="accent1">
                  <a:lumMod val="80000"/>
                  <a:lumOff val="20000"/>
                </a:schemeClr>
              </a:solidFill>
              <a:round/>
            </a:ln>
            <a:effectLst/>
          </c:spPr>
          <c:marker>
            <c:symbol val="none"/>
          </c:marker>
          <c:val>
            <c:numRef>
              <c:f>FTRA!$M$123:$AR$123</c:f>
              <c:numCache>
                <c:formatCode>0.00</c:formatCode>
                <c:ptCount val="32"/>
                <c:pt idx="0">
                  <c:v>88.6727271782457</c:v>
                </c:pt>
                <c:pt idx="1">
                  <c:v>88.0153049298907</c:v>
                </c:pt>
                <c:pt idx="2">
                  <c:v>87.3578826815358</c:v>
                </c:pt>
                <c:pt idx="3">
                  <c:v>84.5596074594622</c:v>
                </c:pt>
                <c:pt idx="4">
                  <c:v>87.3578826815358</c:v>
                </c:pt>
                <c:pt idx="5">
                  <c:v>84.5596074594622</c:v>
                </c:pt>
                <c:pt idx="6">
                  <c:v>89.9409429149519</c:v>
                </c:pt>
                <c:pt idx="7">
                  <c:v>90.1381147132366</c:v>
                </c:pt>
                <c:pt idx="8">
                  <c:v>90.3352865115213</c:v>
                </c:pt>
                <c:pt idx="9">
                  <c:v>90.532458309806</c:v>
                </c:pt>
                <c:pt idx="10">
                  <c:v>90.7296301080907</c:v>
                </c:pt>
                <c:pt idx="11">
                  <c:v>90.9268019063754</c:v>
                </c:pt>
                <c:pt idx="12">
                  <c:v>91.1239737046601</c:v>
                </c:pt>
                <c:pt idx="13">
                  <c:v>91.3211455029448</c:v>
                </c:pt>
                <c:pt idx="14">
                  <c:v>91.1239737046601</c:v>
                </c:pt>
                <c:pt idx="15">
                  <c:v>91.3211455029448</c:v>
                </c:pt>
                <c:pt idx="16">
                  <c:v>91.5183173012295</c:v>
                </c:pt>
                <c:pt idx="17">
                  <c:v>91.7154890995141</c:v>
                </c:pt>
                <c:pt idx="18">
                  <c:v>93.2085493445157</c:v>
                </c:pt>
                <c:pt idx="19">
                  <c:v>94.7016095895172</c:v>
                </c:pt>
                <c:pt idx="20">
                  <c:v>96.1946698345187</c:v>
                </c:pt>
                <c:pt idx="21">
                  <c:v>97.6877300795202</c:v>
                </c:pt>
                <c:pt idx="22">
                  <c:v>99.1807903245217</c:v>
                </c:pt>
                <c:pt idx="23">
                  <c:v>100.673850569523</c:v>
                </c:pt>
                <c:pt idx="24">
                  <c:v>102.166910814525</c:v>
                </c:pt>
                <c:pt idx="25">
                  <c:v>103.659971059526</c:v>
                </c:pt>
                <c:pt idx="26">
                  <c:v>105.153031304528</c:v>
                </c:pt>
                <c:pt idx="27">
                  <c:v>106.646091549529</c:v>
                </c:pt>
                <c:pt idx="28">
                  <c:v>109.085860823839</c:v>
                </c:pt>
                <c:pt idx="29">
                  <c:v>111.525630098148</c:v>
                </c:pt>
                <c:pt idx="30">
                  <c:v>113.965399372457</c:v>
                </c:pt>
                <c:pt idx="31">
                  <c:v>116.405168646767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showLeaderLines val="0"/>
        </c:dLbls>
        <c:marker val="1"/>
        <c:axId val="20491541"/>
        <c:axId val="19989547"/>
      </c:lineChart>
      <c:catAx>
        <c:axId val="20491541"/>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9989547"/>
        <c:crosses val="autoZero"/>
        <c:auto val="1"/>
        <c:lblOffset val="100"/>
        <c:noMultiLvlLbl val="0"/>
      </c:catAx>
      <c:valAx>
        <c:axId val="19989547"/>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0491541"/>
        <c:crosses val="autoZero"/>
        <c:crossBetween val="between"/>
      </c:valAx>
      <c:spPr>
        <a:noFill/>
        <a:ln w="12700" cap="flat" cmpd="sng">
          <a:solidFill>
            <a:schemeClr val="accent1"/>
          </a:solid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solidFill>
        <a:schemeClr val="tx1">
          <a:lumMod val="15000"/>
          <a:lumOff val="85000"/>
        </a:schemeClr>
      </a:solidFill>
      <a:round/>
    </a:ln>
    <a:effectLst/>
  </c:spPr>
</c:chartSpace>
</file>

<file path=xl/charts/chart12.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c:v>
                </c:pt>
                <c:pt idx="1">
                  <c:v>25.9467100855369</c:v>
                </c:pt>
                <c:pt idx="2">
                  <c:v>26.9982656269758</c:v>
                </c:pt>
                <c:pt idx="3">
                  <c:v>29.5625986537336</c:v>
                </c:pt>
                <c:pt idx="4">
                  <c:v>24.93550882756</c:v>
                </c:pt>
                <c:pt idx="5">
                  <c:v>18.7497639513787</c:v>
                </c:pt>
                <c:pt idx="6">
                  <c:v>14.3912612530183</c:v>
                </c:pt>
                <c:pt idx="7">
                  <c:v>10.9427265258655</c:v>
                </c:pt>
                <c:pt idx="8">
                  <c:v>7.54553155405429</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c:v>
                </c:pt>
                <c:pt idx="1">
                  <c:v>18.3763758488155</c:v>
                </c:pt>
                <c:pt idx="2">
                  <c:v>19.3112594415174</c:v>
                </c:pt>
                <c:pt idx="3">
                  <c:v>17.2984190356642</c:v>
                </c:pt>
                <c:pt idx="4">
                  <c:v>21.1101696420873</c:v>
                </c:pt>
                <c:pt idx="5">
                  <c:v>24.6293690544261</c:v>
                </c:pt>
                <c:pt idx="6">
                  <c:v>27.3059117570154</c:v>
                </c:pt>
                <c:pt idx="7">
                  <c:v>29.546154082994</c:v>
                </c:pt>
                <c:pt idx="8">
                  <c:v>32.1565074330289</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c:v>
                </c:pt>
                <c:pt idx="1">
                  <c:v>14.041748987467</c:v>
                </c:pt>
                <c:pt idx="2">
                  <c:v>11.8587015246283</c:v>
                </c:pt>
                <c:pt idx="3">
                  <c:v>12.5312373106022</c:v>
                </c:pt>
                <c:pt idx="4">
                  <c:v>18.6135995303527</c:v>
                </c:pt>
                <c:pt idx="5">
                  <c:v>26.3348039941952</c:v>
                </c:pt>
                <c:pt idx="6">
                  <c:v>31.8325799899663</c:v>
                </c:pt>
                <c:pt idx="7">
                  <c:v>35.1743173911405</c:v>
                </c:pt>
                <c:pt idx="8">
                  <c:v>36.8001160129168</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showLeaderLines val="0"/>
        </c:dLbls>
        <c:axId val="6631570"/>
        <c:axId val="44041518"/>
      </c:areaChart>
      <c:dateAx>
        <c:axId val="6631570"/>
        <c:scaling>
          <c:orientation val="minMax"/>
        </c:scaling>
        <c:delete val="0"/>
        <c:axPos val="b"/>
        <c:numFmt formatCode="General"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44041518"/>
        <c:crosses val="autoZero"/>
        <c:auto val="0"/>
        <c:lblOffset val="100"/>
        <c:baseTimeUnit val="days"/>
        <c:noMultiLvlLbl val="0"/>
      </c:dateAx>
      <c:valAx>
        <c:axId val="44041518"/>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Population (million)</a:t>
                </a:r>
              </a:p>
            </c:rich>
          </c:tx>
          <c:layout/>
          <c:overlay val="0"/>
          <c:spPr>
            <a:noFill/>
            <a:effectLst/>
          </c:spPr>
        </c:title>
        <c:majorGridlines/>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6631570"/>
        <c:crosses val="autoZero"/>
        <c:crossBetween val="midCat"/>
      </c:valAx>
    </c:plotArea>
    <c:legend>
      <c:legendPos val="b"/>
      <c:layout>
        <c:manualLayout>
          <c:xMode val="edge"/>
          <c:yMode val="edge"/>
          <c:x val="0.2335"/>
          <c:y val="0.91725"/>
          <c:w val="0.5305"/>
          <c:h val="0.051"/>
        </c:manualLayout>
      </c:layout>
      <c:overlay val="0"/>
      <c:txPr>
        <a:bodyPr wrap="square"/>
        <a:lstStyle/>
        <a:p>
          <a:pPr algn="ctr">
            <a:defRPr lang="en-US" sz="595" b="0" i="0" u="none" baseline="0">
              <a:solidFill>
                <a:srgbClr val="000000"/>
              </a:solidFill>
              <a:latin typeface="Calibri"/>
              <a:ea typeface="Calibri"/>
              <a:cs typeface="Calibri"/>
            </a:defRPr>
          </a:pPr>
          <a:endParaRPr lang="en-US"/>
        </a:p>
      </c:txPr>
    </c:legend>
    <c:plotVisOnly val="1"/>
    <c:dispBlanksAs val="zero"/>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3.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0.128776809455714</c:v>
                </c:pt>
                <c:pt idx="1">
                  <c:v>0.129733550427684</c:v>
                </c:pt>
                <c:pt idx="2">
                  <c:v>0.134991328134879</c:v>
                </c:pt>
                <c:pt idx="3">
                  <c:v>0.147812993268668</c:v>
                </c:pt>
                <c:pt idx="4">
                  <c:v>0.1246775441378</c:v>
                </c:pt>
                <c:pt idx="5">
                  <c:v>0.0937488197568933</c:v>
                </c:pt>
                <c:pt idx="6">
                  <c:v>0.0719563062650916</c:v>
                </c:pt>
                <c:pt idx="7">
                  <c:v>0.0547136326293273</c:v>
                </c:pt>
                <c:pt idx="8">
                  <c:v>0.0377276577702714</c:v>
                </c:pt>
                <c:pt idx="10">
                  <c:v>0.128776809455714</c:v>
                </c:pt>
                <c:pt idx="11">
                  <c:v>0.129733550427684</c:v>
                </c:pt>
                <c:pt idx="12">
                  <c:v>0.134991328134879</c:v>
                </c:pt>
                <c:pt idx="13">
                  <c:v>0.147812993268668</c:v>
                </c:pt>
                <c:pt idx="14">
                  <c:v>0.11844366693091</c:v>
                </c:pt>
                <c:pt idx="15">
                  <c:v>0.0890613787690486</c:v>
                </c:pt>
                <c:pt idx="16">
                  <c:v>0.0649405664042452</c:v>
                </c:pt>
                <c:pt idx="17">
                  <c:v>0.0493790534479679</c:v>
                </c:pt>
                <c:pt idx="18">
                  <c:v>0.0323467505807865</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2.77021642458556</c:v>
                </c:pt>
                <c:pt idx="1">
                  <c:v>2.92184375996167</c:v>
                </c:pt>
                <c:pt idx="2">
                  <c:v>3.07049025120127</c:v>
                </c:pt>
                <c:pt idx="3">
                  <c:v>2.75044862667061</c:v>
                </c:pt>
                <c:pt idx="4">
                  <c:v>3.35651697309189</c:v>
                </c:pt>
                <c:pt idx="5">
                  <c:v>3.91606967965375</c:v>
                </c:pt>
                <c:pt idx="6">
                  <c:v>4.34163996936545</c:v>
                </c:pt>
                <c:pt idx="7">
                  <c:v>4.69783849919605</c:v>
                </c:pt>
                <c:pt idx="8">
                  <c:v>5.1128846818516</c:v>
                </c:pt>
                <c:pt idx="10">
                  <c:v>2.77021642458556</c:v>
                </c:pt>
                <c:pt idx="11">
                  <c:v>2.92184375996167</c:v>
                </c:pt>
                <c:pt idx="12">
                  <c:v>3.07049025120127</c:v>
                </c:pt>
                <c:pt idx="13">
                  <c:v>2.75044862667061</c:v>
                </c:pt>
                <c:pt idx="14">
                  <c:v>3.02925656821543</c:v>
                </c:pt>
                <c:pt idx="15">
                  <c:v>3.35754024159314</c:v>
                </c:pt>
                <c:pt idx="16">
                  <c:v>3.7224135687347</c:v>
                </c:pt>
                <c:pt idx="17">
                  <c:v>4.02780928324821</c:v>
                </c:pt>
                <c:pt idx="18">
                  <c:v>4.16447652889739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c:v>
                </c:pt>
                <c:pt idx="1">
                  <c:v>4.31845896860232</c:v>
                </c:pt>
                <c:pt idx="2">
                  <c:v>3.6132870620523</c:v>
                </c:pt>
                <c:pt idx="3">
                  <c:v>4.00010397011401</c:v>
                </c:pt>
                <c:pt idx="4">
                  <c:v>6.26857905428898</c:v>
                </c:pt>
                <c:pt idx="5">
                  <c:v>10.0407206417314</c:v>
                </c:pt>
                <c:pt idx="6">
                  <c:v>14.7766908999782</c:v>
                </c:pt>
                <c:pt idx="7">
                  <c:v>16.327926164654</c:v>
                </c:pt>
                <c:pt idx="8">
                  <c:v>16.8168712552982</c:v>
                </c:pt>
                <c:pt idx="10">
                  <c:v>4.1038214947082</c:v>
                </c:pt>
                <c:pt idx="11">
                  <c:v>4.31845896860232</c:v>
                </c:pt>
                <c:pt idx="12">
                  <c:v>3.6132870620523</c:v>
                </c:pt>
                <c:pt idx="13">
                  <c:v>4.00010397011401</c:v>
                </c:pt>
                <c:pt idx="14">
                  <c:v>5.95906796348346</c:v>
                </c:pt>
                <c:pt idx="15">
                  <c:v>9.30633605854479</c:v>
                </c:pt>
                <c:pt idx="16">
                  <c:v>13.695914492122</c:v>
                </c:pt>
                <c:pt idx="17">
                  <c:v>15.1336914400173</c:v>
                </c:pt>
                <c:pt idx="18">
                  <c:v>15.1972029116126</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a:effectLst/>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0.828015701010218</c:v>
                </c:pt>
                <c:pt idx="2">
                  <c:v>0.801421748447192</c:v>
                </c:pt>
                <c:pt idx="3">
                  <c:v>0.822091438229983</c:v>
                </c:pt>
                <c:pt idx="4">
                  <c:v>0.906300973275456</c:v>
                </c:pt>
                <c:pt idx="5">
                  <c:v>1.08206421465029</c:v>
                </c:pt>
                <c:pt idx="6">
                  <c:v>1.299375632209</c:v>
                </c:pt>
                <c:pt idx="7">
                  <c:v>1.299375632209</c:v>
                </c:pt>
                <c:pt idx="8">
                  <c:v>1.26900949657178</c:v>
                </c:pt>
                <c:pt idx="9">
                  <c:v>0</c:v>
                </c:pt>
                <c:pt idx="10">
                  <c:v>0.82</c:v>
                </c:pt>
                <c:pt idx="11">
                  <c:v>0.828015701010218</c:v>
                </c:pt>
                <c:pt idx="12">
                  <c:v>0.801421748447192</c:v>
                </c:pt>
                <c:pt idx="13">
                  <c:v>0.822091438229983</c:v>
                </c:pt>
                <c:pt idx="14">
                  <c:v>0.908418237712476</c:v>
                </c:pt>
                <c:pt idx="15">
                  <c:v>1.04935731971064</c:v>
                </c:pt>
                <c:pt idx="16">
                  <c:v>1.14481400434219</c:v>
                </c:pt>
                <c:pt idx="17">
                  <c:v>1.14481400434219</c:v>
                </c:pt>
                <c:pt idx="18">
                  <c:v>1.15813408026533</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showLeaderLines val="0"/>
        </c:dLbls>
        <c:overlap val="100"/>
        <c:axId val="3191167"/>
        <c:axId val="50964317"/>
      </c:barChart>
      <c:catAx>
        <c:axId val="3191167"/>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50964317"/>
        <c:crosses val="autoZero"/>
        <c:auto val="1"/>
        <c:lblOffset val="100"/>
        <c:noMultiLvlLbl val="0"/>
      </c:catAx>
      <c:valAx>
        <c:axId val="50964317"/>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Million Priv. Vehicles</a:t>
                </a:r>
              </a:p>
            </c:rich>
          </c:tx>
          <c:layout/>
          <c:overlay val="0"/>
          <c:spPr>
            <a:noFill/>
            <a:effectLst/>
          </c:spPr>
        </c:title>
        <c:majorGridlines/>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3191167"/>
        <c:crosses val="autoZero"/>
        <c:crossBetween val="between"/>
      </c:valAx>
    </c:plotArea>
    <c:legend>
      <c:legendPos val="b"/>
      <c:layout>
        <c:manualLayout>
          <c:xMode val="edge"/>
          <c:yMode val="edge"/>
          <c:x val="0.10025"/>
          <c:y val="0.9225"/>
          <c:w val="0.797"/>
          <c:h val="0.053"/>
        </c:manualLayout>
      </c:layout>
      <c:overlay val="0"/>
      <c:txPr>
        <a:bodyPr wrap="square"/>
        <a:lstStyle/>
        <a:p>
          <a:pPr algn="ctr">
            <a:defRPr lang="en-US" sz="925" b="0" i="0" u="none" baseline="0">
              <a:solidFill>
                <a:srgbClr val="000000"/>
              </a:solidFill>
              <a:latin typeface="Calibri"/>
              <a:ea typeface="Calibri"/>
              <a:cs typeface="Calibri"/>
            </a:defRPr>
          </a:pPr>
          <a:endParaRPr lang="en-US"/>
        </a:p>
      </c:txPr>
    </c:legend>
    <c:plotVisOnly val="1"/>
    <c:dispBlanksAs val="zero"/>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4.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PTRA!$O$161:$AG$161</c:f>
              <c:numCache>
                <c:formatCode>0.0</c:formatCode>
                <c:ptCount val="19"/>
                <c:pt idx="0">
                  <c:v>113.033110910836</c:v>
                </c:pt>
                <c:pt idx="1">
                  <c:v>118.463079003979</c:v>
                </c:pt>
                <c:pt idx="2">
                  <c:v>109.631689311163</c:v>
                </c:pt>
                <c:pt idx="3">
                  <c:v>111.400415716496</c:v>
                </c:pt>
                <c:pt idx="4">
                  <c:v>154.729306219288</c:v>
                </c:pt>
                <c:pt idx="5">
                  <c:v>221.18410158424</c:v>
                </c:pt>
                <c:pt idx="6">
                  <c:v>300.879851094055</c:v>
                </c:pt>
                <c:pt idx="7">
                  <c:v>328.821407409346</c:v>
                </c:pt>
                <c:pt idx="8">
                  <c:v>341.259968257152</c:v>
                </c:pt>
                <c:pt idx="9">
                  <c:v>0</c:v>
                </c:pt>
                <c:pt idx="10">
                  <c:v>113.033110910836</c:v>
                </c:pt>
                <c:pt idx="11">
                  <c:v>118.463079003979</c:v>
                </c:pt>
                <c:pt idx="12">
                  <c:v>109.631689311163</c:v>
                </c:pt>
                <c:pt idx="13">
                  <c:v>111.400415716496</c:v>
                </c:pt>
                <c:pt idx="14">
                  <c:v>140.853512303794</c:v>
                </c:pt>
                <c:pt idx="15">
                  <c:v>189.723012527702</c:v>
                </c:pt>
                <c:pt idx="16">
                  <c:v>257.76690591717</c:v>
                </c:pt>
                <c:pt idx="17">
                  <c:v>281.86708481205</c:v>
                </c:pt>
                <c:pt idx="18">
                  <c:v>276.119514721673</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PTRA!$O$162:$AG$162</c:f>
              <c:numCache>
                <c:formatCode>0.0</c:formatCode>
                <c:ptCount val="19"/>
                <c:pt idx="0">
                  <c:v>24.0195360685526</c:v>
                </c:pt>
                <c:pt idx="1">
                  <c:v>25.1734042883455</c:v>
                </c:pt>
                <c:pt idx="2">
                  <c:v>23.2967339786222</c:v>
                </c:pt>
                <c:pt idx="3">
                  <c:v>23.6725883397553</c:v>
                </c:pt>
                <c:pt idx="4">
                  <c:v>32.8799775715987</c:v>
                </c:pt>
                <c:pt idx="5">
                  <c:v>47.001621586651</c:v>
                </c:pt>
                <c:pt idx="6">
                  <c:v>63.9369683574866</c:v>
                </c:pt>
                <c:pt idx="7">
                  <c:v>69.8745490744859</c:v>
                </c:pt>
                <c:pt idx="8">
                  <c:v>72.5177432546449</c:v>
                </c:pt>
                <c:pt idx="10">
                  <c:v>24.0195360685526</c:v>
                </c:pt>
                <c:pt idx="11">
                  <c:v>25.1734042883455</c:v>
                </c:pt>
                <c:pt idx="12">
                  <c:v>23.2967339786222</c:v>
                </c:pt>
                <c:pt idx="13">
                  <c:v>23.6725883397553</c:v>
                </c:pt>
                <c:pt idx="14">
                  <c:v>29.9313713645563</c:v>
                </c:pt>
                <c:pt idx="15">
                  <c:v>40.3161401621366</c:v>
                </c:pt>
                <c:pt idx="16">
                  <c:v>54.7754675073987</c:v>
                </c:pt>
                <c:pt idx="17">
                  <c:v>59.8967555225606</c:v>
                </c:pt>
                <c:pt idx="18">
                  <c:v>58.6753968783555</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PTRA!$O$163:$AG$163</c:f>
              <c:numCache>
                <c:formatCode>0.0</c:formatCode>
                <c:ptCount val="19"/>
                <c:pt idx="0">
                  <c:v>4.23874165915634</c:v>
                </c:pt>
                <c:pt idx="1">
                  <c:v>4.4423654626492</c:v>
                </c:pt>
                <c:pt idx="2">
                  <c:v>4.11118834916862</c:v>
                </c:pt>
                <c:pt idx="3">
                  <c:v>4.17751558936859</c:v>
                </c:pt>
                <c:pt idx="4">
                  <c:v>5.8023489832233</c:v>
                </c:pt>
                <c:pt idx="5">
                  <c:v>8.29440380940901</c:v>
                </c:pt>
                <c:pt idx="6">
                  <c:v>11.282994416027</c:v>
                </c:pt>
                <c:pt idx="7">
                  <c:v>12.3308027778505</c:v>
                </c:pt>
                <c:pt idx="8">
                  <c:v>12.7972488096432</c:v>
                </c:pt>
                <c:pt idx="10">
                  <c:v>4.23874165915634</c:v>
                </c:pt>
                <c:pt idx="11">
                  <c:v>4.4423654626492</c:v>
                </c:pt>
                <c:pt idx="12">
                  <c:v>4.11118834916862</c:v>
                </c:pt>
                <c:pt idx="13">
                  <c:v>4.17751558936859</c:v>
                </c:pt>
                <c:pt idx="14">
                  <c:v>5.28200671139229</c:v>
                </c:pt>
                <c:pt idx="15">
                  <c:v>7.11461296978881</c:v>
                </c:pt>
                <c:pt idx="16">
                  <c:v>9.66625897189389</c:v>
                </c:pt>
                <c:pt idx="17">
                  <c:v>10.5700156804519</c:v>
                </c:pt>
                <c:pt idx="18">
                  <c:v>10.3544818020627</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PTRA!$O$164:$AG$164</c:f>
              <c:numCache>
                <c:formatCode>0.0</c:formatCode>
                <c:ptCount val="19"/>
                <c:pt idx="0">
                  <c:v>16.0196231473679</c:v>
                </c:pt>
                <c:pt idx="1">
                  <c:v>16.3903654458963</c:v>
                </c:pt>
                <c:pt idx="2">
                  <c:v>16.6656640275389</c:v>
                </c:pt>
                <c:pt idx="3">
                  <c:v>17.041498212787</c:v>
                </c:pt>
                <c:pt idx="4">
                  <c:v>17.192522273328</c:v>
                </c:pt>
                <c:pt idx="5">
                  <c:v>16.3836220966754</c:v>
                </c:pt>
                <c:pt idx="6">
                  <c:v>14.6278567076126</c:v>
                </c:pt>
                <c:pt idx="7">
                  <c:v>14.2446114399238</c:v>
                </c:pt>
                <c:pt idx="8">
                  <c:v>14.0146417851203</c:v>
                </c:pt>
                <c:pt idx="9">
                  <c:v>0</c:v>
                </c:pt>
                <c:pt idx="10">
                  <c:v>16.0196231473679</c:v>
                </c:pt>
                <c:pt idx="11">
                  <c:v>16.3903654458963</c:v>
                </c:pt>
                <c:pt idx="12">
                  <c:v>16.6656640275389</c:v>
                </c:pt>
                <c:pt idx="13">
                  <c:v>17.041498212787</c:v>
                </c:pt>
                <c:pt idx="14">
                  <c:v>17.6914073019383</c:v>
                </c:pt>
                <c:pt idx="15">
                  <c:v>17.4958374065384</c:v>
                </c:pt>
                <c:pt idx="16">
                  <c:v>16.0227104141094</c:v>
                </c:pt>
                <c:pt idx="17">
                  <c:v>15.7146835399115</c:v>
                </c:pt>
                <c:pt idx="18">
                  <c:v>16.1798339596243</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PTRA!$O$165:$AG$165</c:f>
              <c:numCache>
                <c:formatCode>0.0</c:formatCode>
                <c:ptCount val="19"/>
                <c:pt idx="0">
                  <c:v>100.655378617656</c:v>
                </c:pt>
                <c:pt idx="1">
                  <c:v>102.984847050506</c:v>
                </c:pt>
                <c:pt idx="2">
                  <c:v>104.714618263801</c:v>
                </c:pt>
                <c:pt idx="3">
                  <c:v>107.076080319781</c:v>
                </c:pt>
                <c:pt idx="4">
                  <c:v>108.025003016294</c:v>
                </c:pt>
                <c:pt idx="5">
                  <c:v>102.942476867217</c:v>
                </c:pt>
                <c:pt idx="6">
                  <c:v>91.9105550564394</c:v>
                </c:pt>
                <c:pt idx="7">
                  <c:v>89.5025272790203</c:v>
                </c:pt>
                <c:pt idx="8">
                  <c:v>88.0575692758343</c:v>
                </c:pt>
                <c:pt idx="9">
                  <c:v>0</c:v>
                </c:pt>
                <c:pt idx="10">
                  <c:v>100.655378617656</c:v>
                </c:pt>
                <c:pt idx="11">
                  <c:v>102.984847050506</c:v>
                </c:pt>
                <c:pt idx="12">
                  <c:v>104.714618263801</c:v>
                </c:pt>
                <c:pt idx="13">
                  <c:v>107.076080319781</c:v>
                </c:pt>
                <c:pt idx="14">
                  <c:v>107.58812014919</c:v>
                </c:pt>
                <c:pt idx="15">
                  <c:v>103.660783131697</c:v>
                </c:pt>
                <c:pt idx="16">
                  <c:v>94.9326786037843</c:v>
                </c:pt>
                <c:pt idx="17">
                  <c:v>93.1076555275509</c:v>
                </c:pt>
                <c:pt idx="18">
                  <c:v>95.8636171692296</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PTRA!$O$166:$AG$166</c:f>
              <c:numCache>
                <c:formatCode>0.0</c:formatCode>
                <c:ptCount val="19"/>
                <c:pt idx="0">
                  <c:v>1.81999957253061</c:v>
                </c:pt>
                <c:pt idx="1">
                  <c:v>2.78273869665575</c:v>
                </c:pt>
                <c:pt idx="2">
                  <c:v>2.77281927494075</c:v>
                </c:pt>
                <c:pt idx="3">
                  <c:v>2.83021143424099</c:v>
                </c:pt>
                <c:pt idx="4">
                  <c:v>3.08467172064612</c:v>
                </c:pt>
                <c:pt idx="5">
                  <c:v>3.32970808902288</c:v>
                </c:pt>
                <c:pt idx="6">
                  <c:v>3.51453962845641</c:v>
                </c:pt>
                <c:pt idx="7">
                  <c:v>3.61836452270018</c:v>
                </c:pt>
                <c:pt idx="8">
                  <c:v>3.66017018126337</c:v>
                </c:pt>
                <c:pt idx="10">
                  <c:v>1.81999957253061</c:v>
                </c:pt>
                <c:pt idx="11">
                  <c:v>2.78273869665575</c:v>
                </c:pt>
                <c:pt idx="12">
                  <c:v>2.77281927494075</c:v>
                </c:pt>
                <c:pt idx="13">
                  <c:v>2.83021143424099</c:v>
                </c:pt>
                <c:pt idx="14">
                  <c:v>2.71164165210287</c:v>
                </c:pt>
                <c:pt idx="15">
                  <c:v>2.92704571546663</c:v>
                </c:pt>
                <c:pt idx="16">
                  <c:v>3.08952553385238</c:v>
                </c:pt>
                <c:pt idx="17">
                  <c:v>3.18079485948993</c:v>
                </c:pt>
                <c:pt idx="18">
                  <c:v>3.21754495004082</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PTRA!$O$167:$AG$167</c:f>
              <c:numCache>
                <c:formatCode>0.0</c:formatCode>
                <c:ptCount val="19"/>
                <c:pt idx="0">
                  <c:v>8.67416214239325</c:v>
                </c:pt>
                <c:pt idx="1">
                  <c:v>8.87490836350563</c:v>
                </c:pt>
                <c:pt idx="2">
                  <c:v>9.02397457516192</c:v>
                </c:pt>
                <c:pt idx="3">
                  <c:v>9.22747790551535</c:v>
                </c:pt>
                <c:pt idx="4">
                  <c:v>9.3092530619272</c:v>
                </c:pt>
                <c:pt idx="5">
                  <c:v>8.87125703513255</c:v>
                </c:pt>
                <c:pt idx="6">
                  <c:v>7.92056090897335</c:v>
                </c:pt>
                <c:pt idx="7">
                  <c:v>7.7130446920401</c:v>
                </c:pt>
                <c:pt idx="8">
                  <c:v>7.58852278192743</c:v>
                </c:pt>
                <c:pt idx="9">
                  <c:v>0</c:v>
                </c:pt>
                <c:pt idx="10">
                  <c:v>8.67416214239325</c:v>
                </c:pt>
                <c:pt idx="11">
                  <c:v>8.87490836350563</c:v>
                </c:pt>
                <c:pt idx="12">
                  <c:v>9.02397457516192</c:v>
                </c:pt>
                <c:pt idx="13">
                  <c:v>9.22747790551535</c:v>
                </c:pt>
                <c:pt idx="14">
                  <c:v>13.1508896219416</c:v>
                </c:pt>
                <c:pt idx="15">
                  <c:v>15.7435156631605</c:v>
                </c:pt>
                <c:pt idx="16">
                  <c:v>14.41793190628</c:v>
                </c:pt>
                <c:pt idx="17">
                  <c:v>14.1407559240205</c:v>
                </c:pt>
                <c:pt idx="18">
                  <c:v>14.5593185082691</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PTRA!$O$168:$AG$168</c:f>
              <c:numCache>
                <c:formatCode>0.0</c:formatCode>
                <c:ptCount val="19"/>
                <c:pt idx="0">
                  <c:v>0.648541368392126</c:v>
                </c:pt>
                <c:pt idx="1">
                  <c:v>0.699570908487696</c:v>
                </c:pt>
                <c:pt idx="2">
                  <c:v>0.642482529771293</c:v>
                </c:pt>
                <c:pt idx="3">
                  <c:v>0.63988638610906</c:v>
                </c:pt>
                <c:pt idx="4">
                  <c:v>0.879806244666271</c:v>
                </c:pt>
                <c:pt idx="5">
                  <c:v>1.1673187884899</c:v>
                </c:pt>
                <c:pt idx="6">
                  <c:v>1.37424803655161</c:v>
                </c:pt>
                <c:pt idx="7">
                  <c:v>1.50734943032265</c:v>
                </c:pt>
                <c:pt idx="8">
                  <c:v>1.59042465960345</c:v>
                </c:pt>
                <c:pt idx="9">
                  <c:v>0</c:v>
                </c:pt>
                <c:pt idx="10">
                  <c:v>0.648541368392126</c:v>
                </c:pt>
                <c:pt idx="11">
                  <c:v>0.699570908487696</c:v>
                </c:pt>
                <c:pt idx="12">
                  <c:v>0.642482529771293</c:v>
                </c:pt>
                <c:pt idx="13">
                  <c:v>0.63988638610906</c:v>
                </c:pt>
                <c:pt idx="14">
                  <c:v>1.5754943318569</c:v>
                </c:pt>
                <c:pt idx="15">
                  <c:v>2.77789291899837</c:v>
                </c:pt>
                <c:pt idx="16">
                  <c:v>4.71748000746889</c:v>
                </c:pt>
                <c:pt idx="17">
                  <c:v>6.09548674217084</c:v>
                </c:pt>
                <c:pt idx="18">
                  <c:v>6.98182593773761</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showLeaderLines val="0"/>
        </c:dLbls>
        <c:overlap val="100"/>
        <c:gapWidth val="72"/>
        <c:axId val="6080854"/>
        <c:axId val="23665037"/>
      </c:barChart>
      <c:catAx>
        <c:axId val="6080854"/>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23665037"/>
        <c:crosses val="autoZero"/>
        <c:auto val="1"/>
        <c:lblOffset val="100"/>
        <c:noMultiLvlLbl val="0"/>
      </c:catAx>
      <c:valAx>
        <c:axId val="23665037"/>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Billion Pkm</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6080854"/>
        <c:crosses val="autoZero"/>
        <c:crossBetween val="between"/>
      </c:valAx>
    </c:plotArea>
    <c:legend>
      <c:legendPos val="r"/>
      <c:layout>
        <c:manualLayout>
          <c:xMode val="edge"/>
          <c:yMode val="edge"/>
          <c:x val="0.89375"/>
          <c:y val="0.28775"/>
          <c:w val="0.092"/>
          <c:h val="0.4"/>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zero"/>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5.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80.7379363648828</c:v>
                </c:pt>
                <c:pt idx="1">
                  <c:v>84.616485002842</c:v>
                </c:pt>
                <c:pt idx="2">
                  <c:v>78.3083495079737</c:v>
                </c:pt>
                <c:pt idx="3">
                  <c:v>79.5717255117826</c:v>
                </c:pt>
                <c:pt idx="4">
                  <c:v>110.520933013777</c:v>
                </c:pt>
                <c:pt idx="5">
                  <c:v>157.988643988743</c:v>
                </c:pt>
                <c:pt idx="6">
                  <c:v>214.914179352896</c:v>
                </c:pt>
                <c:pt idx="7">
                  <c:v>234.872433863818</c:v>
                </c:pt>
                <c:pt idx="8">
                  <c:v>243.75712018368</c:v>
                </c:pt>
                <c:pt idx="10">
                  <c:v>80.7379363648828</c:v>
                </c:pt>
                <c:pt idx="11">
                  <c:v>84.616485002842</c:v>
                </c:pt>
                <c:pt idx="12">
                  <c:v>78.3083495079737</c:v>
                </c:pt>
                <c:pt idx="13">
                  <c:v>79.5717255117826</c:v>
                </c:pt>
                <c:pt idx="14">
                  <c:v>100.609651645567</c:v>
                </c:pt>
                <c:pt idx="15">
                  <c:v>135.516437519787</c:v>
                </c:pt>
                <c:pt idx="16">
                  <c:v>184.119218512264</c:v>
                </c:pt>
                <c:pt idx="17">
                  <c:v>201.333632008607</c:v>
                </c:pt>
                <c:pt idx="18">
                  <c:v>197.228224801195</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17.1568114775376</c:v>
                </c:pt>
                <c:pt idx="1">
                  <c:v>17.9810030631039</c:v>
                </c:pt>
                <c:pt idx="2">
                  <c:v>16.6405242704444</c:v>
                </c:pt>
                <c:pt idx="3">
                  <c:v>16.9089916712538</c:v>
                </c:pt>
                <c:pt idx="4">
                  <c:v>23.4856982654277</c:v>
                </c:pt>
                <c:pt idx="5">
                  <c:v>33.5725868476079</c:v>
                </c:pt>
                <c:pt idx="6">
                  <c:v>45.6692631124904</c:v>
                </c:pt>
                <c:pt idx="7">
                  <c:v>49.9103921960614</c:v>
                </c:pt>
                <c:pt idx="8">
                  <c:v>51.7983880390321</c:v>
                </c:pt>
                <c:pt idx="10">
                  <c:v>17.1568114775376</c:v>
                </c:pt>
                <c:pt idx="11">
                  <c:v>17.9810030631039</c:v>
                </c:pt>
                <c:pt idx="12">
                  <c:v>16.6405242704444</c:v>
                </c:pt>
                <c:pt idx="13">
                  <c:v>16.9089916712538</c:v>
                </c:pt>
                <c:pt idx="14">
                  <c:v>21.3795509746831</c:v>
                </c:pt>
                <c:pt idx="15">
                  <c:v>28.7972429729547</c:v>
                </c:pt>
                <c:pt idx="16">
                  <c:v>39.1253339338562</c:v>
                </c:pt>
                <c:pt idx="17">
                  <c:v>42.783396801829</c:v>
                </c:pt>
                <c:pt idx="18">
                  <c:v>41.910997770254</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c:v>
                </c:pt>
                <c:pt idx="1">
                  <c:v>3.17311818760658</c:v>
                </c:pt>
                <c:pt idx="2">
                  <c:v>2.93656310654901</c:v>
                </c:pt>
                <c:pt idx="3">
                  <c:v>2.98393970669185</c:v>
                </c:pt>
                <c:pt idx="4">
                  <c:v>4.14453498801664</c:v>
                </c:pt>
                <c:pt idx="5">
                  <c:v>5.92457414957786</c:v>
                </c:pt>
                <c:pt idx="6">
                  <c:v>8.05928172573361</c:v>
                </c:pt>
                <c:pt idx="7">
                  <c:v>8.80771626989318</c:v>
                </c:pt>
                <c:pt idx="8">
                  <c:v>9.14089200688801</c:v>
                </c:pt>
                <c:pt idx="10">
                  <c:v>3.0276726136831</c:v>
                </c:pt>
                <c:pt idx="11">
                  <c:v>3.17311818760658</c:v>
                </c:pt>
                <c:pt idx="12">
                  <c:v>2.93656310654901</c:v>
                </c:pt>
                <c:pt idx="13">
                  <c:v>2.98393970669185</c:v>
                </c:pt>
                <c:pt idx="14">
                  <c:v>3.77286193670878</c:v>
                </c:pt>
                <c:pt idx="15">
                  <c:v>5.08186640699201</c:v>
                </c:pt>
                <c:pt idx="16">
                  <c:v>6.90447069420992</c:v>
                </c:pt>
                <c:pt idx="17">
                  <c:v>7.55001120032276</c:v>
                </c:pt>
                <c:pt idx="18">
                  <c:v>7.39605843004482</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0.640784925894716</c:v>
                </c:pt>
                <c:pt idx="1">
                  <c:v>0.65561461783585</c:v>
                </c:pt>
                <c:pt idx="2">
                  <c:v>0.666626561101558</c:v>
                </c:pt>
                <c:pt idx="3">
                  <c:v>0.681659928511482</c:v>
                </c:pt>
                <c:pt idx="4">
                  <c:v>0.68770089093312</c:v>
                </c:pt>
                <c:pt idx="5">
                  <c:v>0.655344883867018</c:v>
                </c:pt>
                <c:pt idx="6">
                  <c:v>0.585114268304506</c:v>
                </c:pt>
                <c:pt idx="7">
                  <c:v>0.569784457596951</c:v>
                </c:pt>
                <c:pt idx="8">
                  <c:v>0.560585671404813</c:v>
                </c:pt>
                <c:pt idx="10">
                  <c:v>0.640784925894716</c:v>
                </c:pt>
                <c:pt idx="11">
                  <c:v>0.65561461783585</c:v>
                </c:pt>
                <c:pt idx="12">
                  <c:v>0.666626561101558</c:v>
                </c:pt>
                <c:pt idx="13">
                  <c:v>0.681659928511482</c:v>
                </c:pt>
                <c:pt idx="14">
                  <c:v>0.707656292077533</c:v>
                </c:pt>
                <c:pt idx="15">
                  <c:v>0.699833496261536</c:v>
                </c:pt>
                <c:pt idx="16">
                  <c:v>0.640908416564376</c:v>
                </c:pt>
                <c:pt idx="17">
                  <c:v>0.628587341596461</c:v>
                </c:pt>
                <c:pt idx="18">
                  <c:v>0.647193358384973</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c:v>
                </c:pt>
                <c:pt idx="1">
                  <c:v>7.35606050360759</c:v>
                </c:pt>
                <c:pt idx="2">
                  <c:v>7.4796155902715</c:v>
                </c:pt>
                <c:pt idx="3">
                  <c:v>7.64829145141292</c:v>
                </c:pt>
                <c:pt idx="4">
                  <c:v>7.71607164402101</c:v>
                </c:pt>
                <c:pt idx="5">
                  <c:v>7.3530340619441</c:v>
                </c:pt>
                <c:pt idx="6">
                  <c:v>6.56503964688853</c:v>
                </c:pt>
                <c:pt idx="7">
                  <c:v>6.39303766278716</c:v>
                </c:pt>
                <c:pt idx="8">
                  <c:v>6.28982637684531</c:v>
                </c:pt>
                <c:pt idx="10">
                  <c:v>7.18966990126113</c:v>
                </c:pt>
                <c:pt idx="11">
                  <c:v>7.35606050360759</c:v>
                </c:pt>
                <c:pt idx="12">
                  <c:v>7.4796155902715</c:v>
                </c:pt>
                <c:pt idx="13">
                  <c:v>7.64829145141292</c:v>
                </c:pt>
                <c:pt idx="14">
                  <c:v>7.68486572494213</c:v>
                </c:pt>
                <c:pt idx="15">
                  <c:v>7.40434165226408</c:v>
                </c:pt>
                <c:pt idx="16">
                  <c:v>6.78090561455602</c:v>
                </c:pt>
                <c:pt idx="17">
                  <c:v>6.65054682339649</c:v>
                </c:pt>
                <c:pt idx="18">
                  <c:v>6.84740122637354</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c:v>0.0727999829012243</c:v>
                </c:pt>
                <c:pt idx="1">
                  <c:v>0.11130954786623</c:v>
                </c:pt>
                <c:pt idx="2">
                  <c:v>0.11091277099763</c:v>
                </c:pt>
                <c:pt idx="3">
                  <c:v>0.11320845736964</c:v>
                </c:pt>
                <c:pt idx="4">
                  <c:v>0.123386868825845</c:v>
                </c:pt>
                <c:pt idx="5">
                  <c:v>0.133188323560915</c:v>
                </c:pt>
                <c:pt idx="6">
                  <c:v>0.140581585138256</c:v>
                </c:pt>
                <c:pt idx="7">
                  <c:v>0.144734580908007</c:v>
                </c:pt>
                <c:pt idx="8">
                  <c:v>0.146406807250535</c:v>
                </c:pt>
                <c:pt idx="10">
                  <c:v>0.0727999829012243</c:v>
                </c:pt>
                <c:pt idx="11">
                  <c:v>0.11130954786623</c:v>
                </c:pt>
                <c:pt idx="12">
                  <c:v>0.11091277099763</c:v>
                </c:pt>
                <c:pt idx="13">
                  <c:v>0.11320845736964</c:v>
                </c:pt>
                <c:pt idx="14">
                  <c:v>0.108465666084115</c:v>
                </c:pt>
                <c:pt idx="15">
                  <c:v>0.117081828618665</c:v>
                </c:pt>
                <c:pt idx="16">
                  <c:v>0.123581021354095</c:v>
                </c:pt>
                <c:pt idx="17">
                  <c:v>0.127231794379597</c:v>
                </c:pt>
                <c:pt idx="18">
                  <c:v>0.128701798001633</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showLeaderLines val="0"/>
        </c:dLbls>
        <c:overlap val="100"/>
        <c:axId val="42637792"/>
        <c:axId val="34094438"/>
      </c:barChart>
      <c:catAx>
        <c:axId val="42637792"/>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34094438"/>
        <c:crosses val="autoZero"/>
        <c:auto val="1"/>
        <c:lblOffset val="100"/>
        <c:noMultiLvlLbl val="0"/>
      </c:catAx>
      <c:valAx>
        <c:axId val="34094438"/>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Billion Vehkm (road Vehicles)</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42637792"/>
        <c:crosses val="autoZero"/>
        <c:crossBetween val="between"/>
      </c:valAx>
    </c:plotArea>
    <c:legend>
      <c:legendPos val="r"/>
      <c:layout>
        <c:manualLayout>
          <c:xMode val="edge"/>
          <c:yMode val="edge"/>
          <c:x val="0.78375"/>
          <c:y val="0.324"/>
          <c:w val="0.19875"/>
          <c:h val="0.3265"/>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6.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113.033110910836</c:v>
                </c:pt>
                <c:pt idx="1">
                  <c:v>118.463079003979</c:v>
                </c:pt>
                <c:pt idx="2">
                  <c:v>109.631689311163</c:v>
                </c:pt>
                <c:pt idx="3">
                  <c:v>111.400415716496</c:v>
                </c:pt>
                <c:pt idx="4">
                  <c:v>154.729306219288</c:v>
                </c:pt>
                <c:pt idx="5">
                  <c:v>221.18410158424</c:v>
                </c:pt>
                <c:pt idx="6">
                  <c:v>300.879851094055</c:v>
                </c:pt>
                <c:pt idx="7">
                  <c:v>328.821407409346</c:v>
                </c:pt>
                <c:pt idx="8">
                  <c:v>341.259968257152</c:v>
                </c:pt>
                <c:pt idx="9">
                  <c:v>0</c:v>
                </c:pt>
                <c:pt idx="10">
                  <c:v>113.033110910836</c:v>
                </c:pt>
                <c:pt idx="11">
                  <c:v>118.463079003979</c:v>
                </c:pt>
                <c:pt idx="12">
                  <c:v>109.631689311163</c:v>
                </c:pt>
                <c:pt idx="13">
                  <c:v>111.400415716496</c:v>
                </c:pt>
                <c:pt idx="14">
                  <c:v>140.853512303794</c:v>
                </c:pt>
                <c:pt idx="15">
                  <c:v>189.723012527702</c:v>
                </c:pt>
                <c:pt idx="16">
                  <c:v>257.76690591717</c:v>
                </c:pt>
                <c:pt idx="17">
                  <c:v>281.86708481205</c:v>
                </c:pt>
                <c:pt idx="18">
                  <c:v>276.119514721673</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c:v>
                </c:pt>
                <c:pt idx="1">
                  <c:v>25.1734042883455</c:v>
                </c:pt>
                <c:pt idx="2">
                  <c:v>23.2967339786222</c:v>
                </c:pt>
                <c:pt idx="3">
                  <c:v>23.6725883397553</c:v>
                </c:pt>
                <c:pt idx="4">
                  <c:v>32.8799775715987</c:v>
                </c:pt>
                <c:pt idx="5">
                  <c:v>47.001621586651</c:v>
                </c:pt>
                <c:pt idx="6">
                  <c:v>63.9369683574866</c:v>
                </c:pt>
                <c:pt idx="7">
                  <c:v>69.8745490744859</c:v>
                </c:pt>
                <c:pt idx="8">
                  <c:v>72.5177432546449</c:v>
                </c:pt>
                <c:pt idx="10">
                  <c:v>24.0195360685526</c:v>
                </c:pt>
                <c:pt idx="11">
                  <c:v>25.1734042883455</c:v>
                </c:pt>
                <c:pt idx="12">
                  <c:v>23.2967339786222</c:v>
                </c:pt>
                <c:pt idx="13">
                  <c:v>23.6725883397553</c:v>
                </c:pt>
                <c:pt idx="14">
                  <c:v>29.9313713645563</c:v>
                </c:pt>
                <c:pt idx="15">
                  <c:v>40.3161401621366</c:v>
                </c:pt>
                <c:pt idx="16">
                  <c:v>54.7754675073987</c:v>
                </c:pt>
                <c:pt idx="17">
                  <c:v>59.8967555225606</c:v>
                </c:pt>
                <c:pt idx="18">
                  <c:v>58.6753968783555</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c:v>
                </c:pt>
                <c:pt idx="1">
                  <c:v>4.4423654626492</c:v>
                </c:pt>
                <c:pt idx="2">
                  <c:v>4.11118834916862</c:v>
                </c:pt>
                <c:pt idx="3">
                  <c:v>4.17751558936859</c:v>
                </c:pt>
                <c:pt idx="4">
                  <c:v>5.8023489832233</c:v>
                </c:pt>
                <c:pt idx="5">
                  <c:v>8.29440380940901</c:v>
                </c:pt>
                <c:pt idx="6">
                  <c:v>11.282994416027</c:v>
                </c:pt>
                <c:pt idx="7">
                  <c:v>12.3308027778505</c:v>
                </c:pt>
                <c:pt idx="8">
                  <c:v>12.7972488096432</c:v>
                </c:pt>
                <c:pt idx="10">
                  <c:v>4.23874165915634</c:v>
                </c:pt>
                <c:pt idx="11">
                  <c:v>4.4423654626492</c:v>
                </c:pt>
                <c:pt idx="12">
                  <c:v>4.11118834916862</c:v>
                </c:pt>
                <c:pt idx="13">
                  <c:v>4.17751558936859</c:v>
                </c:pt>
                <c:pt idx="14">
                  <c:v>5.28200671139229</c:v>
                </c:pt>
                <c:pt idx="15">
                  <c:v>7.11461296978881</c:v>
                </c:pt>
                <c:pt idx="16">
                  <c:v>9.66625897189389</c:v>
                </c:pt>
                <c:pt idx="17">
                  <c:v>10.5700156804519</c:v>
                </c:pt>
                <c:pt idx="18">
                  <c:v>10.3544818020627</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16.0196231473679</c:v>
                </c:pt>
                <c:pt idx="1">
                  <c:v>16.3903654458963</c:v>
                </c:pt>
                <c:pt idx="2">
                  <c:v>16.6656640275389</c:v>
                </c:pt>
                <c:pt idx="3">
                  <c:v>17.041498212787</c:v>
                </c:pt>
                <c:pt idx="4">
                  <c:v>17.192522273328</c:v>
                </c:pt>
                <c:pt idx="5">
                  <c:v>16.3836220966754</c:v>
                </c:pt>
                <c:pt idx="6">
                  <c:v>14.6278567076126</c:v>
                </c:pt>
                <c:pt idx="7">
                  <c:v>14.2446114399238</c:v>
                </c:pt>
                <c:pt idx="8">
                  <c:v>14.0146417851203</c:v>
                </c:pt>
                <c:pt idx="9">
                  <c:v>0</c:v>
                </c:pt>
                <c:pt idx="10">
                  <c:v>16.0196231473679</c:v>
                </c:pt>
                <c:pt idx="11">
                  <c:v>16.3903654458963</c:v>
                </c:pt>
                <c:pt idx="12">
                  <c:v>16.6656640275389</c:v>
                </c:pt>
                <c:pt idx="13">
                  <c:v>17.041498212787</c:v>
                </c:pt>
                <c:pt idx="14">
                  <c:v>17.6914073019383</c:v>
                </c:pt>
                <c:pt idx="15">
                  <c:v>17.4958374065384</c:v>
                </c:pt>
                <c:pt idx="16">
                  <c:v>16.0227104141094</c:v>
                </c:pt>
                <c:pt idx="17">
                  <c:v>15.7146835399115</c:v>
                </c:pt>
                <c:pt idx="18">
                  <c:v>16.1798339596243</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100.655378617656</c:v>
                </c:pt>
                <c:pt idx="1">
                  <c:v>102.984847050506</c:v>
                </c:pt>
                <c:pt idx="2">
                  <c:v>104.714618263801</c:v>
                </c:pt>
                <c:pt idx="3">
                  <c:v>107.076080319781</c:v>
                </c:pt>
                <c:pt idx="4">
                  <c:v>108.025003016294</c:v>
                </c:pt>
                <c:pt idx="5">
                  <c:v>102.942476867217</c:v>
                </c:pt>
                <c:pt idx="6">
                  <c:v>91.9105550564394</c:v>
                </c:pt>
                <c:pt idx="7">
                  <c:v>89.5025272790203</c:v>
                </c:pt>
                <c:pt idx="8">
                  <c:v>88.0575692758343</c:v>
                </c:pt>
                <c:pt idx="9">
                  <c:v>0</c:v>
                </c:pt>
                <c:pt idx="10">
                  <c:v>100.655378617656</c:v>
                </c:pt>
                <c:pt idx="11">
                  <c:v>102.984847050506</c:v>
                </c:pt>
                <c:pt idx="12">
                  <c:v>104.714618263801</c:v>
                </c:pt>
                <c:pt idx="13">
                  <c:v>107.076080319781</c:v>
                </c:pt>
                <c:pt idx="14">
                  <c:v>107.58812014919</c:v>
                </c:pt>
                <c:pt idx="15">
                  <c:v>103.660783131697</c:v>
                </c:pt>
                <c:pt idx="16">
                  <c:v>94.9326786037843</c:v>
                </c:pt>
                <c:pt idx="17">
                  <c:v>93.1076555275509</c:v>
                </c:pt>
                <c:pt idx="18">
                  <c:v>95.8636171692296</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1.81999957253061</c:v>
                </c:pt>
                <c:pt idx="1">
                  <c:v>2.78273869665575</c:v>
                </c:pt>
                <c:pt idx="2">
                  <c:v>2.77281927494075</c:v>
                </c:pt>
                <c:pt idx="3">
                  <c:v>2.83021143424099</c:v>
                </c:pt>
                <c:pt idx="4">
                  <c:v>3.08467172064612</c:v>
                </c:pt>
                <c:pt idx="5">
                  <c:v>3.32970808902288</c:v>
                </c:pt>
                <c:pt idx="6">
                  <c:v>3.51453962845641</c:v>
                </c:pt>
                <c:pt idx="7">
                  <c:v>3.61836452270018</c:v>
                </c:pt>
                <c:pt idx="8">
                  <c:v>3.66017018126337</c:v>
                </c:pt>
                <c:pt idx="10">
                  <c:v>1.81999957253061</c:v>
                </c:pt>
                <c:pt idx="11">
                  <c:v>2.78273869665575</c:v>
                </c:pt>
                <c:pt idx="12">
                  <c:v>2.77281927494075</c:v>
                </c:pt>
                <c:pt idx="13">
                  <c:v>2.83021143424099</c:v>
                </c:pt>
                <c:pt idx="14">
                  <c:v>2.71164165210287</c:v>
                </c:pt>
                <c:pt idx="15">
                  <c:v>2.92704571546663</c:v>
                </c:pt>
                <c:pt idx="16">
                  <c:v>3.08952553385238</c:v>
                </c:pt>
                <c:pt idx="17">
                  <c:v>3.18079485948993</c:v>
                </c:pt>
                <c:pt idx="18">
                  <c:v>3.21754495004082</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8.67416214239325</c:v>
                </c:pt>
                <c:pt idx="1">
                  <c:v>8.87490836350563</c:v>
                </c:pt>
                <c:pt idx="2">
                  <c:v>9.02397457516192</c:v>
                </c:pt>
                <c:pt idx="3">
                  <c:v>9.22747790551535</c:v>
                </c:pt>
                <c:pt idx="4">
                  <c:v>9.3092530619272</c:v>
                </c:pt>
                <c:pt idx="5">
                  <c:v>8.87125703513255</c:v>
                </c:pt>
                <c:pt idx="6">
                  <c:v>7.92056090897335</c:v>
                </c:pt>
                <c:pt idx="7">
                  <c:v>7.7130446920401</c:v>
                </c:pt>
                <c:pt idx="8">
                  <c:v>7.58852278192743</c:v>
                </c:pt>
                <c:pt idx="9">
                  <c:v>0</c:v>
                </c:pt>
                <c:pt idx="10">
                  <c:v>8.67416214239325</c:v>
                </c:pt>
                <c:pt idx="11">
                  <c:v>8.87490836350563</c:v>
                </c:pt>
                <c:pt idx="12">
                  <c:v>9.02397457516192</c:v>
                </c:pt>
                <c:pt idx="13">
                  <c:v>9.22747790551535</c:v>
                </c:pt>
                <c:pt idx="14">
                  <c:v>13.1508896219416</c:v>
                </c:pt>
                <c:pt idx="15">
                  <c:v>15.7435156631605</c:v>
                </c:pt>
                <c:pt idx="16">
                  <c:v>14.41793190628</c:v>
                </c:pt>
                <c:pt idx="17">
                  <c:v>14.1407559240205</c:v>
                </c:pt>
                <c:pt idx="18">
                  <c:v>14.5593185082691</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0.648541368392126</c:v>
                </c:pt>
                <c:pt idx="1">
                  <c:v>0.699570908487696</c:v>
                </c:pt>
                <c:pt idx="2">
                  <c:v>0.642482529771293</c:v>
                </c:pt>
                <c:pt idx="3">
                  <c:v>0.63988638610906</c:v>
                </c:pt>
                <c:pt idx="4">
                  <c:v>0.879806244666271</c:v>
                </c:pt>
                <c:pt idx="5">
                  <c:v>1.1673187884899</c:v>
                </c:pt>
                <c:pt idx="6">
                  <c:v>1.37424803655161</c:v>
                </c:pt>
                <c:pt idx="7">
                  <c:v>1.50734943032265</c:v>
                </c:pt>
                <c:pt idx="8">
                  <c:v>1.59042465960345</c:v>
                </c:pt>
                <c:pt idx="9">
                  <c:v>0</c:v>
                </c:pt>
                <c:pt idx="10">
                  <c:v>0.648541368392126</c:v>
                </c:pt>
                <c:pt idx="11">
                  <c:v>0.699570908487696</c:v>
                </c:pt>
                <c:pt idx="12">
                  <c:v>0.642482529771293</c:v>
                </c:pt>
                <c:pt idx="13">
                  <c:v>0.63988638610906</c:v>
                </c:pt>
                <c:pt idx="14">
                  <c:v>1.5754943318569</c:v>
                </c:pt>
                <c:pt idx="15">
                  <c:v>2.77789291899837</c:v>
                </c:pt>
                <c:pt idx="16">
                  <c:v>4.71748000746889</c:v>
                </c:pt>
                <c:pt idx="17">
                  <c:v>6.09548674217084</c:v>
                </c:pt>
                <c:pt idx="18">
                  <c:v>6.98182593773761</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showLeaderLines val="0"/>
        </c:dLbls>
        <c:overlap val="100"/>
        <c:gapWidth val="71"/>
        <c:axId val="59443813"/>
        <c:axId val="51937459"/>
      </c:barChart>
      <c:catAx>
        <c:axId val="59443813"/>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51937459"/>
        <c:crosses val="autoZero"/>
        <c:auto val="1"/>
        <c:lblOffset val="100"/>
        <c:noMultiLvlLbl val="0"/>
      </c:catAx>
      <c:valAx>
        <c:axId val="51937459"/>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Billion p-km</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59443813"/>
        <c:crosses val="autoZero"/>
        <c:crossBetween val="between"/>
      </c:valAx>
    </c:plotArea>
    <c:legend>
      <c:legendPos val="r"/>
      <c:layout>
        <c:manualLayout>
          <c:xMode val="edge"/>
          <c:yMode val="edge"/>
          <c:x val="0.90675"/>
          <c:y val="0.274"/>
          <c:w val="0.081"/>
          <c:h val="0.428"/>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7.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Access to a priv.veh.</a:t>
            </a:r>
          </a:p>
        </c:rich>
      </c:tx>
      <c:layout/>
      <c:overlay val="1"/>
      <c:spPr>
        <a:noFill/>
        <a:ln w="9525">
          <a:noFill/>
        </a:ln>
        <a:effectLst/>
      </c:spPr>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0.02</c:v>
                </c:pt>
                <c:pt idx="15">
                  <c:v>0.02</c:v>
                </c:pt>
                <c:pt idx="16">
                  <c:v>0.02</c:v>
                </c:pt>
                <c:pt idx="17">
                  <c:v>0.02</c:v>
                </c:pt>
                <c:pt idx="18">
                  <c:v>0.02</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0.5035</c:v>
                </c:pt>
                <c:pt idx="15">
                  <c:v>0.478325</c:v>
                </c:pt>
                <c:pt idx="16">
                  <c:v>0.478325</c:v>
                </c:pt>
                <c:pt idx="17">
                  <c:v>0.478325</c:v>
                </c:pt>
                <c:pt idx="18">
                  <c:v>0.45440875</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c:v>
                </c:pt>
                <c:pt idx="1">
                  <c:v>0.768108108108108</c:v>
                </c:pt>
                <c:pt idx="2">
                  <c:v>0.768108108108108</c:v>
                </c:pt>
                <c:pt idx="3">
                  <c:v>0.768108108108108</c:v>
                </c:pt>
                <c:pt idx="4">
                  <c:v>0.768108108108108</c:v>
                </c:pt>
                <c:pt idx="5">
                  <c:v>0.768108108108108</c:v>
                </c:pt>
                <c:pt idx="6">
                  <c:v>0.768108108108108</c:v>
                </c:pt>
                <c:pt idx="7">
                  <c:v>0.768108108108108</c:v>
                </c:pt>
                <c:pt idx="8">
                  <c:v>0.768108108108108</c:v>
                </c:pt>
                <c:pt idx="10">
                  <c:v>0.768108108108108</c:v>
                </c:pt>
                <c:pt idx="11">
                  <c:v>0.768108108108108</c:v>
                </c:pt>
                <c:pt idx="12">
                  <c:v>0.768108108108108</c:v>
                </c:pt>
                <c:pt idx="13">
                  <c:v>0.768108108108108</c:v>
                </c:pt>
                <c:pt idx="14">
                  <c:v>0.748905405405405</c:v>
                </c:pt>
                <c:pt idx="15">
                  <c:v>0.73018277027027</c:v>
                </c:pt>
                <c:pt idx="16">
                  <c:v>0.73018277027027</c:v>
                </c:pt>
                <c:pt idx="17">
                  <c:v>0.73018277027027</c:v>
                </c:pt>
                <c:pt idx="18">
                  <c:v>0.711928201013513</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showLeaderLines val="0"/>
        </c:dLbls>
        <c:axId val="26269310"/>
        <c:axId val="32440391"/>
      </c:barChart>
      <c:catAx>
        <c:axId val="26269310"/>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32440391"/>
        <c:crosses val="autoZero"/>
        <c:auto val="1"/>
        <c:lblOffset val="100"/>
        <c:noMultiLvlLbl val="0"/>
      </c:catAx>
      <c:valAx>
        <c:axId val="32440391"/>
        <c:scaling>
          <c:orientation val="minMax"/>
        </c:scaling>
        <c:delete val="0"/>
        <c:axPos val="l"/>
        <c:majorGridlines/>
        <c:numFmt formatCode="General" sourceLinked="1"/>
        <c:majorTickMark val="out"/>
        <c:minorTickMark val="none"/>
        <c:tickLblPos val="nextTo"/>
        <c:spPr>
          <a:ln w="9525" cap="flat" cmpd="sng"/>
          <a:effectLst/>
        </c:spPr>
        <c:crossAx val="26269310"/>
        <c:crosses val="autoZero"/>
        <c:crossBetween val="between"/>
      </c:valAx>
    </c:plotArea>
    <c:legend>
      <c:legendPos val="r"/>
      <c:layout/>
      <c:overlay val="0"/>
    </c:legend>
    <c:plotVisOnly val="1"/>
    <c:dispBlanksAs val="gap"/>
    <c:showDLblsOverMax val="0"/>
  </c:chart>
</c:chartSpace>
</file>

<file path=xl/charts/chart18.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Priv.veh. per person w access</a:t>
            </a:r>
          </a:p>
        </c:rich>
      </c:tx>
      <c:layout/>
      <c:overlay val="0"/>
      <c:spPr>
        <a:noFill/>
        <a:ln w="9525">
          <a:noFill/>
        </a:ln>
        <a:effectLst/>
      </c:spPr>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c:v>0.25</c:v>
                </c:pt>
                <c:pt idx="11">
                  <c:v>0.25</c:v>
                </c:pt>
                <c:pt idx="12">
                  <c:v>0.25</c:v>
                </c:pt>
                <c:pt idx="13">
                  <c:v>0.25</c:v>
                </c:pt>
                <c:pt idx="14">
                  <c:v>0.2375</c:v>
                </c:pt>
                <c:pt idx="15">
                  <c:v>0.2375</c:v>
                </c:pt>
                <c:pt idx="16">
                  <c:v>0.225625</c:v>
                </c:pt>
                <c:pt idx="17">
                  <c:v>0.225625</c:v>
                </c:pt>
                <c:pt idx="18">
                  <c:v>0.21434375</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c:v>0.3</c:v>
                </c:pt>
                <c:pt idx="11">
                  <c:v>0.3</c:v>
                </c:pt>
                <c:pt idx="12">
                  <c:v>0.3</c:v>
                </c:pt>
                <c:pt idx="13">
                  <c:v>0.3</c:v>
                </c:pt>
                <c:pt idx="14">
                  <c:v>0.285</c:v>
                </c:pt>
                <c:pt idx="15">
                  <c:v>0.285</c:v>
                </c:pt>
                <c:pt idx="16">
                  <c:v>0.285</c:v>
                </c:pt>
                <c:pt idx="17">
                  <c:v>0.285</c:v>
                </c:pt>
                <c:pt idx="18">
                  <c:v>0.285</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0.400391862875791</c:v>
                </c:pt>
                <c:pt idx="1">
                  <c:v>0.400391862875791</c:v>
                </c:pt>
                <c:pt idx="2">
                  <c:v>0.396682442052703</c:v>
                </c:pt>
                <c:pt idx="3">
                  <c:v>0.415580322286659</c:v>
                </c:pt>
                <c:pt idx="4">
                  <c:v>0.438446282171773</c:v>
                </c:pt>
                <c:pt idx="5">
                  <c:v>0.496377907841916</c:v>
                </c:pt>
                <c:pt idx="6">
                  <c:v>0.604342309942364</c:v>
                </c:pt>
                <c:pt idx="7">
                  <c:v>0.604342309942364</c:v>
                </c:pt>
                <c:pt idx="8">
                  <c:v>0.594940675269645</c:v>
                </c:pt>
                <c:pt idx="10">
                  <c:v>0.400391862875791</c:v>
                </c:pt>
                <c:pt idx="11">
                  <c:v>0.400391862875791</c:v>
                </c:pt>
                <c:pt idx="12">
                  <c:v>0.396682442052703</c:v>
                </c:pt>
                <c:pt idx="13">
                  <c:v>0.415580322286659</c:v>
                </c:pt>
                <c:pt idx="14">
                  <c:v>0.427485125117478</c:v>
                </c:pt>
                <c:pt idx="15">
                  <c:v>0.483968460145868</c:v>
                </c:pt>
                <c:pt idx="16">
                  <c:v>0.589233752193805</c:v>
                </c:pt>
                <c:pt idx="17">
                  <c:v>0.589233752193805</c:v>
                </c:pt>
                <c:pt idx="18">
                  <c:v>0.580067158387904</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showLeaderLines val="0"/>
        </c:dLbls>
        <c:axId val="14970396"/>
        <c:axId val="17033759"/>
      </c:barChart>
      <c:catAx>
        <c:axId val="14970396"/>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17033759"/>
        <c:crosses val="autoZero"/>
        <c:auto val="1"/>
        <c:lblOffset val="100"/>
        <c:noMultiLvlLbl val="0"/>
      </c:catAx>
      <c:valAx>
        <c:axId val="17033759"/>
        <c:scaling>
          <c:orientation val="minMax"/>
        </c:scaling>
        <c:delete val="0"/>
        <c:axPos val="l"/>
        <c:title>
          <c:tx>
            <c:rich>
              <a:bodyPr vert="horz" rot="-5400000" wrap="square"/>
              <a:lstStyle/>
              <a:p>
                <a:pPr>
                  <a:defRPr lang="en-ZA" sz="1000" u="none" baseline="0">
                    <a:latin typeface="Calibri"/>
                    <a:ea typeface="Calibri"/>
                  </a:defRPr>
                </a:pPr>
                <a:r>
                  <a:rPr lang="en-ZA"/>
                  <a:t>veh/pp</a:t>
                </a:r>
              </a:p>
            </c:rich>
          </c:tx>
          <c:layout/>
          <c:overlay val="0"/>
          <c:spPr>
            <a:noFill/>
            <a:effectLst/>
          </c:spPr>
        </c:title>
        <c:majorGridlines/>
        <c:numFmt formatCode="General" sourceLinked="1"/>
        <c:majorTickMark val="out"/>
        <c:minorTickMark val="none"/>
        <c:tickLblPos val="nextTo"/>
        <c:spPr>
          <a:ln w="9525" cap="flat" cmpd="sng"/>
          <a:effectLst/>
        </c:spPr>
        <c:crossAx val="14970396"/>
        <c:crosses val="autoZero"/>
        <c:crossBetween val="between"/>
      </c:valAx>
    </c:plotArea>
    <c:legend>
      <c:legendPos val="r"/>
      <c:layout/>
      <c:overlay val="0"/>
    </c:legend>
    <c:plotVisOnly val="1"/>
    <c:dispBlanksAs val="gap"/>
    <c:showDLblsOverMax val="0"/>
  </c:chart>
</c:chartSpace>
</file>

<file path=xl/charts/chart19.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US" sz="1800" u="none" baseline="0">
                <a:latin typeface="Calibri"/>
                <a:ea typeface="Calibri"/>
              </a:defRPr>
            </a:pPr>
            <a:r>
              <a:rPr lang="en-US"/>
              <a:t>Occupancy</a:t>
            </a:r>
          </a:p>
        </c:rich>
      </c:tx>
      <c:layout/>
      <c:overlay val="1"/>
      <c:spPr>
        <a:noFill/>
        <a:ln w="9525">
          <a:noFill/>
        </a:ln>
        <a:effectLst/>
      </c:spPr>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9">
                  <c:v>0</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showLeaderLines val="0"/>
        </c:dLbls>
        <c:axId val="47027392"/>
        <c:axId val="62291916"/>
      </c:barChart>
      <c:catAx>
        <c:axId val="47027392"/>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62291916"/>
        <c:crosses val="autoZero"/>
        <c:auto val="1"/>
        <c:lblOffset val="100"/>
        <c:noMultiLvlLbl val="0"/>
      </c:catAx>
      <c:valAx>
        <c:axId val="62291916"/>
        <c:scaling>
          <c:orientation val="minMax"/>
        </c:scaling>
        <c:delete val="0"/>
        <c:axPos val="l"/>
        <c:title>
          <c:tx>
            <c:rich>
              <a:bodyPr vert="horz" rot="-5400000" wrap="square"/>
              <a:lstStyle/>
              <a:p>
                <a:pPr>
                  <a:defRPr lang="en-ZA" sz="1000" u="none" baseline="0">
                    <a:latin typeface="Calibri"/>
                    <a:ea typeface="Calibri"/>
                  </a:defRPr>
                </a:pPr>
                <a:r>
                  <a:rPr lang="en-ZA"/>
                  <a:t>pers/veh.</a:t>
                </a:r>
              </a:p>
            </c:rich>
          </c:tx>
          <c:layout/>
          <c:overlay val="0"/>
          <c:spPr>
            <a:noFill/>
            <a:effectLst/>
          </c:spPr>
        </c:title>
        <c:majorGridlines/>
        <c:numFmt formatCode="General" sourceLinked="1"/>
        <c:majorTickMark val="out"/>
        <c:minorTickMark val="none"/>
        <c:tickLblPos val="nextTo"/>
        <c:spPr>
          <a:ln w="9525" cap="flat" cmpd="sng"/>
          <a:effectLst/>
        </c:spPr>
        <c:crossAx val="47027392"/>
        <c:crosses val="autoZero"/>
        <c:crossBetween val="between"/>
      </c:valAx>
    </c:plotArea>
    <c:legend>
      <c:legendPos val="r"/>
      <c:layout/>
      <c:overlay val="0"/>
    </c:legend>
    <c:plotVisOnly val="1"/>
    <c:dispBlanksAs val="gap"/>
    <c:showDLblsOverMax val="0"/>
  </c:chart>
</c:chartSpace>
</file>

<file path=xl/charts/chart20.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Annual Mileage</a:t>
            </a:r>
          </a:p>
        </c:rich>
      </c:tx>
      <c:layout/>
      <c:overlay val="1"/>
      <c:spPr>
        <a:noFill/>
        <a:ln w="9525">
          <a:noFill/>
        </a:ln>
        <a:effectLst/>
      </c:spPr>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c:v>7.38521902505078</c:v>
                </c:pt>
                <c:pt idx="1">
                  <c:v>7.38521902505078</c:v>
                </c:pt>
                <c:pt idx="2">
                  <c:v>7.38521902505078</c:v>
                </c:pt>
                <c:pt idx="3">
                  <c:v>7.38521902505078</c:v>
                </c:pt>
                <c:pt idx="4">
                  <c:v>7.38521902505078</c:v>
                </c:pt>
                <c:pt idx="5">
                  <c:v>7.38521902505078</c:v>
                </c:pt>
                <c:pt idx="6">
                  <c:v>7.38521902505078</c:v>
                </c:pt>
                <c:pt idx="7">
                  <c:v>7.38521902505078</c:v>
                </c:pt>
                <c:pt idx="8">
                  <c:v>7.38521902505078</c:v>
                </c:pt>
                <c:pt idx="10">
                  <c:v>7.38521902505078</c:v>
                </c:pt>
                <c:pt idx="11">
                  <c:v>7.38521902505078</c:v>
                </c:pt>
                <c:pt idx="12">
                  <c:v>7.38521902505078</c:v>
                </c:pt>
                <c:pt idx="13">
                  <c:v>7.38521902505078</c:v>
                </c:pt>
                <c:pt idx="14">
                  <c:v>7.01595807379824</c:v>
                </c:pt>
                <c:pt idx="15">
                  <c:v>6.66516017010833</c:v>
                </c:pt>
                <c:pt idx="16">
                  <c:v>6.66516017010833</c:v>
                </c:pt>
                <c:pt idx="17">
                  <c:v>6.66516017010833</c:v>
                </c:pt>
                <c:pt idx="18">
                  <c:v>6.33190216160291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c:v>12.3446275646806</c:v>
                </c:pt>
                <c:pt idx="1">
                  <c:v>12.3446275646806</c:v>
                </c:pt>
                <c:pt idx="2">
                  <c:v>12.3446275646806</c:v>
                </c:pt>
                <c:pt idx="3">
                  <c:v>12.3446275646806</c:v>
                </c:pt>
                <c:pt idx="4">
                  <c:v>12.3446275646806</c:v>
                </c:pt>
                <c:pt idx="5">
                  <c:v>12.3446275646806</c:v>
                </c:pt>
                <c:pt idx="6">
                  <c:v>12.3446275646806</c:v>
                </c:pt>
                <c:pt idx="7">
                  <c:v>12.3446275646806</c:v>
                </c:pt>
                <c:pt idx="8">
                  <c:v>12.3446275646806</c:v>
                </c:pt>
                <c:pt idx="10">
                  <c:v>12.3446275646806</c:v>
                </c:pt>
                <c:pt idx="11">
                  <c:v>12.3446275646806</c:v>
                </c:pt>
                <c:pt idx="12">
                  <c:v>12.3446275646806</c:v>
                </c:pt>
                <c:pt idx="13">
                  <c:v>12.3446275646806</c:v>
                </c:pt>
                <c:pt idx="14">
                  <c:v>11.7273961864466</c:v>
                </c:pt>
                <c:pt idx="15">
                  <c:v>11.1410263771242</c:v>
                </c:pt>
                <c:pt idx="16">
                  <c:v>11.1410263771242</c:v>
                </c:pt>
                <c:pt idx="17">
                  <c:v>11.1410263771242</c:v>
                </c:pt>
                <c:pt idx="18">
                  <c:v>10.583975058268</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c:v>13.3300353215645</c:v>
                </c:pt>
                <c:pt idx="1">
                  <c:v>13.3300353215645</c:v>
                </c:pt>
                <c:pt idx="2">
                  <c:v>13.3300353215645</c:v>
                </c:pt>
                <c:pt idx="3">
                  <c:v>13.3300353215645</c:v>
                </c:pt>
                <c:pt idx="4">
                  <c:v>13.3300353215645</c:v>
                </c:pt>
                <c:pt idx="5">
                  <c:v>13.3300353215645</c:v>
                </c:pt>
                <c:pt idx="6">
                  <c:v>13.3300353215645</c:v>
                </c:pt>
                <c:pt idx="7">
                  <c:v>13.3300353215645</c:v>
                </c:pt>
                <c:pt idx="8">
                  <c:v>13.3300353215645</c:v>
                </c:pt>
                <c:pt idx="10">
                  <c:v>13.3300353215645</c:v>
                </c:pt>
                <c:pt idx="11">
                  <c:v>13.3300353215645</c:v>
                </c:pt>
                <c:pt idx="12">
                  <c:v>13.3300353215645</c:v>
                </c:pt>
                <c:pt idx="13">
                  <c:v>13.3300353215645</c:v>
                </c:pt>
                <c:pt idx="14">
                  <c:v>12.9967844385254</c:v>
                </c:pt>
                <c:pt idx="15">
                  <c:v>12.6718648275622</c:v>
                </c:pt>
                <c:pt idx="16">
                  <c:v>12.6718648275622</c:v>
                </c:pt>
                <c:pt idx="17">
                  <c:v>12.6718648275622</c:v>
                </c:pt>
                <c:pt idx="18">
                  <c:v>12.3550682068732</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showLeaderLines val="0"/>
        </c:dLbls>
        <c:axId val="48074298"/>
        <c:axId val="33918566"/>
      </c:barChart>
      <c:catAx>
        <c:axId val="48074298"/>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33918566"/>
        <c:crosses val="autoZero"/>
        <c:auto val="1"/>
        <c:lblOffset val="100"/>
        <c:noMultiLvlLbl val="0"/>
      </c:catAx>
      <c:valAx>
        <c:axId val="33918566"/>
        <c:scaling>
          <c:orientation val="minMax"/>
        </c:scaling>
        <c:delete val="0"/>
        <c:axPos val="l"/>
        <c:title>
          <c:tx>
            <c:rich>
              <a:bodyPr vert="horz" rot="-5400000" wrap="square"/>
              <a:lstStyle/>
              <a:p>
                <a:pPr>
                  <a:defRPr lang="en-ZA" sz="1000" u="none" baseline="0">
                    <a:latin typeface="Calibri"/>
                    <a:ea typeface="Calibri"/>
                  </a:defRPr>
                </a:pPr>
                <a:r>
                  <a:rPr lang="en-ZA"/>
                  <a:t>'000 km/year</a:t>
                </a:r>
              </a:p>
            </c:rich>
          </c:tx>
          <c:layout/>
          <c:overlay val="0"/>
          <c:spPr>
            <a:noFill/>
            <a:effectLst/>
          </c:spPr>
        </c:title>
        <c:majorGridlines/>
        <c:numFmt formatCode="0" sourceLinked="0"/>
        <c:majorTickMark val="out"/>
        <c:minorTickMark val="none"/>
        <c:tickLblPos val="nextTo"/>
        <c:spPr>
          <a:ln w="9525" cap="flat" cmpd="sng"/>
          <a:effectLst/>
        </c:spPr>
        <c:crossAx val="48074298"/>
        <c:crosses val="autoZero"/>
        <c:crossBetween val="between"/>
      </c:valAx>
    </c:plotArea>
    <c:legend>
      <c:legendPos val="r"/>
      <c:layout/>
      <c:overlay val="0"/>
    </c:legend>
    <c:plotVisOnly val="1"/>
    <c:dispBlanksAs val="gap"/>
    <c:showDLblsOverMax val="0"/>
  </c:chart>
</c:chartSpace>
</file>

<file path=xl/charts/chart21.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Income Distribution</a:t>
            </a:r>
          </a:p>
        </c:rich>
      </c:tx>
      <c:layout/>
      <c:overlay val="1"/>
      <c:spPr>
        <a:noFill/>
        <a:ln w="9525">
          <a:noFill/>
        </a:ln>
        <a:effectLst/>
      </c:spPr>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22.8640752309456</c:v>
                </c:pt>
                <c:pt idx="2">
                  <c:v>21.9551966725226</c:v>
                </c:pt>
                <c:pt idx="3">
                  <c:v>20.4419260948655</c:v>
                </c:pt>
                <c:pt idx="4">
                  <c:v>19.5676292046019</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16.9703644907838</c:v>
                </c:pt>
                <c:pt idx="1">
                  <c:v>18.9828703733041</c:v>
                </c:pt>
                <c:pt idx="2">
                  <c:v>21.9680762423334</c:v>
                </c:pt>
                <c:pt idx="3">
                  <c:v>25.241391122052</c:v>
                </c:pt>
                <c:pt idx="4">
                  <c:v>28.6419987923811</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c:v>
                </c:pt>
                <c:pt idx="1">
                  <c:v>15.3158856957504</c:v>
                </c:pt>
                <c:pt idx="2">
                  <c:v>18.883034605144</c:v>
                </c:pt>
                <c:pt idx="3">
                  <c:v>22.9045532130824</c:v>
                </c:pt>
                <c:pt idx="4">
                  <c:v>26.986581433017</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showLeaderLines val="0"/>
        </c:dLbls>
        <c:axId val="21531383"/>
        <c:axId val="58463682"/>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c:v>
                </c:pt>
                <c:pt idx="1">
                  <c:v>1.03766464428349</c:v>
                </c:pt>
                <c:pt idx="2">
                  <c:v>0.999210967315724</c:v>
                </c:pt>
                <c:pt idx="3">
                  <c:v>1.28118265480066</c:v>
                </c:pt>
                <c:pt idx="4">
                  <c:v>1.56315434228559</c:v>
                </c:pt>
                <c:pt idx="5">
                  <c:v>2.38930865951134</c:v>
                </c:pt>
                <c:pt idx="6">
                  <c:v>3.37463231702628</c:v>
                </c:pt>
                <c:pt idx="7">
                  <c:v>3.92897297706133</c:v>
                </c:pt>
                <c:pt idx="8">
                  <c:v>4.287031100418</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showLeaderLines val="0"/>
        </c:dLbls>
        <c:marker val="1"/>
        <c:axId val="15672609"/>
        <c:axId val="43015626"/>
      </c:lineChart>
      <c:catAx>
        <c:axId val="21531383"/>
        <c:scaling>
          <c:orientation val="minMax"/>
        </c:scaling>
        <c:delete val="0"/>
        <c:axPos val="b"/>
        <c:numFmt formatCode="General" sourceLinked="1"/>
        <c:majorTickMark val="out"/>
        <c:minorTickMark val="none"/>
        <c:tickLblPos val="nextTo"/>
        <c:spPr>
          <a:ln w="9525" cap="flat" cmpd="sng"/>
          <a:effectLst/>
        </c:spPr>
        <c:crossAx val="58463682"/>
        <c:crosses val="autoZero"/>
        <c:auto val="1"/>
        <c:lblOffset val="100"/>
        <c:noMultiLvlLbl val="0"/>
      </c:catAx>
      <c:valAx>
        <c:axId val="58463682"/>
        <c:scaling>
          <c:orientation val="minMax"/>
        </c:scaling>
        <c:delete val="0"/>
        <c:axPos val="l"/>
        <c:title>
          <c:tx>
            <c:rich>
              <a:bodyPr vert="horz" rot="-5400000" wrap="square"/>
              <a:lstStyle/>
              <a:p>
                <a:pPr>
                  <a:defRPr lang="en-ZA" sz="1000" u="none" baseline="0">
                    <a:latin typeface="Calibri"/>
                    <a:ea typeface="Calibri"/>
                  </a:defRPr>
                </a:pPr>
                <a:r>
                  <a:rPr lang="en-ZA"/>
                  <a:t>Million</a:t>
                </a:r>
              </a:p>
            </c:rich>
          </c:tx>
          <c:layout/>
          <c:overlay val="0"/>
          <c:spPr>
            <a:noFill/>
            <a:effectLst/>
          </c:spPr>
        </c:title>
        <c:majorGridlines/>
        <c:numFmt formatCode="0" sourceLinked="0"/>
        <c:majorTickMark val="out"/>
        <c:minorTickMark val="none"/>
        <c:tickLblPos val="nextTo"/>
        <c:spPr>
          <a:ln w="9525" cap="flat" cmpd="sng"/>
          <a:effectLst/>
        </c:spPr>
        <c:crossAx val="21531383"/>
        <c:crosses val="autoZero"/>
        <c:crossBetween val="between"/>
      </c:valAx>
      <c:catAx>
        <c:axId val="15672609"/>
        <c:scaling>
          <c:orientation val="minMax"/>
        </c:scaling>
        <c:delete val="1"/>
        <c:axPos val="b"/>
        <c:majorTickMark val="out"/>
        <c:minorTickMark val="none"/>
        <c:tickLblPos val="nextTo"/>
        <c:spPr>
          <a:ln w="9525" cap="flat" cmpd="sng"/>
        </c:spPr>
        <c:crossAx val="43015626"/>
        <c:crosses val="autoZero"/>
        <c:auto val="1"/>
        <c:lblOffset val="100"/>
        <c:noMultiLvlLbl val="0"/>
      </c:catAx>
      <c:valAx>
        <c:axId val="43015626"/>
        <c:scaling>
          <c:orientation val="minMax"/>
        </c:scaling>
        <c:delete val="0"/>
        <c:axPos val="l"/>
        <c:numFmt formatCode="0" sourceLinked="0"/>
        <c:majorTickMark val="out"/>
        <c:minorTickMark val="none"/>
        <c:tickLblPos val="nextTo"/>
        <c:spPr>
          <a:ln w="9525" cap="flat" cmpd="sng"/>
          <a:effectLst/>
        </c:spPr>
        <c:crossAx val="15672609"/>
        <c:crosses val="max"/>
        <c:crossBetween val="between"/>
      </c:valAx>
    </c:plotArea>
    <c:legend>
      <c:legendPos val="r"/>
      <c:layout/>
      <c:overlay val="0"/>
    </c:legend>
    <c:plotVisOnly val="1"/>
    <c:dispBlanksAs val="zero"/>
    <c:showDLblsOverMax val="0"/>
  </c:chart>
</c:chartSpace>
</file>

<file path=xl/charts/chart22.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Total priv.veh&amp;motorisation</a:t>
            </a:r>
          </a:p>
        </c:rich>
      </c:tx>
      <c:layout>
        <c:manualLayout>
          <c:xMode val="edge"/>
          <c:yMode val="edge"/>
          <c:x val="0.07375"/>
          <c:y val="0.02325"/>
        </c:manualLayout>
      </c:layout>
      <c:overlay val="1"/>
      <c:spPr>
        <a:noFill/>
        <a:ln w="9525">
          <a:noFill/>
        </a:ln>
        <a:effectLst/>
      </c:spPr>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0.128776809455714</c:v>
                </c:pt>
                <c:pt idx="1">
                  <c:v>0.129733550427684</c:v>
                </c:pt>
                <c:pt idx="2">
                  <c:v>0.134991328134879</c:v>
                </c:pt>
                <c:pt idx="3">
                  <c:v>0.147812993268668</c:v>
                </c:pt>
                <c:pt idx="4">
                  <c:v>0.1246775441378</c:v>
                </c:pt>
                <c:pt idx="5">
                  <c:v>0.0937488197568933</c:v>
                </c:pt>
                <c:pt idx="6">
                  <c:v>0.0719563062650916</c:v>
                </c:pt>
                <c:pt idx="7">
                  <c:v>0.0547136326293273</c:v>
                </c:pt>
                <c:pt idx="8">
                  <c:v>0.0377276577702714</c:v>
                </c:pt>
                <c:pt idx="10">
                  <c:v>0.128776809455714</c:v>
                </c:pt>
                <c:pt idx="11">
                  <c:v>0.129733550427684</c:v>
                </c:pt>
                <c:pt idx="12">
                  <c:v>0.134991328134879</c:v>
                </c:pt>
                <c:pt idx="13">
                  <c:v>0.147812993268668</c:v>
                </c:pt>
                <c:pt idx="14">
                  <c:v>0.11844366693091</c:v>
                </c:pt>
                <c:pt idx="15">
                  <c:v>0.0890613787690486</c:v>
                </c:pt>
                <c:pt idx="16">
                  <c:v>0.0649405664042452</c:v>
                </c:pt>
                <c:pt idx="17">
                  <c:v>0.0493790534479679</c:v>
                </c:pt>
                <c:pt idx="18">
                  <c:v>0.0323467505807865</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2.77021642458556</c:v>
                </c:pt>
                <c:pt idx="1">
                  <c:v>2.92184375996167</c:v>
                </c:pt>
                <c:pt idx="2">
                  <c:v>3.07049025120127</c:v>
                </c:pt>
                <c:pt idx="3">
                  <c:v>2.75044862667061</c:v>
                </c:pt>
                <c:pt idx="4">
                  <c:v>3.35651697309189</c:v>
                </c:pt>
                <c:pt idx="5">
                  <c:v>3.91606967965375</c:v>
                </c:pt>
                <c:pt idx="6">
                  <c:v>4.34163996936545</c:v>
                </c:pt>
                <c:pt idx="7">
                  <c:v>4.69783849919605</c:v>
                </c:pt>
                <c:pt idx="8">
                  <c:v>5.1128846818516</c:v>
                </c:pt>
                <c:pt idx="10">
                  <c:v>2.77021642458556</c:v>
                </c:pt>
                <c:pt idx="11">
                  <c:v>2.92184375996167</c:v>
                </c:pt>
                <c:pt idx="12">
                  <c:v>3.07049025120127</c:v>
                </c:pt>
                <c:pt idx="13">
                  <c:v>2.75044862667061</c:v>
                </c:pt>
                <c:pt idx="14">
                  <c:v>3.02925656821543</c:v>
                </c:pt>
                <c:pt idx="15">
                  <c:v>3.35754024159314</c:v>
                </c:pt>
                <c:pt idx="16">
                  <c:v>3.7224135687347</c:v>
                </c:pt>
                <c:pt idx="17">
                  <c:v>4.02780928324821</c:v>
                </c:pt>
                <c:pt idx="18">
                  <c:v>4.16447652889739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c:v>
                </c:pt>
                <c:pt idx="1">
                  <c:v>4.31845896860232</c:v>
                </c:pt>
                <c:pt idx="2">
                  <c:v>3.6132870620523</c:v>
                </c:pt>
                <c:pt idx="3">
                  <c:v>4.00010397011401</c:v>
                </c:pt>
                <c:pt idx="4">
                  <c:v>6.26857905428898</c:v>
                </c:pt>
                <c:pt idx="5">
                  <c:v>10.0407206417314</c:v>
                </c:pt>
                <c:pt idx="6">
                  <c:v>14.7766908999782</c:v>
                </c:pt>
                <c:pt idx="7">
                  <c:v>16.327926164654</c:v>
                </c:pt>
                <c:pt idx="8">
                  <c:v>16.8168712552982</c:v>
                </c:pt>
                <c:pt idx="10">
                  <c:v>4.1038214947082</c:v>
                </c:pt>
                <c:pt idx="11">
                  <c:v>4.31845896860232</c:v>
                </c:pt>
                <c:pt idx="12">
                  <c:v>3.6132870620523</c:v>
                </c:pt>
                <c:pt idx="13">
                  <c:v>4.00010397011401</c:v>
                </c:pt>
                <c:pt idx="14">
                  <c:v>5.95906796348346</c:v>
                </c:pt>
                <c:pt idx="15">
                  <c:v>9.30633605854479</c:v>
                </c:pt>
                <c:pt idx="16">
                  <c:v>13.695914492122</c:v>
                </c:pt>
                <c:pt idx="17">
                  <c:v>15.1336914400173</c:v>
                </c:pt>
                <c:pt idx="18">
                  <c:v>15.1972029116126</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0.828015701010218</c:v>
                </c:pt>
                <c:pt idx="2">
                  <c:v>0.801421748447192</c:v>
                </c:pt>
                <c:pt idx="3">
                  <c:v>0.822091438229983</c:v>
                </c:pt>
                <c:pt idx="4">
                  <c:v>0.906300973275456</c:v>
                </c:pt>
                <c:pt idx="5">
                  <c:v>1.08206421465029</c:v>
                </c:pt>
                <c:pt idx="6">
                  <c:v>1.299375632209</c:v>
                </c:pt>
                <c:pt idx="7">
                  <c:v>1.299375632209</c:v>
                </c:pt>
                <c:pt idx="8">
                  <c:v>1.26900949657178</c:v>
                </c:pt>
                <c:pt idx="9">
                  <c:v>0</c:v>
                </c:pt>
                <c:pt idx="10">
                  <c:v>0.82</c:v>
                </c:pt>
                <c:pt idx="11">
                  <c:v>0.828015701010218</c:v>
                </c:pt>
                <c:pt idx="12">
                  <c:v>0.801421748447192</c:v>
                </c:pt>
                <c:pt idx="13">
                  <c:v>0.822091438229983</c:v>
                </c:pt>
                <c:pt idx="14">
                  <c:v>0.908418237712476</c:v>
                </c:pt>
                <c:pt idx="15">
                  <c:v>1.04935731971064</c:v>
                </c:pt>
                <c:pt idx="16">
                  <c:v>1.14481400434219</c:v>
                </c:pt>
                <c:pt idx="17">
                  <c:v>1.14481400434219</c:v>
                </c:pt>
                <c:pt idx="18">
                  <c:v>1.15813408026533</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showLeaderLines val="0"/>
        </c:dLbls>
        <c:overlap val="100"/>
        <c:axId val="29136649"/>
        <c:axId val="4314216"/>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7.82281472874948</c:v>
                      </c:pt>
                      <c:pt idx="1">
                        <c:v>8.19805198000189</c:v>
                      </c:pt>
                      <c:pt idx="2">
                        <c:v>7.62019038983564</c:v>
                      </c:pt>
                      <c:pt idx="3">
                        <c:v>7.72045702828327</c:v>
                      </c:pt>
                      <c:pt idx="4">
                        <c:v>10.6560745447941</c:v>
                      </c:pt>
                      <c:pt idx="5">
                        <c:v>15.1326033557924</c:v>
                      </c:pt>
                      <c:pt idx="6">
                        <c:v>20.4896628078177</c:v>
                      </c:pt>
                      <c:pt idx="7">
                        <c:v>22.3798539286883</c:v>
                      </c:pt>
                      <c:pt idx="8">
                        <c:v>23.2364930914918</c:v>
                      </c:pt>
                      <c:pt idx="10">
                        <c:v>7.82281472874948</c:v>
                      </c:pt>
                      <c:pt idx="11">
                        <c:v>8.19805198000189</c:v>
                      </c:pt>
                      <c:pt idx="12">
                        <c:v>7.62019038983564</c:v>
                      </c:pt>
                      <c:pt idx="13">
                        <c:v>7.72045702828327</c:v>
                      </c:pt>
                      <c:pt idx="14">
                        <c:v>10.0151864363423</c:v>
                      </c:pt>
                      <c:pt idx="15">
                        <c:v>13.8022949986176</c:v>
                      </c:pt>
                      <c:pt idx="16">
                        <c:v>18.6280826316031</c:v>
                      </c:pt>
                      <c:pt idx="17">
                        <c:v>20.3556937810557</c:v>
                      </c:pt>
                      <c:pt idx="18">
                        <c:v>20.5521602713561</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c:v>
                </c:pt>
                <c:pt idx="1">
                  <c:v>140.462180540445</c:v>
                </c:pt>
                <c:pt idx="2">
                  <c:v>131.002625249998</c:v>
                </c:pt>
                <c:pt idx="3">
                  <c:v>129.990973204895</c:v>
                </c:pt>
                <c:pt idx="4">
                  <c:v>164.803487981943</c:v>
                </c:pt>
                <c:pt idx="5">
                  <c:v>217.067117523321</c:v>
                </c:pt>
                <c:pt idx="6">
                  <c:v>270.800909152924</c:v>
                </c:pt>
                <c:pt idx="7">
                  <c:v>295.782553741494</c:v>
                </c:pt>
                <c:pt idx="8">
                  <c:v>303.736451495933</c:v>
                </c:pt>
                <c:pt idx="10">
                  <c:v>138.403133646159</c:v>
                </c:pt>
                <c:pt idx="11">
                  <c:v>140.462180540445</c:v>
                </c:pt>
                <c:pt idx="12">
                  <c:v>131.002625249998</c:v>
                </c:pt>
                <c:pt idx="13">
                  <c:v>129.990973204895</c:v>
                </c:pt>
                <c:pt idx="14">
                  <c:v>154.891714632852</c:v>
                </c:pt>
                <c:pt idx="15">
                  <c:v>197.984730063626</c:v>
                </c:pt>
                <c:pt idx="16">
                  <c:v>253.340748086058</c:v>
                </c:pt>
                <c:pt idx="17">
                  <c:v>269.030312214079</c:v>
                </c:pt>
                <c:pt idx="18">
                  <c:v>268.64812202161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showLeaderLines val="0"/>
        </c:dLbls>
        <c:marker val="1"/>
        <c:axId val="25408270"/>
        <c:axId val="581929"/>
        <c:extLst>
          <c:ext xmlns:c15="http://schemas.microsoft.com/office/drawing/2012/chart" uri="{02D57815-91ED-43cb-92C2-25804820EDAC}"/>
        </c:extLst>
      </c:lineChart>
      <c:catAx>
        <c:axId val="29136649"/>
        <c:scaling>
          <c:orientation val="minMax"/>
        </c:scaling>
        <c:delete val="0"/>
        <c:axPos val="b"/>
        <c:numFmt formatCode="General" sourceLinked="1"/>
        <c:majorTickMark val="out"/>
        <c:minorTickMark val="none"/>
        <c:tickLblPos val="nextTo"/>
        <c:spPr>
          <a:ln w="9525" cap="flat" cmpd="sng"/>
          <a:effectLst/>
        </c:spPr>
        <c:crossAx val="4314216"/>
        <c:crosses val="autoZero"/>
        <c:auto val="1"/>
        <c:lblOffset val="100"/>
        <c:noMultiLvlLbl val="0"/>
      </c:catAx>
      <c:valAx>
        <c:axId val="4314216"/>
        <c:scaling>
          <c:orientation val="minMax"/>
        </c:scaling>
        <c:delete val="0"/>
        <c:axPos val="l"/>
        <c:title>
          <c:tx>
            <c:rich>
              <a:bodyPr vert="horz" rot="-5400000" wrap="square"/>
              <a:lstStyle/>
              <a:p>
                <a:pPr>
                  <a:defRPr lang="en-ZA" sz="1000" u="none" baseline="0">
                    <a:latin typeface="Calibri"/>
                    <a:ea typeface="Calibri"/>
                  </a:defRPr>
                </a:pPr>
                <a:r>
                  <a:rPr lang="en-ZA"/>
                  <a:t>Million priv.veh.</a:t>
                </a:r>
              </a:p>
            </c:rich>
          </c:tx>
          <c:layout/>
          <c:overlay val="0"/>
          <c:spPr>
            <a:noFill/>
            <a:effectLst/>
          </c:spPr>
        </c:title>
        <c:majorGridlines/>
        <c:numFmt formatCode="0" sourceLinked="0"/>
        <c:majorTickMark val="out"/>
        <c:minorTickMark val="none"/>
        <c:tickLblPos val="nextTo"/>
        <c:spPr>
          <a:ln w="9525" cap="flat" cmpd="sng"/>
          <a:effectLst/>
        </c:spPr>
        <c:crossAx val="29136649"/>
        <c:crosses val="autoZero"/>
        <c:crossBetween val="between"/>
      </c:valAx>
      <c:catAx>
        <c:axId val="25408270"/>
        <c:scaling>
          <c:orientation val="minMax"/>
        </c:scaling>
        <c:delete val="1"/>
        <c:axPos val="b"/>
        <c:majorTickMark val="out"/>
        <c:minorTickMark val="none"/>
        <c:tickLblPos val="nextTo"/>
        <c:spPr>
          <a:ln w="9525" cap="flat" cmpd="sng"/>
        </c:spPr>
        <c:crossAx val="581929"/>
        <c:crosses val="autoZero"/>
        <c:auto val="1"/>
        <c:lblOffset val="100"/>
        <c:noMultiLvlLbl val="0"/>
      </c:catAx>
      <c:valAx>
        <c:axId val="581929"/>
        <c:scaling>
          <c:orientation val="minMax"/>
        </c:scaling>
        <c:delete val="0"/>
        <c:axPos val="l"/>
        <c:title>
          <c:tx>
            <c:rich>
              <a:bodyPr vert="horz" rot="-5400000" wrap="square"/>
              <a:lstStyle/>
              <a:p>
                <a:pPr>
                  <a:defRPr lang="en-US" sz="1000" u="none" baseline="0">
                    <a:latin typeface="Calibri"/>
                    <a:ea typeface="Calibri"/>
                  </a:defRPr>
                </a:pPr>
                <a:r>
                  <a:rPr lang="en-US"/>
                  <a:t>Priv.veh/'000 person</a:t>
                </a:r>
              </a:p>
            </c:rich>
          </c:tx>
          <c:layout/>
          <c:overlay val="0"/>
          <c:spPr>
            <a:noFill/>
            <a:effectLst/>
          </c:spPr>
        </c:title>
        <c:numFmt formatCode="0" sourceLinked="0"/>
        <c:majorTickMark val="out"/>
        <c:minorTickMark val="none"/>
        <c:tickLblPos val="nextTo"/>
        <c:spPr>
          <a:ln w="9525" cap="flat" cmpd="sng"/>
          <a:effectLst/>
        </c:spPr>
        <c:crossAx val="25408270"/>
        <c:crosses val="max"/>
        <c:crossBetween val="between"/>
      </c:valAx>
    </c:plotArea>
    <c:legend>
      <c:legendPos val="r"/>
      <c:layout/>
      <c:overlay val="0"/>
    </c:legend>
    <c:plotVisOnly val="1"/>
    <c:dispBlanksAs val="gap"/>
    <c:showDLblsOverMax val="0"/>
  </c:chart>
</c:chartSpace>
</file>

<file path=xl/charts/chart23.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Low Income</a:t>
            </a:r>
          </a:p>
        </c:rich>
      </c:tx>
      <c:layout/>
      <c:overlay val="0"/>
      <c:spPr>
        <a:noFill/>
        <a:ln w="9525">
          <a:noFill/>
        </a:ln>
        <a:effectLst/>
      </c:spPr>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c:v>
                </c:pt>
                <c:pt idx="1">
                  <c:v>0.233815165876777</c:v>
                </c:pt>
                <c:pt idx="2">
                  <c:v>0.233815165876777</c:v>
                </c:pt>
                <c:pt idx="3">
                  <c:v>0.233815165876777</c:v>
                </c:pt>
                <c:pt idx="4">
                  <c:v>0.233815165876777</c:v>
                </c:pt>
                <c:pt idx="5">
                  <c:v>0.233815165876777</c:v>
                </c:pt>
                <c:pt idx="6">
                  <c:v>0.233815165876777</c:v>
                </c:pt>
                <c:pt idx="7">
                  <c:v>0.233815165876777</c:v>
                </c:pt>
                <c:pt idx="8">
                  <c:v>0.233815165876777</c:v>
                </c:pt>
                <c:pt idx="10">
                  <c:v>0.233815165876777</c:v>
                </c:pt>
                <c:pt idx="11">
                  <c:v>0.233815165876777</c:v>
                </c:pt>
                <c:pt idx="12">
                  <c:v>0.233815165876777</c:v>
                </c:pt>
                <c:pt idx="13">
                  <c:v>0.233815165876777</c:v>
                </c:pt>
                <c:pt idx="14">
                  <c:v>0.211018187203791</c:v>
                </c:pt>
                <c:pt idx="15">
                  <c:v>0.200467277843602</c:v>
                </c:pt>
                <c:pt idx="16">
                  <c:v>0.190443913951422</c:v>
                </c:pt>
                <c:pt idx="17">
                  <c:v>0.190443913951422</c:v>
                </c:pt>
                <c:pt idx="18">
                  <c:v>0.171875632341158</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0.0%</c:formatCode>
                <c:ptCount val="19"/>
                <c:pt idx="0">
                  <c:v>0.005</c:v>
                </c:pt>
                <c:pt idx="1">
                  <c:v>0.005</c:v>
                </c:pt>
                <c:pt idx="2">
                  <c:v>0.005</c:v>
                </c:pt>
                <c:pt idx="3">
                  <c:v>0.005</c:v>
                </c:pt>
                <c:pt idx="4">
                  <c:v>0.005</c:v>
                </c:pt>
                <c:pt idx="5">
                  <c:v>0.005</c:v>
                </c:pt>
                <c:pt idx="6">
                  <c:v>0.005</c:v>
                </c:pt>
                <c:pt idx="7">
                  <c:v>0.005</c:v>
                </c:pt>
                <c:pt idx="8">
                  <c:v>0.005</c:v>
                </c:pt>
                <c:pt idx="10">
                  <c:v>0.005</c:v>
                </c:pt>
                <c:pt idx="11">
                  <c:v>0.005</c:v>
                </c:pt>
                <c:pt idx="12">
                  <c:v>0.005</c:v>
                </c:pt>
                <c:pt idx="13">
                  <c:v>0.005</c:v>
                </c:pt>
                <c:pt idx="14">
                  <c:v>0.005</c:v>
                </c:pt>
                <c:pt idx="15">
                  <c:v>0.005</c:v>
                </c:pt>
                <c:pt idx="16">
                  <c:v>0.005</c:v>
                </c:pt>
                <c:pt idx="17">
                  <c:v>0.005</c:v>
                </c:pt>
                <c:pt idx="18">
                  <c:v>0.005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0.005</c:v>
                </c:pt>
                <c:pt idx="2">
                  <c:v>0.005</c:v>
                </c:pt>
                <c:pt idx="3">
                  <c:v>0.005</c:v>
                </c:pt>
                <c:pt idx="4">
                  <c:v>0.005</c:v>
                </c:pt>
                <c:pt idx="5">
                  <c:v>0.005</c:v>
                </c:pt>
                <c:pt idx="6">
                  <c:v>0.005</c:v>
                </c:pt>
                <c:pt idx="7">
                  <c:v>0.005</c:v>
                </c:pt>
                <c:pt idx="8">
                  <c:v>0.005</c:v>
                </c:pt>
                <c:pt idx="10">
                  <c:v>0</c:v>
                </c:pt>
                <c:pt idx="11">
                  <c:v>0.005</c:v>
                </c:pt>
                <c:pt idx="12">
                  <c:v>0.005</c:v>
                </c:pt>
                <c:pt idx="13">
                  <c:v>0.005</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0.761184834123223</c:v>
                </c:pt>
                <c:pt idx="1">
                  <c:v>0.756184834123223</c:v>
                </c:pt>
                <c:pt idx="2">
                  <c:v>0.756184834123223</c:v>
                </c:pt>
                <c:pt idx="3">
                  <c:v>0.756184834123223</c:v>
                </c:pt>
                <c:pt idx="4">
                  <c:v>0.756184834123223</c:v>
                </c:pt>
                <c:pt idx="5">
                  <c:v>0.756184834123223</c:v>
                </c:pt>
                <c:pt idx="6">
                  <c:v>0.756184834123223</c:v>
                </c:pt>
                <c:pt idx="7">
                  <c:v>0.756184834123223</c:v>
                </c:pt>
                <c:pt idx="8">
                  <c:v>0.756184834123223</c:v>
                </c:pt>
                <c:pt idx="10">
                  <c:v>0.761184834123223</c:v>
                </c:pt>
                <c:pt idx="11">
                  <c:v>0.756184834123223</c:v>
                </c:pt>
                <c:pt idx="12">
                  <c:v>0.756184834123223</c:v>
                </c:pt>
                <c:pt idx="13">
                  <c:v>0.756184834123223</c:v>
                </c:pt>
                <c:pt idx="14">
                  <c:v>0.783981812796209</c:v>
                </c:pt>
                <c:pt idx="15">
                  <c:v>0.794532722156398</c:v>
                </c:pt>
                <c:pt idx="16">
                  <c:v>0.804556086048578</c:v>
                </c:pt>
                <c:pt idx="17">
                  <c:v>0.804556086048578</c:v>
                </c:pt>
                <c:pt idx="18">
                  <c:v>0.823124367658842</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showLeaderLines val="0"/>
        </c:dLbls>
        <c:overlap val="100"/>
        <c:gapWidth val="60"/>
        <c:axId val="49188697"/>
        <c:axId val="8042489"/>
      </c:barChart>
      <c:catAx>
        <c:axId val="49188697"/>
        <c:scaling>
          <c:orientation val="minMax"/>
        </c:scaling>
        <c:delete val="0"/>
        <c:axPos val="b"/>
        <c:numFmt formatCode="General" sourceLinked="1"/>
        <c:majorTickMark val="out"/>
        <c:minorTickMark val="none"/>
        <c:tickLblPos val="nextTo"/>
        <c:spPr>
          <a:ln w="9525" cap="flat" cmpd="sng"/>
          <a:effectLst/>
        </c:spPr>
        <c:crossAx val="8042489"/>
        <c:crosses val="autoZero"/>
        <c:auto val="1"/>
        <c:lblOffset val="100"/>
        <c:noMultiLvlLbl val="0"/>
      </c:catAx>
      <c:valAx>
        <c:axId val="8042489"/>
        <c:scaling>
          <c:orientation val="minMax"/>
        </c:scaling>
        <c:delete val="0"/>
        <c:axPos val="l"/>
        <c:majorGridlines/>
        <c:numFmt formatCode="General" sourceLinked="1"/>
        <c:majorTickMark val="out"/>
        <c:minorTickMark val="none"/>
        <c:tickLblPos val="nextTo"/>
        <c:spPr>
          <a:ln w="9525" cap="flat" cmpd="sng"/>
          <a:effectLst/>
        </c:spPr>
        <c:crossAx val="49188697"/>
        <c:crosses val="autoZero"/>
        <c:crossBetween val="between"/>
      </c:valAx>
    </c:plotArea>
    <c:legend>
      <c:legendPos val="r"/>
      <c:layout/>
      <c:overlay val="0"/>
    </c:legend>
    <c:plotVisOnly val="1"/>
    <c:dispBlanksAs val="gap"/>
    <c:showDLblsOverMax val="0"/>
  </c:chart>
</c:chartSpace>
</file>

<file path=xl/charts/chart24.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Middle Income</a:t>
            </a:r>
          </a:p>
        </c:rich>
      </c:tx>
      <c:layout/>
      <c:overlay val="0"/>
      <c:spPr>
        <a:noFill/>
        <a:ln w="9525">
          <a:noFill/>
        </a:ln>
        <a:effectLst/>
      </c:spPr>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c:v>
                </c:pt>
                <c:pt idx="1">
                  <c:v>0.468995348454622</c:v>
                </c:pt>
                <c:pt idx="2">
                  <c:v>0.468995348454622</c:v>
                </c:pt>
                <c:pt idx="3">
                  <c:v>0.468995348454622</c:v>
                </c:pt>
                <c:pt idx="4">
                  <c:v>0.468995348454622</c:v>
                </c:pt>
                <c:pt idx="5">
                  <c:v>0.468995348454622</c:v>
                </c:pt>
                <c:pt idx="6">
                  <c:v>0.468995348454622</c:v>
                </c:pt>
                <c:pt idx="7">
                  <c:v>0.468995348454622</c:v>
                </c:pt>
                <c:pt idx="8">
                  <c:v>0.468995348454622</c:v>
                </c:pt>
                <c:pt idx="10">
                  <c:v>0.468995348454622</c:v>
                </c:pt>
                <c:pt idx="11">
                  <c:v>0.468995348454622</c:v>
                </c:pt>
                <c:pt idx="12">
                  <c:v>0.468995348454622</c:v>
                </c:pt>
                <c:pt idx="13">
                  <c:v>0.468995348454622</c:v>
                </c:pt>
                <c:pt idx="14">
                  <c:v>0.423268301980297</c:v>
                </c:pt>
                <c:pt idx="15">
                  <c:v>0.402104886881282</c:v>
                </c:pt>
                <c:pt idx="16">
                  <c:v>0.402104886881282</c:v>
                </c:pt>
                <c:pt idx="17">
                  <c:v>0.402104886881282</c:v>
                </c:pt>
                <c:pt idx="18">
                  <c:v>0.381999642537218</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c:v>0.01</c:v>
                </c:pt>
                <c:pt idx="3">
                  <c:v>0.01</c:v>
                </c:pt>
                <c:pt idx="4">
                  <c:v>0.01</c:v>
                </c:pt>
                <c:pt idx="5">
                  <c:v>0.01</c:v>
                </c:pt>
                <c:pt idx="6">
                  <c:v>0.01</c:v>
                </c:pt>
                <c:pt idx="7">
                  <c:v>0.01</c:v>
                </c:pt>
                <c:pt idx="8">
                  <c:v>0.01</c:v>
                </c:pt>
                <c:pt idx="10">
                  <c:v>0.01</c:v>
                </c:pt>
                <c:pt idx="11">
                  <c:v>0.01</c:v>
                </c:pt>
                <c:pt idx="12">
                  <c:v>0.01</c:v>
                </c:pt>
                <c:pt idx="13">
                  <c:v>0.01</c:v>
                </c:pt>
                <c:pt idx="14">
                  <c:v>0.01</c:v>
                </c:pt>
                <c:pt idx="15">
                  <c:v>0.01</c:v>
                </c:pt>
                <c:pt idx="16">
                  <c:v>0.01</c:v>
                </c:pt>
                <c:pt idx="17">
                  <c:v>0.01</c:v>
                </c:pt>
                <c:pt idx="18">
                  <c:v>0.01</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0.002</c:v>
                </c:pt>
                <c:pt idx="1">
                  <c:v>0.002</c:v>
                </c:pt>
                <c:pt idx="2">
                  <c:v>0.002</c:v>
                </c:pt>
                <c:pt idx="3">
                  <c:v>0.002</c:v>
                </c:pt>
                <c:pt idx="4">
                  <c:v>0.002</c:v>
                </c:pt>
                <c:pt idx="5">
                  <c:v>0.002</c:v>
                </c:pt>
                <c:pt idx="6">
                  <c:v>0.002</c:v>
                </c:pt>
                <c:pt idx="7">
                  <c:v>0.002</c:v>
                </c:pt>
                <c:pt idx="8">
                  <c:v>0.002</c:v>
                </c:pt>
                <c:pt idx="10">
                  <c:v>0.002</c:v>
                </c:pt>
                <c:pt idx="11">
                  <c:v>0.002</c:v>
                </c:pt>
                <c:pt idx="12">
                  <c:v>0.002</c:v>
                </c:pt>
                <c:pt idx="13">
                  <c:v>0.002</c:v>
                </c:pt>
                <c:pt idx="14">
                  <c:v>0.01</c:v>
                </c:pt>
                <c:pt idx="15">
                  <c:v>0.02</c:v>
                </c:pt>
                <c:pt idx="16">
                  <c:v>0.03</c:v>
                </c:pt>
                <c:pt idx="17">
                  <c:v>0.03</c:v>
                </c:pt>
                <c:pt idx="18">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c:v>
                </c:pt>
                <c:pt idx="1">
                  <c:v>0.519004651545377</c:v>
                </c:pt>
                <c:pt idx="2">
                  <c:v>0.519004651545377</c:v>
                </c:pt>
                <c:pt idx="3">
                  <c:v>0.519004651545377</c:v>
                </c:pt>
                <c:pt idx="4">
                  <c:v>0.519004651545377</c:v>
                </c:pt>
                <c:pt idx="5">
                  <c:v>0.519004651545377</c:v>
                </c:pt>
                <c:pt idx="6">
                  <c:v>0.519004651545377</c:v>
                </c:pt>
                <c:pt idx="7">
                  <c:v>0.519004651545377</c:v>
                </c:pt>
                <c:pt idx="8">
                  <c:v>0.519004651545377</c:v>
                </c:pt>
                <c:pt idx="10">
                  <c:v>0.519004651545377</c:v>
                </c:pt>
                <c:pt idx="11">
                  <c:v>0.519004651545377</c:v>
                </c:pt>
                <c:pt idx="12">
                  <c:v>0.519004651545377</c:v>
                </c:pt>
                <c:pt idx="13">
                  <c:v>0.519004651545377</c:v>
                </c:pt>
                <c:pt idx="14">
                  <c:v>0.556731698019703</c:v>
                </c:pt>
                <c:pt idx="15">
                  <c:v>0.567895113118718</c:v>
                </c:pt>
                <c:pt idx="16">
                  <c:v>0.557895113118718</c:v>
                </c:pt>
                <c:pt idx="17">
                  <c:v>0.557895113118718</c:v>
                </c:pt>
                <c:pt idx="18">
                  <c:v>0.578000357462782</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showLeaderLines val="0"/>
        </c:dLbls>
        <c:overlap val="100"/>
        <c:gapWidth val="60"/>
        <c:axId val="34791361"/>
        <c:axId val="12211942"/>
      </c:barChart>
      <c:catAx>
        <c:axId val="34791361"/>
        <c:scaling>
          <c:orientation val="minMax"/>
        </c:scaling>
        <c:delete val="0"/>
        <c:axPos val="b"/>
        <c:numFmt formatCode="General" sourceLinked="1"/>
        <c:majorTickMark val="out"/>
        <c:minorTickMark val="none"/>
        <c:tickLblPos val="nextTo"/>
        <c:spPr>
          <a:ln w="9525" cap="flat" cmpd="sng"/>
          <a:effectLst/>
        </c:spPr>
        <c:crossAx val="12211942"/>
        <c:crosses val="autoZero"/>
        <c:auto val="1"/>
        <c:lblOffset val="100"/>
        <c:noMultiLvlLbl val="0"/>
      </c:catAx>
      <c:valAx>
        <c:axId val="12211942"/>
        <c:scaling>
          <c:orientation val="minMax"/>
        </c:scaling>
        <c:delete val="0"/>
        <c:axPos val="l"/>
        <c:majorGridlines/>
        <c:numFmt formatCode="General" sourceLinked="1"/>
        <c:majorTickMark val="out"/>
        <c:minorTickMark val="none"/>
        <c:tickLblPos val="nextTo"/>
        <c:spPr>
          <a:ln w="9525" cap="flat" cmpd="sng"/>
          <a:effectLst/>
        </c:spPr>
        <c:crossAx val="34791361"/>
        <c:crosses val="autoZero"/>
        <c:crossBetween val="between"/>
      </c:valAx>
    </c:plotArea>
    <c:legend>
      <c:legendPos val="r"/>
      <c:layout/>
      <c:overlay val="0"/>
    </c:legend>
    <c:plotVisOnly val="1"/>
    <c:dispBlanksAs val="gap"/>
    <c:showDLblsOverMax val="0"/>
  </c:chart>
</c:chartSpace>
</file>

<file path=xl/charts/chart25.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High Income</a:t>
            </a:r>
          </a:p>
        </c:rich>
      </c:tx>
      <c:layout/>
      <c:overlay val="0"/>
      <c:spPr>
        <a:noFill/>
        <a:ln w="9525">
          <a:noFill/>
        </a:ln>
        <a:effectLst/>
      </c:spPr>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0.675905268606225</c:v>
                </c:pt>
                <c:pt idx="1">
                  <c:v>0.675905268606225</c:v>
                </c:pt>
                <c:pt idx="2">
                  <c:v>0.669643360435078</c:v>
                </c:pt>
                <c:pt idx="3">
                  <c:v>0.70154504975483</c:v>
                </c:pt>
                <c:pt idx="4">
                  <c:v>0.740145291645564</c:v>
                </c:pt>
                <c:pt idx="5">
                  <c:v>0.837940213670541</c:v>
                </c:pt>
                <c:pt idx="6">
                  <c:v>1.02019593604583</c:v>
                </c:pt>
                <c:pt idx="7">
                  <c:v>1.02019593604583</c:v>
                </c:pt>
                <c:pt idx="8">
                  <c:v>1.00432494815122</c:v>
                </c:pt>
                <c:pt idx="10">
                  <c:v>0.675905268606225</c:v>
                </c:pt>
                <c:pt idx="11">
                  <c:v>0.675905268606225</c:v>
                </c:pt>
                <c:pt idx="12">
                  <c:v>0.669643360435078</c:v>
                </c:pt>
                <c:pt idx="13">
                  <c:v>0.70154504975483</c:v>
                </c:pt>
                <c:pt idx="14">
                  <c:v>0.703600617870564</c:v>
                </c:pt>
                <c:pt idx="15">
                  <c:v>0.776652742730043</c:v>
                </c:pt>
                <c:pt idx="16">
                  <c:v>0.945578167660976</c:v>
                </c:pt>
                <c:pt idx="17">
                  <c:v>0.945578167660976</c:v>
                </c:pt>
                <c:pt idx="18">
                  <c:v>0.907596293896837</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0.0%</c:formatCode>
                <c:ptCount val="19"/>
                <c:pt idx="0">
                  <c:v>0.01</c:v>
                </c:pt>
                <c:pt idx="1">
                  <c:v>0.01</c:v>
                </c:pt>
                <c:pt idx="2">
                  <c:v>0.01</c:v>
                </c:pt>
                <c:pt idx="3">
                  <c:v>0.01</c:v>
                </c:pt>
                <c:pt idx="4">
                  <c:v>0.01</c:v>
                </c:pt>
                <c:pt idx="5">
                  <c:v>0.01</c:v>
                </c:pt>
                <c:pt idx="6">
                  <c:v>0.01</c:v>
                </c:pt>
                <c:pt idx="7">
                  <c:v>0.01</c:v>
                </c:pt>
                <c:pt idx="8">
                  <c:v>0.01</c:v>
                </c:pt>
                <c:pt idx="10">
                  <c:v>0.01</c:v>
                </c:pt>
                <c:pt idx="11">
                  <c:v>0.01</c:v>
                </c:pt>
                <c:pt idx="12">
                  <c:v>0.01</c:v>
                </c:pt>
                <c:pt idx="13">
                  <c:v>0.01</c:v>
                </c:pt>
                <c:pt idx="14">
                  <c:v>0.01</c:v>
                </c:pt>
                <c:pt idx="15">
                  <c:v>0.01</c:v>
                </c:pt>
                <c:pt idx="16">
                  <c:v>0.01</c:v>
                </c:pt>
                <c:pt idx="17">
                  <c:v>0.01</c:v>
                </c:pt>
                <c:pt idx="18">
                  <c:v>0.01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0.005</c:v>
                </c:pt>
                <c:pt idx="1">
                  <c:v>0.005</c:v>
                </c:pt>
                <c:pt idx="2">
                  <c:v>0.005</c:v>
                </c:pt>
                <c:pt idx="3">
                  <c:v>0.005</c:v>
                </c:pt>
                <c:pt idx="4">
                  <c:v>0.005</c:v>
                </c:pt>
                <c:pt idx="5">
                  <c:v>0.005</c:v>
                </c:pt>
                <c:pt idx="6">
                  <c:v>0.005</c:v>
                </c:pt>
                <c:pt idx="7">
                  <c:v>0.005</c:v>
                </c:pt>
                <c:pt idx="8">
                  <c:v>0.005</c:v>
                </c:pt>
                <c:pt idx="10">
                  <c:v>0.005</c:v>
                </c:pt>
                <c:pt idx="11">
                  <c:v>0.005</c:v>
                </c:pt>
                <c:pt idx="12">
                  <c:v>0.005</c:v>
                </c:pt>
                <c:pt idx="13">
                  <c:v>0.005</c:v>
                </c:pt>
                <c:pt idx="14">
                  <c:v>0.01</c:v>
                </c:pt>
                <c:pt idx="15">
                  <c:v>0.01</c:v>
                </c:pt>
                <c:pt idx="16">
                  <c:v>0.015</c:v>
                </c:pt>
                <c:pt idx="17">
                  <c:v>0.02</c:v>
                </c:pt>
                <c:pt idx="18">
                  <c:v>0.02</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c:v>
                </c:pt>
                <c:pt idx="1">
                  <c:v>0.309094731393775</c:v>
                </c:pt>
                <c:pt idx="2">
                  <c:v>0.315356639564922</c:v>
                </c:pt>
                <c:pt idx="3">
                  <c:v>0.28345495024517</c:v>
                </c:pt>
                <c:pt idx="4">
                  <c:v>0.244854708354436</c:v>
                </c:pt>
                <c:pt idx="5">
                  <c:v>0.147059786329459</c:v>
                </c:pt>
                <c:pt idx="6">
                  <c:v>-0.035195936045828</c:v>
                </c:pt>
                <c:pt idx="7">
                  <c:v>-0.035195936045828</c:v>
                </c:pt>
                <c:pt idx="8">
                  <c:v>-0.0193249481512181</c:v>
                </c:pt>
                <c:pt idx="10">
                  <c:v>0.309094731393775</c:v>
                </c:pt>
                <c:pt idx="11">
                  <c:v>0.309094731393775</c:v>
                </c:pt>
                <c:pt idx="12">
                  <c:v>0.315356639564922</c:v>
                </c:pt>
                <c:pt idx="13">
                  <c:v>0.28345495024517</c:v>
                </c:pt>
                <c:pt idx="14">
                  <c:v>0.276399382129436</c:v>
                </c:pt>
                <c:pt idx="15">
                  <c:v>0.203347257269957</c:v>
                </c:pt>
                <c:pt idx="16">
                  <c:v>0.029421832339024</c:v>
                </c:pt>
                <c:pt idx="17">
                  <c:v>0.024421832339024</c:v>
                </c:pt>
                <c:pt idx="18">
                  <c:v>0.0624037061031634</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showLeaderLines val="0"/>
        </c:dLbls>
        <c:overlap val="100"/>
        <c:gapWidth val="60"/>
        <c:axId val="24831853"/>
        <c:axId val="46363342"/>
      </c:barChart>
      <c:catAx>
        <c:axId val="24831853"/>
        <c:scaling>
          <c:orientation val="minMax"/>
        </c:scaling>
        <c:delete val="0"/>
        <c:axPos val="b"/>
        <c:numFmt formatCode="General" sourceLinked="1"/>
        <c:majorTickMark val="out"/>
        <c:minorTickMark val="none"/>
        <c:tickLblPos val="nextTo"/>
        <c:spPr>
          <a:ln w="9525" cap="flat" cmpd="sng"/>
          <a:effectLst/>
        </c:spPr>
        <c:crossAx val="46363342"/>
        <c:crosses val="autoZero"/>
        <c:auto val="1"/>
        <c:lblOffset val="100"/>
        <c:noMultiLvlLbl val="0"/>
      </c:catAx>
      <c:valAx>
        <c:axId val="46363342"/>
        <c:scaling>
          <c:orientation val="minMax"/>
        </c:scaling>
        <c:delete val="0"/>
        <c:axPos val="l"/>
        <c:majorGridlines/>
        <c:numFmt formatCode="General" sourceLinked="1"/>
        <c:majorTickMark val="out"/>
        <c:minorTickMark val="none"/>
        <c:tickLblPos val="nextTo"/>
        <c:spPr>
          <a:ln w="9525" cap="flat" cmpd="sng"/>
          <a:effectLst/>
        </c:spPr>
        <c:crossAx val="24831853"/>
        <c:crosses val="autoZero"/>
        <c:crossBetween val="between"/>
      </c:valAx>
    </c:plotArea>
    <c:legend>
      <c:legendPos val="r"/>
      <c:layout/>
      <c:overlay val="0"/>
    </c:legend>
    <c:plotVisOnly val="1"/>
    <c:dispBlanksAs val="gap"/>
    <c:showDLblsOverMax val="0"/>
  </c:chart>
</c:chartSpace>
</file>

<file path=xl/charts/chart26.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cmpd="sng">
              <a:solidFill>
                <a:schemeClr val="accent1"/>
              </a:solidFill>
              <a:round/>
            </a:ln>
            <a:effectLst/>
          </c:spPr>
          <c:marker>
            <c:symbol val="none"/>
          </c:marker>
          <c:val>
            <c:numRef>
              <c:f>PTRA!$N$219:$AU$219</c:f>
              <c:numCache>
                <c:formatCode>0.00</c:formatCode>
                <c:ptCount val="34"/>
                <c:pt idx="0">
                  <c:v>81.1386031348502</c:v>
                </c:pt>
                <c:pt idx="1">
                  <c:v>82.8775440688461</c:v>
                </c:pt>
                <c:pt idx="2">
                  <c:v>84.616485002842</c:v>
                </c:pt>
                <c:pt idx="3">
                  <c:v>78.3083495079737</c:v>
                </c:pt>
                <c:pt idx="4">
                  <c:v>79.5717255117826</c:v>
                </c:pt>
                <c:pt idx="5">
                  <c:v>83.0105263453376</c:v>
                </c:pt>
                <c:pt idx="6">
                  <c:v>86.4493271788925</c:v>
                </c:pt>
                <c:pt idx="7">
                  <c:v>86.4493271788925</c:v>
                </c:pt>
                <c:pt idx="8">
                  <c:v>86.4493271788925</c:v>
                </c:pt>
                <c:pt idx="9">
                  <c:v>89.8881280124475</c:v>
                </c:pt>
                <c:pt idx="10">
                  <c:v>93.3269288460024</c:v>
                </c:pt>
                <c:pt idx="11">
                  <c:v>96.7657296795574</c:v>
                </c:pt>
                <c:pt idx="12">
                  <c:v>100.204530513112</c:v>
                </c:pt>
                <c:pt idx="13">
                  <c:v>103.643331346667</c:v>
                </c:pt>
                <c:pt idx="14">
                  <c:v>107.082132180222</c:v>
                </c:pt>
                <c:pt idx="15">
                  <c:v>110.520933013777</c:v>
                </c:pt>
                <c:pt idx="16">
                  <c:v>115.267704111274</c:v>
                </c:pt>
                <c:pt idx="17">
                  <c:v>120.01447520877</c:v>
                </c:pt>
                <c:pt idx="18">
                  <c:v>120.01447520877</c:v>
                </c:pt>
                <c:pt idx="19">
                  <c:v>120.01447520877</c:v>
                </c:pt>
                <c:pt idx="20">
                  <c:v>124.761246306267</c:v>
                </c:pt>
                <c:pt idx="21">
                  <c:v>129.508017403764</c:v>
                </c:pt>
                <c:pt idx="22">
                  <c:v>134.25478850126</c:v>
                </c:pt>
                <c:pt idx="23">
                  <c:v>139.001559598757</c:v>
                </c:pt>
                <c:pt idx="24">
                  <c:v>143.748330696253</c:v>
                </c:pt>
                <c:pt idx="25">
                  <c:v>148.49510179375</c:v>
                </c:pt>
                <c:pt idx="26">
                  <c:v>148.49510179375</c:v>
                </c:pt>
                <c:pt idx="27">
                  <c:v>153.241872891246</c:v>
                </c:pt>
                <c:pt idx="28">
                  <c:v>157.988643988743</c:v>
                </c:pt>
                <c:pt idx="29">
                  <c:v>157.988643988743</c:v>
                </c:pt>
                <c:pt idx="30">
                  <c:v>186.45141167082</c:v>
                </c:pt>
                <c:pt idx="31">
                  <c:v>214.914179352896</c:v>
                </c:pt>
                <c:pt idx="32">
                  <c:v>234.872433863818</c:v>
                </c:pt>
                <c:pt idx="33">
                  <c:v>243.75712018368</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cmpd="sng">
              <a:solidFill>
                <a:schemeClr val="accent2"/>
              </a:solidFill>
              <a:round/>
            </a:ln>
            <a:effectLst/>
          </c:spPr>
          <c:marker>
            <c:symbol val="none"/>
          </c:marker>
          <c:val>
            <c:numRef>
              <c:f>PTRA!$N$220:$AU$220</c:f>
              <c:numCache>
                <c:formatCode>0.00</c:formatCode>
                <c:ptCount val="34"/>
                <c:pt idx="0">
                  <c:v>17.754191802068</c:v>
                </c:pt>
                <c:pt idx="1">
                  <c:v>17.867597432586</c:v>
                </c:pt>
                <c:pt idx="2">
                  <c:v>17.9810030631039</c:v>
                </c:pt>
                <c:pt idx="3">
                  <c:v>16.6405242704444</c:v>
                </c:pt>
                <c:pt idx="4">
                  <c:v>16.9089916712538</c:v>
                </c:pt>
                <c:pt idx="5">
                  <c:v>17.6397368483842</c:v>
                </c:pt>
                <c:pt idx="6">
                  <c:v>18.3704820255147</c:v>
                </c:pt>
                <c:pt idx="7">
                  <c:v>18.3704820255147</c:v>
                </c:pt>
                <c:pt idx="8">
                  <c:v>18.3704820255147</c:v>
                </c:pt>
                <c:pt idx="9">
                  <c:v>19.1012272026451</c:v>
                </c:pt>
                <c:pt idx="10">
                  <c:v>19.8319723797755</c:v>
                </c:pt>
                <c:pt idx="11">
                  <c:v>20.5627175569059</c:v>
                </c:pt>
                <c:pt idx="12">
                  <c:v>21.2934627340364</c:v>
                </c:pt>
                <c:pt idx="13">
                  <c:v>22.0242079111668</c:v>
                </c:pt>
                <c:pt idx="14">
                  <c:v>22.7549530882972</c:v>
                </c:pt>
                <c:pt idx="15">
                  <c:v>23.4856982654277</c:v>
                </c:pt>
                <c:pt idx="16">
                  <c:v>24.4943871236457</c:v>
                </c:pt>
                <c:pt idx="17">
                  <c:v>25.5030759818637</c:v>
                </c:pt>
                <c:pt idx="18">
                  <c:v>25.5030759818637</c:v>
                </c:pt>
                <c:pt idx="19">
                  <c:v>25.5030759818637</c:v>
                </c:pt>
                <c:pt idx="20">
                  <c:v>26.5117648400817</c:v>
                </c:pt>
                <c:pt idx="21">
                  <c:v>27.5204536982998</c:v>
                </c:pt>
                <c:pt idx="22">
                  <c:v>28.5291425565178</c:v>
                </c:pt>
                <c:pt idx="23">
                  <c:v>29.5378314147358</c:v>
                </c:pt>
                <c:pt idx="24">
                  <c:v>30.5465202729538</c:v>
                </c:pt>
                <c:pt idx="25">
                  <c:v>31.5552091311719</c:v>
                </c:pt>
                <c:pt idx="26">
                  <c:v>31.5552091311719</c:v>
                </c:pt>
                <c:pt idx="27">
                  <c:v>32.5638979893899</c:v>
                </c:pt>
                <c:pt idx="28">
                  <c:v>33.5725868476079</c:v>
                </c:pt>
                <c:pt idx="29">
                  <c:v>33.5725868476079</c:v>
                </c:pt>
                <c:pt idx="30">
                  <c:v>39.6209249800492</c:v>
                </c:pt>
                <c:pt idx="31">
                  <c:v>45.6692631124904</c:v>
                </c:pt>
                <c:pt idx="32">
                  <c:v>49.9103921960614</c:v>
                </c:pt>
                <c:pt idx="33">
                  <c:v>51.7983880390321</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cmpd="sng">
              <a:solidFill>
                <a:schemeClr val="accent3"/>
              </a:solidFill>
              <a:round/>
            </a:ln>
            <a:effectLst/>
          </c:spPr>
          <c:marker>
            <c:symbol val="none"/>
          </c:marker>
          <c:val>
            <c:numRef>
              <c:f>PTRA!$N$221:$AU$221</c:f>
              <c:numCache>
                <c:formatCode>0.00</c:formatCode>
                <c:ptCount val="34"/>
                <c:pt idx="0">
                  <c:v>5.92279120226325</c:v>
                </c:pt>
                <c:pt idx="1">
                  <c:v>4.54795469493491</c:v>
                </c:pt>
                <c:pt idx="2">
                  <c:v>3.17311818760658</c:v>
                </c:pt>
                <c:pt idx="3">
                  <c:v>2.93656310654901</c:v>
                </c:pt>
                <c:pt idx="4">
                  <c:v>2.98393970669185</c:v>
                </c:pt>
                <c:pt idx="5">
                  <c:v>3.11289473795016</c:v>
                </c:pt>
                <c:pt idx="6">
                  <c:v>3.24184976920847</c:v>
                </c:pt>
                <c:pt idx="7">
                  <c:v>3.24184976920847</c:v>
                </c:pt>
                <c:pt idx="8">
                  <c:v>3.24184976920847</c:v>
                </c:pt>
                <c:pt idx="9">
                  <c:v>3.37080480046678</c:v>
                </c:pt>
                <c:pt idx="10">
                  <c:v>3.49975983172509</c:v>
                </c:pt>
                <c:pt idx="11">
                  <c:v>3.6287148629834</c:v>
                </c:pt>
                <c:pt idx="12">
                  <c:v>3.75766989424171</c:v>
                </c:pt>
                <c:pt idx="13">
                  <c:v>3.88662492550002</c:v>
                </c:pt>
                <c:pt idx="14">
                  <c:v>4.01557995675834</c:v>
                </c:pt>
                <c:pt idx="15">
                  <c:v>4.14453498801664</c:v>
                </c:pt>
                <c:pt idx="16">
                  <c:v>4.32253890417277</c:v>
                </c:pt>
                <c:pt idx="17">
                  <c:v>4.50054282032889</c:v>
                </c:pt>
                <c:pt idx="18">
                  <c:v>4.50054282032889</c:v>
                </c:pt>
                <c:pt idx="19">
                  <c:v>4.50054282032889</c:v>
                </c:pt>
                <c:pt idx="20">
                  <c:v>4.67854673648501</c:v>
                </c:pt>
                <c:pt idx="21">
                  <c:v>4.85655065264113</c:v>
                </c:pt>
                <c:pt idx="22">
                  <c:v>5.03455456879725</c:v>
                </c:pt>
                <c:pt idx="23">
                  <c:v>5.21255848495338</c:v>
                </c:pt>
                <c:pt idx="24">
                  <c:v>5.3905624011095</c:v>
                </c:pt>
                <c:pt idx="25">
                  <c:v>5.56856631726562</c:v>
                </c:pt>
                <c:pt idx="26">
                  <c:v>5.56856631726562</c:v>
                </c:pt>
                <c:pt idx="27">
                  <c:v>5.74657023342174</c:v>
                </c:pt>
                <c:pt idx="28">
                  <c:v>5.92457414957786</c:v>
                </c:pt>
                <c:pt idx="29">
                  <c:v>5.92457414957786</c:v>
                </c:pt>
                <c:pt idx="30">
                  <c:v>6.99192793765573</c:v>
                </c:pt>
                <c:pt idx="31">
                  <c:v>8.05928172573361</c:v>
                </c:pt>
                <c:pt idx="32">
                  <c:v>8.80771626989318</c:v>
                </c:pt>
                <c:pt idx="33">
                  <c:v>9.14089200688801</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cmpd="sng">
              <a:solidFill>
                <a:schemeClr val="accent4"/>
              </a:solidFill>
              <a:round/>
            </a:ln>
            <a:effectLst/>
          </c:spPr>
          <c:marker>
            <c:symbol val="none"/>
          </c:marker>
          <c:val>
            <c:numRef>
              <c:f>PTRA!$N$222:$AU$222</c:f>
              <c:numCache>
                <c:formatCode>0.00</c:formatCode>
                <c:ptCount val="34"/>
                <c:pt idx="0">
                  <c:v>0.642966971788778</c:v>
                </c:pt>
                <c:pt idx="1">
                  <c:v>0.649290794812314</c:v>
                </c:pt>
                <c:pt idx="2">
                  <c:v>0.65561461783585</c:v>
                </c:pt>
                <c:pt idx="3">
                  <c:v>0.666626561101558</c:v>
                </c:pt>
                <c:pt idx="4">
                  <c:v>0.681659928511482</c:v>
                </c:pt>
                <c:pt idx="5">
                  <c:v>0.68233114655833</c:v>
                </c:pt>
                <c:pt idx="6">
                  <c:v>0.683002364605179</c:v>
                </c:pt>
                <c:pt idx="7">
                  <c:v>0.683002364605179</c:v>
                </c:pt>
                <c:pt idx="8">
                  <c:v>0.683002364605179</c:v>
                </c:pt>
                <c:pt idx="9">
                  <c:v>0.683673582652028</c:v>
                </c:pt>
                <c:pt idx="10">
                  <c:v>0.684344800698877</c:v>
                </c:pt>
                <c:pt idx="11">
                  <c:v>0.685016018745725</c:v>
                </c:pt>
                <c:pt idx="12">
                  <c:v>0.685687236792574</c:v>
                </c:pt>
                <c:pt idx="13">
                  <c:v>0.686358454839423</c:v>
                </c:pt>
                <c:pt idx="14">
                  <c:v>0.687029672886272</c:v>
                </c:pt>
                <c:pt idx="15">
                  <c:v>0.68770089093312</c:v>
                </c:pt>
                <c:pt idx="16">
                  <c:v>0.68446529022651</c:v>
                </c:pt>
                <c:pt idx="17">
                  <c:v>0.6812296895199</c:v>
                </c:pt>
                <c:pt idx="18">
                  <c:v>0.6812296895199</c:v>
                </c:pt>
                <c:pt idx="19">
                  <c:v>0.6812296895199</c:v>
                </c:pt>
                <c:pt idx="20">
                  <c:v>0.677994088813289</c:v>
                </c:pt>
                <c:pt idx="21">
                  <c:v>0.674758488106679</c:v>
                </c:pt>
                <c:pt idx="22">
                  <c:v>0.671522887400069</c:v>
                </c:pt>
                <c:pt idx="23">
                  <c:v>0.668287286693459</c:v>
                </c:pt>
                <c:pt idx="24">
                  <c:v>0.665051685986849</c:v>
                </c:pt>
                <c:pt idx="25">
                  <c:v>0.661816085280238</c:v>
                </c:pt>
                <c:pt idx="26">
                  <c:v>0.661816085280238</c:v>
                </c:pt>
                <c:pt idx="27">
                  <c:v>0.658580484573628</c:v>
                </c:pt>
                <c:pt idx="28">
                  <c:v>0.655344883867018</c:v>
                </c:pt>
                <c:pt idx="29">
                  <c:v>0.655344883867018</c:v>
                </c:pt>
                <c:pt idx="30">
                  <c:v>0.620229576085762</c:v>
                </c:pt>
                <c:pt idx="31">
                  <c:v>0.585114268304506</c:v>
                </c:pt>
                <c:pt idx="32">
                  <c:v>0.569784457596951</c:v>
                </c:pt>
                <c:pt idx="33">
                  <c:v>0.560585671404813</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cmpd="sng">
              <a:solidFill>
                <a:schemeClr val="accent5"/>
              </a:solidFill>
              <a:round/>
            </a:ln>
            <a:effectLst/>
          </c:spPr>
          <c:marker>
            <c:symbol val="none"/>
          </c:marker>
          <c:val>
            <c:numRef>
              <c:f>PTRA!$N$223:$AU$223</c:f>
              <c:numCache>
                <c:formatCode>0.00</c:formatCode>
                <c:ptCount val="34"/>
                <c:pt idx="0">
                  <c:v>7.21305054554549</c:v>
                </c:pt>
                <c:pt idx="1">
                  <c:v>7.28455552457654</c:v>
                </c:pt>
                <c:pt idx="2">
                  <c:v>7.35606050360759</c:v>
                </c:pt>
                <c:pt idx="3">
                  <c:v>7.4796155902715</c:v>
                </c:pt>
                <c:pt idx="4">
                  <c:v>7.64829145141292</c:v>
                </c:pt>
                <c:pt idx="5">
                  <c:v>7.65582258392493</c:v>
                </c:pt>
                <c:pt idx="6">
                  <c:v>7.66335371643694</c:v>
                </c:pt>
                <c:pt idx="7">
                  <c:v>7.66335371643694</c:v>
                </c:pt>
                <c:pt idx="8">
                  <c:v>7.66335371643694</c:v>
                </c:pt>
                <c:pt idx="9">
                  <c:v>7.67088484894895</c:v>
                </c:pt>
                <c:pt idx="10">
                  <c:v>7.67841598146096</c:v>
                </c:pt>
                <c:pt idx="11">
                  <c:v>7.68594711397297</c:v>
                </c:pt>
                <c:pt idx="12">
                  <c:v>7.69347824648498</c:v>
                </c:pt>
                <c:pt idx="13">
                  <c:v>7.70100937899698</c:v>
                </c:pt>
                <c:pt idx="14">
                  <c:v>7.70854051150899</c:v>
                </c:pt>
                <c:pt idx="15">
                  <c:v>7.71607164402101</c:v>
                </c:pt>
                <c:pt idx="16">
                  <c:v>7.67976788581332</c:v>
                </c:pt>
                <c:pt idx="17">
                  <c:v>7.64346412760563</c:v>
                </c:pt>
                <c:pt idx="18">
                  <c:v>7.64346412760563</c:v>
                </c:pt>
                <c:pt idx="19">
                  <c:v>7.64346412760563</c:v>
                </c:pt>
                <c:pt idx="20">
                  <c:v>7.60716036939793</c:v>
                </c:pt>
                <c:pt idx="21">
                  <c:v>7.57085661119024</c:v>
                </c:pt>
                <c:pt idx="22">
                  <c:v>7.53455285298255</c:v>
                </c:pt>
                <c:pt idx="23">
                  <c:v>7.49824909477486</c:v>
                </c:pt>
                <c:pt idx="24">
                  <c:v>7.46194533656717</c:v>
                </c:pt>
                <c:pt idx="25">
                  <c:v>7.42564157835948</c:v>
                </c:pt>
                <c:pt idx="26">
                  <c:v>7.42564157835948</c:v>
                </c:pt>
                <c:pt idx="27">
                  <c:v>7.38933782015179</c:v>
                </c:pt>
                <c:pt idx="28">
                  <c:v>7.3530340619441</c:v>
                </c:pt>
                <c:pt idx="29">
                  <c:v>7.3530340619441</c:v>
                </c:pt>
                <c:pt idx="30">
                  <c:v>6.95903685441631</c:v>
                </c:pt>
                <c:pt idx="31">
                  <c:v>6.56503964688853</c:v>
                </c:pt>
                <c:pt idx="32">
                  <c:v>6.39303766278716</c:v>
                </c:pt>
                <c:pt idx="33">
                  <c:v>6.28982637684531</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cmpd="sng">
              <a:solidFill>
                <a:schemeClr val="accent6"/>
              </a:solidFill>
              <a:round/>
            </a:ln>
            <a:effectLst/>
          </c:spPr>
          <c:marker>
            <c:symbol val="none"/>
          </c:marker>
          <c:val>
            <c:numRef>
              <c:f>PTRA!$N$224:$AU$224</c:f>
              <c:numCache>
                <c:formatCode>0.00</c:formatCode>
                <c:ptCount val="34"/>
                <c:pt idx="0">
                  <c:v>0.0727999829012243</c:v>
                </c:pt>
                <c:pt idx="1">
                  <c:v>0.0920547653837271</c:v>
                </c:pt>
                <c:pt idx="2">
                  <c:v>0.11130954786623</c:v>
                </c:pt>
                <c:pt idx="3">
                  <c:v>0.11091277099763</c:v>
                </c:pt>
                <c:pt idx="4">
                  <c:v>0.11320845736964</c:v>
                </c:pt>
                <c:pt idx="5">
                  <c:v>0.114339391975885</c:v>
                </c:pt>
                <c:pt idx="6">
                  <c:v>0.11547032658213</c:v>
                </c:pt>
                <c:pt idx="7">
                  <c:v>0.11547032658213</c:v>
                </c:pt>
                <c:pt idx="8">
                  <c:v>0.11547032658213</c:v>
                </c:pt>
                <c:pt idx="9">
                  <c:v>0.116601261188375</c:v>
                </c:pt>
                <c:pt idx="10">
                  <c:v>0.11773219579462</c:v>
                </c:pt>
                <c:pt idx="11">
                  <c:v>0.118863130400865</c:v>
                </c:pt>
                <c:pt idx="12">
                  <c:v>0.11999406500711</c:v>
                </c:pt>
                <c:pt idx="13">
                  <c:v>0.121124999613355</c:v>
                </c:pt>
                <c:pt idx="14">
                  <c:v>0.1222559342196</c:v>
                </c:pt>
                <c:pt idx="15">
                  <c:v>0.123386868825845</c:v>
                </c:pt>
                <c:pt idx="16">
                  <c:v>0.124367014299352</c:v>
                </c:pt>
                <c:pt idx="17">
                  <c:v>0.125347159772859</c:v>
                </c:pt>
                <c:pt idx="18">
                  <c:v>0.125347159772859</c:v>
                </c:pt>
                <c:pt idx="19">
                  <c:v>0.125347159772859</c:v>
                </c:pt>
                <c:pt idx="20">
                  <c:v>0.126327305246366</c:v>
                </c:pt>
                <c:pt idx="21">
                  <c:v>0.127307450719873</c:v>
                </c:pt>
                <c:pt idx="22">
                  <c:v>0.12828759619338</c:v>
                </c:pt>
                <c:pt idx="23">
                  <c:v>0.129267741666887</c:v>
                </c:pt>
                <c:pt idx="24">
                  <c:v>0.130247887140394</c:v>
                </c:pt>
                <c:pt idx="25">
                  <c:v>0.131228032613901</c:v>
                </c:pt>
                <c:pt idx="26">
                  <c:v>0.131228032613901</c:v>
                </c:pt>
                <c:pt idx="27">
                  <c:v>0.132208178087408</c:v>
                </c:pt>
                <c:pt idx="28">
                  <c:v>0.133188323560915</c:v>
                </c:pt>
                <c:pt idx="29">
                  <c:v>0.133188323560915</c:v>
                </c:pt>
                <c:pt idx="30">
                  <c:v>0.136884954349586</c:v>
                </c:pt>
                <c:pt idx="31">
                  <c:v>0.140581585138256</c:v>
                </c:pt>
                <c:pt idx="32">
                  <c:v>0.144734580908007</c:v>
                </c:pt>
                <c:pt idx="33">
                  <c:v>0.146406807250535</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cmpd="sng">
              <a:solidFill>
                <a:schemeClr val="accent1">
                  <a:lumMod val="60000"/>
                </a:schemeClr>
              </a:solidFill>
              <a:round/>
            </a:ln>
            <a:effectLst/>
          </c:spPr>
          <c:marker>
            <c:symbol val="none"/>
          </c:marker>
          <c:val>
            <c:numRef>
              <c:f>PTRA!$N$225:$AU$225</c:f>
              <c:numCache>
                <c:formatCode>0.00</c:formatCode>
                <c:ptCount val="34"/>
                <c:pt idx="0">
                  <c:v>8.70483175784016</c:v>
                </c:pt>
                <c:pt idx="1">
                  <c:v>8.7898700606729</c:v>
                </c:pt>
                <c:pt idx="2">
                  <c:v>8.87490836350563</c:v>
                </c:pt>
                <c:pt idx="3">
                  <c:v>9.02397457516192</c:v>
                </c:pt>
                <c:pt idx="4">
                  <c:v>9.22747790551535</c:v>
                </c:pt>
                <c:pt idx="5">
                  <c:v>9.23656403400556</c:v>
                </c:pt>
                <c:pt idx="6">
                  <c:v>9.24565016249576</c:v>
                </c:pt>
                <c:pt idx="7">
                  <c:v>9.24565016249576</c:v>
                </c:pt>
                <c:pt idx="8">
                  <c:v>9.24565016249576</c:v>
                </c:pt>
                <c:pt idx="9">
                  <c:v>9.25473629098597</c:v>
                </c:pt>
                <c:pt idx="10">
                  <c:v>9.26382241947617</c:v>
                </c:pt>
                <c:pt idx="11">
                  <c:v>9.27290854796638</c:v>
                </c:pt>
                <c:pt idx="12">
                  <c:v>9.28199467645658</c:v>
                </c:pt>
                <c:pt idx="13">
                  <c:v>9.29108080494679</c:v>
                </c:pt>
                <c:pt idx="14">
                  <c:v>9.30016693343699</c:v>
                </c:pt>
                <c:pt idx="15">
                  <c:v>9.3092530619272</c:v>
                </c:pt>
                <c:pt idx="16">
                  <c:v>9.26545345924774</c:v>
                </c:pt>
                <c:pt idx="17">
                  <c:v>9.22165385656827</c:v>
                </c:pt>
                <c:pt idx="18">
                  <c:v>9.22165385656827</c:v>
                </c:pt>
                <c:pt idx="19">
                  <c:v>9.22165385656827</c:v>
                </c:pt>
                <c:pt idx="20">
                  <c:v>9.17785425388881</c:v>
                </c:pt>
                <c:pt idx="21">
                  <c:v>9.13405465120934</c:v>
                </c:pt>
                <c:pt idx="22">
                  <c:v>9.09025504852987</c:v>
                </c:pt>
                <c:pt idx="23">
                  <c:v>9.04645544585041</c:v>
                </c:pt>
                <c:pt idx="24">
                  <c:v>9.00265584317094</c:v>
                </c:pt>
                <c:pt idx="25">
                  <c:v>8.95885624049148</c:v>
                </c:pt>
                <c:pt idx="26">
                  <c:v>8.95885624049148</c:v>
                </c:pt>
                <c:pt idx="27">
                  <c:v>8.91505663781201</c:v>
                </c:pt>
                <c:pt idx="28">
                  <c:v>8.87125703513255</c:v>
                </c:pt>
                <c:pt idx="29">
                  <c:v>8.87125703513255</c:v>
                </c:pt>
                <c:pt idx="30">
                  <c:v>8.39590897205295</c:v>
                </c:pt>
                <c:pt idx="31">
                  <c:v>7.92056090897335</c:v>
                </c:pt>
                <c:pt idx="32">
                  <c:v>7.7130446920401</c:v>
                </c:pt>
                <c:pt idx="33">
                  <c:v>7.58852278192743</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cmpd="sng">
              <a:solidFill>
                <a:schemeClr val="accent2">
                  <a:lumMod val="60000"/>
                </a:schemeClr>
              </a:solidFill>
              <a:round/>
            </a:ln>
            <a:effectLst/>
          </c:spPr>
          <c:marker>
            <c:symbol val="none"/>
          </c:marker>
          <c:val>
            <c:numRef>
              <c:f>PTRA!$N$226:$AU$226</c:f>
              <c:numCache>
                <c:formatCode>0.00</c:formatCode>
                <c:ptCount val="34"/>
                <c:pt idx="0">
                  <c:v>0.648541368392126</c:v>
                </c:pt>
                <c:pt idx="1">
                  <c:v>0.674056138439911</c:v>
                </c:pt>
                <c:pt idx="2">
                  <c:v>0.699570908487696</c:v>
                </c:pt>
                <c:pt idx="3">
                  <c:v>0.642482529771293</c:v>
                </c:pt>
                <c:pt idx="4">
                  <c:v>0.63988638610906</c:v>
                </c:pt>
                <c:pt idx="5">
                  <c:v>0.666544148170972</c:v>
                </c:pt>
                <c:pt idx="6">
                  <c:v>0.693201910232884</c:v>
                </c:pt>
                <c:pt idx="7">
                  <c:v>0.693201910232884</c:v>
                </c:pt>
                <c:pt idx="8">
                  <c:v>0.693201910232884</c:v>
                </c:pt>
                <c:pt idx="9">
                  <c:v>0.719859672294797</c:v>
                </c:pt>
                <c:pt idx="10">
                  <c:v>0.746517434356709</c:v>
                </c:pt>
                <c:pt idx="11">
                  <c:v>0.773175196418621</c:v>
                </c:pt>
                <c:pt idx="12">
                  <c:v>0.799832958480533</c:v>
                </c:pt>
                <c:pt idx="13">
                  <c:v>0.826490720542446</c:v>
                </c:pt>
                <c:pt idx="14">
                  <c:v>0.853148482604358</c:v>
                </c:pt>
                <c:pt idx="15">
                  <c:v>0.879806244666271</c:v>
                </c:pt>
                <c:pt idx="16">
                  <c:v>0.908557499048633</c:v>
                </c:pt>
                <c:pt idx="17">
                  <c:v>0.937308753430996</c:v>
                </c:pt>
                <c:pt idx="18">
                  <c:v>0.937308753430996</c:v>
                </c:pt>
                <c:pt idx="19">
                  <c:v>0.937308753430996</c:v>
                </c:pt>
                <c:pt idx="20">
                  <c:v>0.966060007813358</c:v>
                </c:pt>
                <c:pt idx="21">
                  <c:v>0.994811262195721</c:v>
                </c:pt>
                <c:pt idx="22">
                  <c:v>1.02356251657808</c:v>
                </c:pt>
                <c:pt idx="23">
                  <c:v>1.05231377096045</c:v>
                </c:pt>
                <c:pt idx="24">
                  <c:v>1.08106502534281</c:v>
                </c:pt>
                <c:pt idx="25">
                  <c:v>1.10981627972517</c:v>
                </c:pt>
                <c:pt idx="26">
                  <c:v>1.10981627972517</c:v>
                </c:pt>
                <c:pt idx="27">
                  <c:v>1.13856753410753</c:v>
                </c:pt>
                <c:pt idx="28">
                  <c:v>1.1673187884899</c:v>
                </c:pt>
                <c:pt idx="29">
                  <c:v>1.1673187884899</c:v>
                </c:pt>
                <c:pt idx="30">
                  <c:v>1.27078341252075</c:v>
                </c:pt>
                <c:pt idx="31">
                  <c:v>1.37424803655161</c:v>
                </c:pt>
                <c:pt idx="32">
                  <c:v>1.50734943032265</c:v>
                </c:pt>
                <c:pt idx="33">
                  <c:v>1.59042465960345</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showLeaderLines val="0"/>
        </c:dLbls>
        <c:marker val="1"/>
        <c:axId val="24381254"/>
        <c:axId val="29691180"/>
      </c:lineChart>
      <c:catAx>
        <c:axId val="24381254"/>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9691180"/>
        <c:crosses val="autoZero"/>
        <c:auto val="1"/>
        <c:lblOffset val="100"/>
        <c:noMultiLvlLbl val="0"/>
      </c:catAx>
      <c:valAx>
        <c:axId val="29691180"/>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4381254"/>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solidFill>
        <a:schemeClr val="tx1">
          <a:lumMod val="15000"/>
          <a:lumOff val="85000"/>
        </a:schemeClr>
      </a:solidFill>
      <a:round/>
    </a:ln>
    <a:effectLst/>
  </c:spPr>
</c:chartSpace>
</file>

<file path=xl/charts/chart27.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vert="horz" rot="0" spcFirstLastPara="1" vertOverflow="ellipsis" anchor="ctr" anchorCtr="1" wrap="square"/>
          <a:lstStyle/>
          <a:p>
            <a:pPr>
              <a:defRPr lang="en-ZA" sz="1400" b="0" i="0" u="none" baseline="0">
                <a:solidFill>
                  <a:schemeClr val="tx1">
                    <a:lumMod val="65000"/>
                    <a:lumOff val="35000"/>
                  </a:schemeClr>
                </a:solidFill>
                <a:latin typeface="+mn-lt"/>
                <a:ea typeface="+mn-ea"/>
                <a:cs typeface="+mn-cs"/>
              </a:defRPr>
            </a:pPr>
            <a:r>
              <a:rPr lang="en-ZA"/>
              <a:t>Modal Share</a:t>
            </a:r>
          </a:p>
        </c:rich>
      </c:tx>
      <c:layout/>
      <c:overlay val="1"/>
      <c:spPr>
        <a:noFill/>
        <a:ln w="9525">
          <a:noFill/>
        </a:ln>
        <a:effectLst/>
      </c:spPr>
    </c:title>
    <c:autoTitleDeleted val="0"/>
    <c:plotArea>
      <c:layout/>
      <c:lineChart>
        <c:grouping val="standard"/>
        <c:varyColors val="0"/>
        <c:ser>
          <c:idx val="0"/>
          <c:order val="0"/>
          <c:tx>
            <c:strRef>
              <c:f>PTRA!$C$181</c:f>
              <c:strCache>
                <c:ptCount val="1"/>
                <c:pt idx="0">
                  <c:v>private</c:v>
                </c:pt>
              </c:strCache>
            </c:strRef>
          </c:tx>
          <c:spPr>
            <a:ln w="28575" cap="rnd" cmpd="sng">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0.525033869379189</c:v>
                </c:pt>
                <c:pt idx="1">
                  <c:v>0.529209720093285</c:v>
                </c:pt>
                <c:pt idx="2">
                  <c:v>0.505944146111155</c:v>
                </c:pt>
                <c:pt idx="3">
                  <c:v>0.504410844261704</c:v>
                </c:pt>
                <c:pt idx="4">
                  <c:v>0.58273561071985</c:v>
                </c:pt>
                <c:pt idx="5">
                  <c:v>0.675702225627483</c:v>
                </c:pt>
                <c:pt idx="6">
                  <c:v>0.675702225627483</c:v>
                </c:pt>
                <c:pt idx="7">
                  <c:v>0.675702225627483</c:v>
                </c:pt>
                <c:pt idx="8">
                  <c:v>0.787785340059372</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cmpd="sng">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c:v>
                </c:pt>
                <c:pt idx="1">
                  <c:v>0.470790279906715</c:v>
                </c:pt>
                <c:pt idx="2">
                  <c:v>0.494055853888845</c:v>
                </c:pt>
                <c:pt idx="3">
                  <c:v>0.495589155738296</c:v>
                </c:pt>
                <c:pt idx="4">
                  <c:v>0.41726438928015</c:v>
                </c:pt>
                <c:pt idx="5">
                  <c:v>0.324297774372517</c:v>
                </c:pt>
                <c:pt idx="6">
                  <c:v>0.324297774372517</c:v>
                </c:pt>
                <c:pt idx="7">
                  <c:v>0.324297774372517</c:v>
                </c:pt>
                <c:pt idx="8">
                  <c:v>0.212214659940628</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showLeaderLines val="0"/>
        </c:dLbls>
        <c:marker val="1"/>
        <c:axId val="35116382"/>
        <c:axId val="24237742"/>
      </c:lineChart>
      <c:catAx>
        <c:axId val="35116382"/>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4237742"/>
        <c:crosses val="autoZero"/>
        <c:auto val="1"/>
        <c:lblOffset val="100"/>
        <c:noMultiLvlLbl val="0"/>
      </c:catAx>
      <c:valAx>
        <c:axId val="24237742"/>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5116382"/>
        <c:crosses val="autoZero"/>
        <c:crossBetween val="between"/>
      </c:valAx>
      <c:spPr>
        <a:noFill/>
        <a:ln w="9525">
          <a:noFill/>
        </a:ln>
        <a:effectLst/>
      </c:spPr>
    </c:plotArea>
    <c:legend>
      <c:legendPos val="r"/>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28.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Ref>
      </c:tx>
      <c:layout/>
      <c:overlay val="0"/>
      <c:spPr>
        <a:noFill/>
        <a:ln w="9525">
          <a:noFill/>
        </a:ln>
        <a:effectLst/>
      </c:spPr>
      <c:txPr>
        <a:bodyPr vert="horz" rot="0"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80.7379363648828</c:v>
                </c:pt>
                <c:pt idx="1">
                  <c:v>84.616485002842</c:v>
                </c:pt>
                <c:pt idx="2">
                  <c:v>78.3083495079737</c:v>
                </c:pt>
                <c:pt idx="3">
                  <c:v>79.5717255117826</c:v>
                </c:pt>
                <c:pt idx="4">
                  <c:v>110.520933013777</c:v>
                </c:pt>
                <c:pt idx="5">
                  <c:v>157.988643988743</c:v>
                </c:pt>
                <c:pt idx="6">
                  <c:v>214.914179352896</c:v>
                </c:pt>
                <c:pt idx="7">
                  <c:v>234.872433863818</c:v>
                </c:pt>
                <c:pt idx="8">
                  <c:v>243.75712018368</c:v>
                </c:pt>
              </c:numCache>
            </c:numRef>
          </c:val>
          <c:smooth val="0"/>
          <c:extLst>
            <c:ext xmlns:c16="http://schemas.microsoft.com/office/drawing/2014/chart" uri="{C3380CC4-5D6E-409C-BE32-E72D297353CC}">
              <c16:uniqueId val="{00000004-22DB-40D9-B7BA-6341975BE98D}"/>
            </c:ext>
          </c:extLst>
        </c:ser>
        <c:ser>
          <c:idx val="0"/>
          <c:order val="1"/>
          <c:spPr>
            <a:ln w="28575" cap="rnd" cmpd="sng">
              <a:solidFill>
                <a:schemeClr val="accent1"/>
              </a:solidFill>
              <a:round/>
            </a:ln>
            <a:effectLst/>
          </c:spPr>
          <c:marker>
            <c:symbol val="none"/>
          </c:marker>
          <c:val>
            <c:numRef>
              <c:f>PTRA!$Y$149:$AG$149</c:f>
              <c:numCache>
                <c:formatCode>0.0</c:formatCode>
                <c:ptCount val="9"/>
                <c:pt idx="0">
                  <c:v>80.7379363648828</c:v>
                </c:pt>
                <c:pt idx="1">
                  <c:v>84.616485002842</c:v>
                </c:pt>
                <c:pt idx="2">
                  <c:v>78.3083495079737</c:v>
                </c:pt>
                <c:pt idx="3">
                  <c:v>79.5717255117826</c:v>
                </c:pt>
                <c:pt idx="4">
                  <c:v>100.609651645567</c:v>
                </c:pt>
                <c:pt idx="5">
                  <c:v>135.516437519787</c:v>
                </c:pt>
                <c:pt idx="6">
                  <c:v>184.119218512264</c:v>
                </c:pt>
                <c:pt idx="7">
                  <c:v>201.333632008607</c:v>
                </c:pt>
                <c:pt idx="8">
                  <c:v>197.228224801195</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showLeaderLines val="0"/>
        </c:dLbls>
        <c:marker val="1"/>
        <c:axId val="37722065"/>
        <c:axId val="53539146"/>
      </c:lineChart>
      <c:catAx>
        <c:axId val="37722065"/>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53539146"/>
        <c:crosses val="autoZero"/>
        <c:auto val="1"/>
        <c:lblOffset val="100"/>
        <c:noMultiLvlLbl val="0"/>
      </c:catAx>
      <c:valAx>
        <c:axId val="53539146"/>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7722065"/>
        <c:crosses val="autoZero"/>
        <c:crossBetween val="between"/>
      </c:valAx>
    </c:plotArea>
    <c:plotVisOnly val="1"/>
    <c:dispBlanksAs val="gap"/>
    <c:showDLblsOverMax val="0"/>
  </c:chart>
</c:chartSpace>
</file>

<file path=xl/charts/chart29.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cmpd="sng">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c:v>
                </c:pt>
                <c:pt idx="2">
                  <c:v>0.801995373048005</c:v>
                </c:pt>
                <c:pt idx="3">
                  <c:v>0.776923076923077</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cmpd="sng">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c:v>1</c:v>
                </c:pt>
                <c:pt idx="1">
                  <c:v>0.553846153846154</c:v>
                </c:pt>
                <c:pt idx="2">
                  <c:v>0.511538461538461</c:v>
                </c:pt>
                <c:pt idx="3">
                  <c:v>0.469230769230769</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showLeaderLines val="0"/>
        </c:dLbls>
        <c:marker val="1"/>
        <c:axId val="53534667"/>
        <c:axId val="34625655"/>
      </c:lineChart>
      <c:catAx>
        <c:axId val="53534667"/>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4625655"/>
        <c:crosses val="autoZero"/>
        <c:auto val="1"/>
        <c:lblOffset val="100"/>
        <c:noMultiLvlLbl val="0"/>
      </c:catAx>
      <c:valAx>
        <c:axId val="34625655"/>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53534667"/>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Relationships xmlns="http://schemas.openxmlformats.org/package/2006/relationships"><Relationship Id="rId1" Type="http://schemas.openxmlformats.org/officeDocument/2006/relationships/chart" Target="../charts/chart1.xml" /></Relationships>
</file>

<file path=xl/drawings/_rels/drawing2.xml.rels><?xml version="1.0" encoding="UTF-8" standalone="yes"?><Relationships xmlns="http://schemas.openxmlformats.org/package/2006/relationships"><Relationship Id="rId1" Type="http://schemas.openxmlformats.org/officeDocument/2006/relationships/chart" Target="../charts/chart2.xml" /></Relationships>
</file>

<file path=xl/drawings/_rels/drawing3.xml.rels><?xml version="1.0" encoding="UTF-8" standalone="yes"?><Relationships xmlns="http://schemas.openxmlformats.org/package/2006/relationships"><Relationship Id="rId5" Type="http://schemas.openxmlformats.org/officeDocument/2006/relationships/chart" Target="../charts/chart7.xml" /><Relationship Id="rId4" Type="http://schemas.openxmlformats.org/officeDocument/2006/relationships/chart" Target="../charts/chart6.xml" /><Relationship Id="rId2" Type="http://schemas.openxmlformats.org/officeDocument/2006/relationships/chart" Target="../charts/chart4.xml" /><Relationship Id="rId3" Type="http://schemas.openxmlformats.org/officeDocument/2006/relationships/chart" Target="../charts/chart5.xml" /><Relationship Id="rId1" Type="http://schemas.openxmlformats.org/officeDocument/2006/relationships/chart" Target="../charts/chart3.xml" /></Relationships>
</file>

<file path=xl/drawings/_rels/drawing4.xml.rels><?xml version="1.0" encoding="UTF-8" standalone="yes"?><Relationships xmlns="http://schemas.openxmlformats.org/package/2006/relationships"><Relationship Id="rId3" Type="http://schemas.openxmlformats.org/officeDocument/2006/relationships/chart" Target="../charts/chart10.xml" /><Relationship Id="rId4" Type="http://schemas.openxmlformats.org/officeDocument/2006/relationships/chart" Target="../charts/chart11.xml" /><Relationship Id="rId2" Type="http://schemas.openxmlformats.org/officeDocument/2006/relationships/chart" Target="../charts/chart9.xml" /><Relationship Id="rId1" Type="http://schemas.openxmlformats.org/officeDocument/2006/relationships/chart" Target="../charts/chart8.xml" /><Relationship Id="rId6" Type="http://schemas.openxmlformats.org/officeDocument/2006/relationships/image" Target="../media/image1.png" /><Relationship Id="rId5" Type="http://schemas.openxmlformats.org/officeDocument/2006/relationships/image" Target="../media/image1.emf" /></Relationships>
</file>

<file path=xl/drawings/_rels/drawing5.xml.rels><?xml version="1.0" encoding="UTF-8" standalone="yes"?><Relationships xmlns="http://schemas.openxmlformats.org/package/2006/relationships"><Relationship Id="rId16" Type="http://schemas.openxmlformats.org/officeDocument/2006/relationships/image" Target="../media/image2.emf" /><Relationship Id="rId14" Type="http://schemas.openxmlformats.org/officeDocument/2006/relationships/chart" Target="../charts/chart25.xml" /><Relationship Id="rId1" Type="http://schemas.openxmlformats.org/officeDocument/2006/relationships/chart" Target="../charts/chart12.xml" /><Relationship Id="rId18" Type="http://schemas.openxmlformats.org/officeDocument/2006/relationships/chart" Target="../charts/chart28.xml" /><Relationship Id="rId5" Type="http://schemas.openxmlformats.org/officeDocument/2006/relationships/chart" Target="../charts/chart16.xml" /><Relationship Id="rId9" Type="http://schemas.openxmlformats.org/officeDocument/2006/relationships/chart" Target="../charts/chart20.xml" /><Relationship Id="rId17" Type="http://schemas.openxmlformats.org/officeDocument/2006/relationships/chart" Target="../charts/chart27.xml" /><Relationship Id="rId6" Type="http://schemas.openxmlformats.org/officeDocument/2006/relationships/chart" Target="../charts/chart17.xml" /><Relationship Id="rId15" Type="http://schemas.openxmlformats.org/officeDocument/2006/relationships/chart" Target="../charts/chart26.xml" /><Relationship Id="rId2" Type="http://schemas.openxmlformats.org/officeDocument/2006/relationships/chart" Target="../charts/chart13.xml" /><Relationship Id="rId4" Type="http://schemas.openxmlformats.org/officeDocument/2006/relationships/chart" Target="../charts/chart15.xml" /><Relationship Id="rId10" Type="http://schemas.openxmlformats.org/officeDocument/2006/relationships/chart" Target="../charts/chart21.xml" /><Relationship Id="rId11" Type="http://schemas.openxmlformats.org/officeDocument/2006/relationships/chart" Target="../charts/chart22.xml" /><Relationship Id="rId12" Type="http://schemas.openxmlformats.org/officeDocument/2006/relationships/chart" Target="../charts/chart23.xml" /><Relationship Id="rId13" Type="http://schemas.openxmlformats.org/officeDocument/2006/relationships/chart" Target="../charts/chart24.xml" /><Relationship Id="rId3" Type="http://schemas.openxmlformats.org/officeDocument/2006/relationships/chart" Target="../charts/chart14.xml" /><Relationship Id="rId7" Type="http://schemas.openxmlformats.org/officeDocument/2006/relationships/chart" Target="../charts/chart18.xml" /><Relationship Id="rId8" Type="http://schemas.openxmlformats.org/officeDocument/2006/relationships/chart" Target="../charts/chart19.xml" /></Relationships>
</file>

<file path=xl/drawings/_rels/drawing6.xml.rels><?xml version="1.0" encoding="UTF-8" standalone="yes"?><Relationships xmlns="http://schemas.openxmlformats.org/package/2006/relationships"><Relationship Id="rId2" Type="http://schemas.openxmlformats.org/officeDocument/2006/relationships/image" Target="../media/image2.png" /><Relationship Id="rId1" Type="http://schemas.openxmlformats.org/officeDocument/2006/relationships/chart" Target="../charts/chart29.xml" /></Relationships>
</file>

<file path=xl/drawings/drawing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35</xdr:col>
      <xdr:colOff>276225</xdr:colOff>
      <xdr:row>109</xdr:row>
      <xdr:rowOff>119062</xdr:rowOff>
    </xdr:from>
    <xdr:to>
      <xdr:col>43</xdr:col>
      <xdr:colOff>200025</xdr:colOff>
      <xdr:row>124</xdr:row>
      <xdr:rowOff>4762</xdr:rowOff>
    </xdr:to>
    <xdr:graphicFrame>
      <xdr:nvGraphicFramePr>
        <xdr:cNvPr id="2" name="Chart 1">
          <a:extLst>
            <a:ext uri="{FF2B5EF4-FFF2-40B4-BE49-F238E27FC236}">
              <a16:creationId xmlns:a16="http://schemas.microsoft.com/office/drawing/2014/main" id="{37c5dc4c-6520-1b04-0cb5-7e446a950cbc}"/>
            </a:ext>
          </a:extLst>
        </xdr:cNvPr>
        <xdr:cNvGraphicFramePr/>
      </xdr:nvGraphicFramePr>
      <xdr:xfrm>
        <a:off x="20612100" y="20878800"/>
        <a:ext cx="4572000" cy="2743200"/>
      </xdr:xfrm>
      <a:graphic>
        <a:graphicData uri="http://schemas.openxmlformats.org/drawingml/2006/chart">
          <c:chart xmlns:c="http://schemas.openxmlformats.org/drawingml/2006/chart"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11</xdr:col>
      <xdr:colOff>0</xdr:colOff>
      <xdr:row>45</xdr:row>
      <xdr:rowOff>153987</xdr:rowOff>
    </xdr:from>
    <xdr:to>
      <xdr:col>17</xdr:col>
      <xdr:colOff>47625</xdr:colOff>
      <xdr:row>60</xdr:row>
      <xdr:rowOff>114300</xdr:rowOff>
    </xdr:to>
    <xdr:graphicFrame>
      <xdr:nvGraphicFramePr>
        <xdr:cNvPr id="2" name="Chart 1">
          <a:extLst>
            <a:ext uri="{FF2B5EF4-FFF2-40B4-BE49-F238E27FC236}">
              <a16:creationId xmlns:a16="http://schemas.microsoft.com/office/drawing/2014/main" id="{6833e26b-f257-4264-a71e-5e9daea03169}"/>
            </a:ext>
          </a:extLst>
        </xdr:cNvPr>
        <xdr:cNvGraphicFramePr/>
      </xdr:nvGraphicFramePr>
      <xdr:xfrm>
        <a:off x="12325350" y="8905875"/>
        <a:ext cx="5238750" cy="2876550"/>
      </xdr:xfrm>
      <a:graphic>
        <a:graphicData uri="http://schemas.openxmlformats.org/drawingml/2006/chart">
          <c:chart xmlns:c="http://schemas.openxmlformats.org/drawingml/2006/chart"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28</xdr:col>
      <xdr:colOff>143666</xdr:colOff>
      <xdr:row>50</xdr:row>
      <xdr:rowOff>87160</xdr:rowOff>
    </xdr:from>
    <xdr:to>
      <xdr:col>38</xdr:col>
      <xdr:colOff>143665</xdr:colOff>
      <xdr:row>65</xdr:row>
      <xdr:rowOff>129582</xdr:rowOff>
    </xdr:to>
    <xdr:graphicFrame>
      <xdr:nvGraphicFramePr>
        <xdr:cNvPr id="2" name="Chart 1">
          <a:extLst>
            <a:ext uri="{FF2B5EF4-FFF2-40B4-BE49-F238E27FC236}">
              <a16:creationId xmlns:a16="http://schemas.microsoft.com/office/drawing/2014/main" id="{d528e921-05b9-4324-9566-6cb7f28bbc85}"/>
            </a:ext>
          </a:extLst>
        </xdr:cNvPr>
        <xdr:cNvGraphicFramePr/>
      </xdr:nvGraphicFramePr>
      <xdr:xfrm>
        <a:off x="22117050" y="9705975"/>
        <a:ext cx="4572000" cy="2905125"/>
      </xdr:xfrm>
      <a:graphic>
        <a:graphicData uri="http://schemas.openxmlformats.org/drawingml/2006/chart">
          <c:chart xmlns:c="http://schemas.openxmlformats.org/drawingml/2006/chart"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xdr:nvGraphicFramePr>
        <xdr:cNvPr id="3" name="Chart 2">
          <a:extLst>
            <a:ext uri="{FF2B5EF4-FFF2-40B4-BE49-F238E27FC236}">
              <a16:creationId xmlns:a16="http://schemas.microsoft.com/office/drawing/2014/main" id="{789f70a0-c50c-4643-abf0-c11157c0ec30}"/>
            </a:ext>
          </a:extLst>
        </xdr:cNvPr>
        <xdr:cNvGraphicFramePr/>
      </xdr:nvGraphicFramePr>
      <xdr:xfrm>
        <a:off x="31384875" y="48186975"/>
        <a:ext cx="4524375" cy="2228850"/>
      </xdr:xfrm>
      <a:graphic>
        <a:graphicData uri="http://schemas.openxmlformats.org/drawingml/2006/chart">
          <c:chart xmlns:c="http://schemas.openxmlformats.org/drawingml/2006/chart"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xdr:nvGraphicFramePr>
        <xdr:cNvPr id="4" name="Chart 3">
          <a:extLst>
            <a:ext uri="{FF2B5EF4-FFF2-40B4-BE49-F238E27FC236}">
              <a16:creationId xmlns:a16="http://schemas.microsoft.com/office/drawing/2014/main" id="{fe8b06a7-3499-49c8-8c37-b9fb8edc5fdd}"/>
            </a:ext>
          </a:extLst>
        </xdr:cNvPr>
        <xdr:cNvGraphicFramePr/>
      </xdr:nvGraphicFramePr>
      <xdr:xfrm>
        <a:off x="35604450" y="2733675"/>
        <a:ext cx="4419600" cy="4591050"/>
      </xdr:xfrm>
      <a:graphic>
        <a:graphicData uri="http://schemas.openxmlformats.org/drawingml/2006/chart">
          <c:chart xmlns:c="http://schemas.openxmlformats.org/drawingml/2006/chart"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xdr:nvGraphicFramePr>
        <xdr:cNvPr id="5" name="Chart 4">
          <a:extLst>
            <a:ext uri="{FF2B5EF4-FFF2-40B4-BE49-F238E27FC236}">
              <a16:creationId xmlns:a16="http://schemas.microsoft.com/office/drawing/2014/main" id="{02233390-e13a-45fc-8f47-8a445aafec7f}"/>
            </a:ext>
          </a:extLst>
        </xdr:cNvPr>
        <xdr:cNvGraphicFramePr/>
      </xdr:nvGraphicFramePr>
      <xdr:xfrm>
        <a:off x="31299150" y="50415825"/>
        <a:ext cx="5514975" cy="6838950"/>
      </xdr:xfrm>
      <a:graphic>
        <a:graphicData uri="http://schemas.openxmlformats.org/drawingml/2006/chart">
          <c:chart xmlns:c="http://schemas.openxmlformats.org/drawingml/2006/chart"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xdr:nvGraphicFramePr>
        <xdr:cNvPr id="6" name="Chart 5">
          <a:extLst>
            <a:ext uri="{FF2B5EF4-FFF2-40B4-BE49-F238E27FC236}">
              <a16:creationId xmlns:a16="http://schemas.microsoft.com/office/drawing/2014/main" id="{ae1d7e4c-0b54-4696-9664-2198706526a8}"/>
            </a:ext>
          </a:extLst>
        </xdr:cNvPr>
        <xdr:cNvGraphicFramePr/>
      </xdr:nvGraphicFramePr>
      <xdr:xfrm>
        <a:off x="14963775" y="10906125"/>
        <a:ext cx="2495550" cy="3171825"/>
      </xdr:xfrm>
      <a:graphic>
        <a:graphicData uri="http://schemas.openxmlformats.org/drawingml/2006/chart">
          <c:chart xmlns:c="http://schemas.openxmlformats.org/drawingml/2006/chart" r:id="rId5"/>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17</xdr:col>
      <xdr:colOff>186690</xdr:colOff>
      <xdr:row>190</xdr:row>
      <xdr:rowOff>133350</xdr:rowOff>
    </xdr:from>
    <xdr:to>
      <xdr:col>31</xdr:col>
      <xdr:colOff>118110</xdr:colOff>
      <xdr:row>214</xdr:row>
      <xdr:rowOff>179070</xdr:rowOff>
    </xdr:to>
    <xdr:graphicFrame>
      <xdr:nvGraphicFramePr>
        <xdr:cNvPr id="2" name="Chart 2">
          <a:extLst>
            <a:ext uri="{FF2B5EF4-FFF2-40B4-BE49-F238E27FC236}">
              <a16:creationId xmlns:a16="http://schemas.microsoft.com/office/drawing/2014/main" id="{8799bc25-0285-4d8a-8c3e-aaf31356f3a3}"/>
            </a:ext>
          </a:extLst>
        </xdr:cNvPr>
        <xdr:cNvGraphicFramePr/>
      </xdr:nvGraphicFramePr>
      <xdr:xfrm>
        <a:off x="15268575" y="36756975"/>
        <a:ext cx="8467725" cy="4619625"/>
      </xdr:xfrm>
      <a:graphic>
        <a:graphicData uri="http://schemas.openxmlformats.org/drawingml/2006/chart">
          <c:chart xmlns:c="http://schemas.openxmlformats.org/drawingml/2006/chart"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xdr:nvGraphicFramePr>
        <xdr:cNvPr id="3" name="Chart 2">
          <a:extLst>
            <a:ext uri="{FF2B5EF4-FFF2-40B4-BE49-F238E27FC236}">
              <a16:creationId xmlns:a16="http://schemas.microsoft.com/office/drawing/2014/main" id="{c347a7f2-3b72-4cbd-833d-eb5f30cabe04}"/>
            </a:ext>
          </a:extLst>
        </xdr:cNvPr>
        <xdr:cNvGraphicFramePr/>
      </xdr:nvGraphicFramePr>
      <xdr:xfrm>
        <a:off x="27651075" y="16430625"/>
        <a:ext cx="4610100" cy="2743200"/>
      </xdr:xfrm>
      <a:graphic>
        <a:graphicData uri="http://schemas.openxmlformats.org/drawingml/2006/chart">
          <c:chart xmlns:c="http://schemas.openxmlformats.org/drawingml/2006/chart"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xdr:nvGraphicFramePr>
        <xdr:cNvPr id="4" name="Chart 3">
          <a:extLst>
            <a:ext uri="{FF2B5EF4-FFF2-40B4-BE49-F238E27FC236}">
              <a16:creationId xmlns:a16="http://schemas.microsoft.com/office/drawing/2014/main" id="{ea14d3e9-821d-4596-86ba-a5f1b24288c0}"/>
            </a:ext>
          </a:extLst>
        </xdr:cNvPr>
        <xdr:cNvGraphicFramePr/>
      </xdr:nvGraphicFramePr>
      <xdr:xfrm>
        <a:off x="1657350" y="26193750"/>
        <a:ext cx="4581525" cy="2562225"/>
      </xdr:xfrm>
      <a:graphic>
        <a:graphicData uri="http://schemas.openxmlformats.org/drawingml/2006/chart">
          <c:chart xmlns:c="http://schemas.openxmlformats.org/drawingml/2006/chart"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xdr:nvGraphicFramePr>
        <xdr:cNvPr id="5" name="Chart 4">
          <a:extLst>
            <a:ext uri="{FF2B5EF4-FFF2-40B4-BE49-F238E27FC236}">
              <a16:creationId xmlns:a16="http://schemas.microsoft.com/office/drawing/2014/main" id="{3f1e5e28-d998-4c68-94ae-7ff5e5e8e3cc}"/>
            </a:ext>
          </a:extLst>
        </xdr:cNvPr>
        <xdr:cNvGraphicFramePr/>
      </xdr:nvGraphicFramePr>
      <xdr:xfrm>
        <a:off x="1419225" y="21183600"/>
        <a:ext cx="4581525" cy="2562225"/>
      </xdr:xfrm>
      <a:graphic>
        <a:graphicData uri="http://schemas.openxmlformats.org/drawingml/2006/chart">
          <c:chart xmlns:c="http://schemas.openxmlformats.org/drawingml/2006/chart"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rrowheads="1" noChangeAspect="1"/>
        </xdr:cNvPicPr>
      </xdr:nvPicPr>
      <xdr:blipFill>
        <a:blip r:embed="rId5"/>
        <a:stretch>
          <a:fillRect/>
        </a:stretch>
      </xdr:blipFill>
      <xdr:spPr bwMode="auto">
        <a:xfrm>
          <a:off x="24222075" y="36814125"/>
          <a:ext cx="8229600" cy="4848225"/>
        </a:xfrm>
        <a:prstGeom prst="rect"/>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r:embed="rId6"/>
        <a:stretch>
          <a:fillRect/>
        </a:stretch>
      </xdr:blipFill>
      <xdr:spPr>
        <a:xfrm>
          <a:off x="39062025" y="1647825"/>
          <a:ext cx="16487775" cy="8191500"/>
        </a:xfrm>
        <a:prstGeom prst="rect"/>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32</xdr:col>
      <xdr:colOff>140124</xdr:colOff>
      <xdr:row>258</xdr:row>
      <xdr:rowOff>113877</xdr:rowOff>
    </xdr:from>
    <xdr:to>
      <xdr:col>45</xdr:col>
      <xdr:colOff>402168</xdr:colOff>
      <xdr:row>275</xdr:row>
      <xdr:rowOff>136737</xdr:rowOff>
    </xdr:to>
    <xdr:graphicFrame>
      <xdr:nvGraphicFramePr>
        <xdr:cNvPr id="2" name="Chart 3">
          <a:extLst>
            <a:ext uri="{FF2B5EF4-FFF2-40B4-BE49-F238E27FC236}">
              <a16:creationId xmlns:a16="http://schemas.microsoft.com/office/drawing/2014/main" id="{abf028e6-6021-4783-99f2-ea83f86a3a62}"/>
            </a:ext>
          </a:extLst>
        </xdr:cNvPr>
        <xdr:cNvGraphicFramePr/>
      </xdr:nvGraphicFramePr>
      <xdr:xfrm>
        <a:off x="30356175" y="50558700"/>
        <a:ext cx="7277100" cy="3257550"/>
      </xdr:xfrm>
      <a:graphic>
        <a:graphicData uri="http://schemas.openxmlformats.org/drawingml/2006/chart">
          <c:chart xmlns:c="http://schemas.openxmlformats.org/drawingml/2006/chart" r:id="rId1"/>
        </a:graphicData>
      </a:graphic>
    </xdr:graphicFrame>
    <xdr:clientData/>
  </xdr:twoCellAnchor>
  <xdr:twoCellAnchor>
    <xdr:from>
      <xdr:col>14</xdr:col>
      <xdr:colOff>52916</xdr:colOff>
      <xdr:row>237</xdr:row>
      <xdr:rowOff>0</xdr:rowOff>
    </xdr:from>
    <xdr:to>
      <xdr:col>31</xdr:col>
      <xdr:colOff>423333</xdr:colOff>
      <xdr:row>262</xdr:row>
      <xdr:rowOff>116258</xdr:rowOff>
    </xdr:to>
    <xdr:graphicFrame>
      <xdr:nvGraphicFramePr>
        <xdr:cNvPr id="3" name="Chart 4">
          <a:extLst>
            <a:ext uri="{FF2B5EF4-FFF2-40B4-BE49-F238E27FC236}">
              <a16:creationId xmlns:a16="http://schemas.microsoft.com/office/drawing/2014/main" id="{ae3f6b17-843d-4bc1-b1d3-a24a201f8305}"/>
            </a:ext>
          </a:extLst>
        </xdr:cNvPr>
        <xdr:cNvGraphicFramePr/>
      </xdr:nvGraphicFramePr>
      <xdr:xfrm>
        <a:off x="11144250" y="46443900"/>
        <a:ext cx="18811875" cy="4876800"/>
      </xdr:xfrm>
      <a:graphic>
        <a:graphicData uri="http://schemas.openxmlformats.org/drawingml/2006/chart">
          <c:chart xmlns:c="http://schemas.openxmlformats.org/drawingml/2006/chart" r:id="rId2"/>
        </a:graphicData>
      </a:graphic>
    </xdr:graphicFrame>
    <xdr:clientData/>
  </xdr:twoCellAnchor>
  <xdr:twoCellAnchor>
    <xdr:from>
      <xdr:col>13</xdr:col>
      <xdr:colOff>514204</xdr:colOff>
      <xdr:row>263</xdr:row>
      <xdr:rowOff>38717</xdr:rowOff>
    </xdr:from>
    <xdr:to>
      <xdr:col>32</xdr:col>
      <xdr:colOff>5946</xdr:colOff>
      <xdr:row>285</xdr:row>
      <xdr:rowOff>91395</xdr:rowOff>
    </xdr:to>
    <xdr:graphicFrame>
      <xdr:nvGraphicFramePr>
        <xdr:cNvPr id="4" name="Chart 1">
          <a:extLst>
            <a:ext uri="{FF2B5EF4-FFF2-40B4-BE49-F238E27FC236}">
              <a16:creationId xmlns:a16="http://schemas.microsoft.com/office/drawing/2014/main" id="{5bb3060c-f21f-4dec-8941-699a971060f2}"/>
            </a:ext>
          </a:extLst>
        </xdr:cNvPr>
        <xdr:cNvGraphicFramePr/>
      </xdr:nvGraphicFramePr>
      <xdr:xfrm>
        <a:off x="11087100" y="51435000"/>
        <a:ext cx="19135725" cy="4248150"/>
      </xdr:xfrm>
      <a:graphic>
        <a:graphicData uri="http://schemas.openxmlformats.org/drawingml/2006/chart">
          <c:chart xmlns:c="http://schemas.openxmlformats.org/drawingml/2006/chart"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xdr:nvGraphicFramePr>
        <xdr:cNvPr id="5" name="Chart 2">
          <a:extLst>
            <a:ext uri="{FF2B5EF4-FFF2-40B4-BE49-F238E27FC236}">
              <a16:creationId xmlns:a16="http://schemas.microsoft.com/office/drawing/2014/main" id="{1154abb6-9e24-4b77-9364-6675d8c67648}"/>
            </a:ext>
          </a:extLst>
        </xdr:cNvPr>
        <xdr:cNvGraphicFramePr/>
      </xdr:nvGraphicFramePr>
      <xdr:xfrm>
        <a:off x="43281600" y="24641175"/>
        <a:ext cx="9353550" cy="3971925"/>
      </xdr:xfrm>
      <a:graphic>
        <a:graphicData uri="http://schemas.openxmlformats.org/drawingml/2006/chart">
          <c:chart xmlns:c="http://schemas.openxmlformats.org/drawingml/2006/chart"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xdr:nvGraphicFramePr>
        <xdr:cNvPr id="6" name="Chart 2">
          <a:extLst>
            <a:ext uri="{FF2B5EF4-FFF2-40B4-BE49-F238E27FC236}">
              <a16:creationId xmlns:a16="http://schemas.microsoft.com/office/drawing/2014/main" id="{2c1f5f80-dcb1-42ba-9b1c-d60cdce46b3c}"/>
            </a:ext>
          </a:extLst>
        </xdr:cNvPr>
        <xdr:cNvGraphicFramePr/>
      </xdr:nvGraphicFramePr>
      <xdr:xfrm>
        <a:off x="43776900" y="28794075"/>
        <a:ext cx="8020050" cy="3600450"/>
      </xdr:xfrm>
      <a:graphic>
        <a:graphicData uri="http://schemas.openxmlformats.org/drawingml/2006/chart">
          <c:chart xmlns:c="http://schemas.openxmlformats.org/drawingml/2006/chart" r:id="rId5"/>
        </a:graphicData>
      </a:graphic>
    </xdr:graphicFrame>
    <xdr:clientData/>
  </xdr:twoCellAnchor>
  <xdr:twoCellAnchor>
    <xdr:from>
      <xdr:col>36</xdr:col>
      <xdr:colOff>637812</xdr:colOff>
      <xdr:row>13</xdr:row>
      <xdr:rowOff>158205</xdr:rowOff>
    </xdr:from>
    <xdr:to>
      <xdr:col>49</xdr:col>
      <xdr:colOff>64498</xdr:colOff>
      <xdr:row>29</xdr:row>
      <xdr:rowOff>5353</xdr:rowOff>
    </xdr:to>
    <xdr:graphicFrame>
      <xdr:nvGraphicFramePr>
        <xdr:cNvPr id="7" name="Chart 6">
          <a:extLst>
            <a:ext uri="{FF2B5EF4-FFF2-40B4-BE49-F238E27FC236}">
              <a16:creationId xmlns:a16="http://schemas.microsoft.com/office/drawing/2014/main" id="{e5365466-85c5-47d3-ad03-95c8899b18c1}"/>
            </a:ext>
          </a:extLst>
        </xdr:cNvPr>
        <xdr:cNvGraphicFramePr/>
      </xdr:nvGraphicFramePr>
      <xdr:xfrm>
        <a:off x="33080325" y="3000375"/>
        <a:ext cx="6362700" cy="2924175"/>
      </xdr:xfrm>
      <a:graphic>
        <a:graphicData uri="http://schemas.openxmlformats.org/drawingml/2006/chart">
          <c:chart xmlns:c="http://schemas.openxmlformats.org/drawingml/2006/chart"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xdr:nvGraphicFramePr>
        <xdr:cNvPr id="8" name="Chart 7">
          <a:extLst>
            <a:ext uri="{FF2B5EF4-FFF2-40B4-BE49-F238E27FC236}">
              <a16:creationId xmlns:a16="http://schemas.microsoft.com/office/drawing/2014/main" id="{d6f2a51e-60c3-4870-a45f-11c8bc81a616}"/>
            </a:ext>
          </a:extLst>
        </xdr:cNvPr>
        <xdr:cNvGraphicFramePr/>
      </xdr:nvGraphicFramePr>
      <xdr:xfrm>
        <a:off x="35585400" y="2857500"/>
        <a:ext cx="5086350" cy="2876550"/>
      </xdr:xfrm>
      <a:graphic>
        <a:graphicData uri="http://schemas.openxmlformats.org/drawingml/2006/chart">
          <c:chart xmlns:c="http://schemas.openxmlformats.org/drawingml/2006/chart" r:id="rId7"/>
        </a:graphicData>
      </a:graphic>
    </xdr:graphicFrame>
    <xdr:clientData/>
  </xdr:twoCellAnchor>
  <xdr:twoCellAnchor>
    <xdr:from>
      <xdr:col>38</xdr:col>
      <xdr:colOff>65858</xdr:colOff>
      <xdr:row>29</xdr:row>
      <xdr:rowOff>39915</xdr:rowOff>
    </xdr:from>
    <xdr:to>
      <xdr:col>50</xdr:col>
      <xdr:colOff>71664</xdr:colOff>
      <xdr:row>44</xdr:row>
      <xdr:rowOff>34472</xdr:rowOff>
    </xdr:to>
    <xdr:graphicFrame>
      <xdr:nvGraphicFramePr>
        <xdr:cNvPr id="9" name="Chart 8">
          <a:extLst>
            <a:ext uri="{FF2B5EF4-FFF2-40B4-BE49-F238E27FC236}">
              <a16:creationId xmlns:a16="http://schemas.microsoft.com/office/drawing/2014/main" id="{e131c8a2-aff9-44c6-8e7d-6d79df0df222}"/>
            </a:ext>
          </a:extLst>
        </xdr:cNvPr>
        <xdr:cNvGraphicFramePr/>
      </xdr:nvGraphicFramePr>
      <xdr:xfrm>
        <a:off x="33689925" y="5953125"/>
        <a:ext cx="6372225" cy="3305175"/>
      </xdr:xfrm>
      <a:graphic>
        <a:graphicData uri="http://schemas.openxmlformats.org/drawingml/2006/chart">
          <c:chart xmlns:c="http://schemas.openxmlformats.org/drawingml/2006/chart"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xdr:nvGraphicFramePr>
        <xdr:cNvPr id="10" name="Chart 9">
          <a:extLst>
            <a:ext uri="{FF2B5EF4-FFF2-40B4-BE49-F238E27FC236}">
              <a16:creationId xmlns:a16="http://schemas.microsoft.com/office/drawing/2014/main" id="{c5698a9e-11c2-4929-8d7b-7ccaf36951e8}"/>
            </a:ext>
          </a:extLst>
        </xdr:cNvPr>
        <xdr:cNvGraphicFramePr/>
      </xdr:nvGraphicFramePr>
      <xdr:xfrm>
        <a:off x="35604450" y="5810250"/>
        <a:ext cx="5086350" cy="3314700"/>
      </xdr:xfrm>
      <a:graphic>
        <a:graphicData uri="http://schemas.openxmlformats.org/drawingml/2006/chart">
          <c:chart xmlns:c="http://schemas.openxmlformats.org/drawingml/2006/chart" r:id="rId9"/>
        </a:graphicData>
      </a:graphic>
    </xdr:graphicFrame>
    <xdr:clientData/>
  </xdr:twoCellAnchor>
  <xdr:twoCellAnchor>
    <xdr:from>
      <xdr:col>40</xdr:col>
      <xdr:colOff>418698</xdr:colOff>
      <xdr:row>44</xdr:row>
      <xdr:rowOff>47625</xdr:rowOff>
    </xdr:from>
    <xdr:to>
      <xdr:col>52</xdr:col>
      <xdr:colOff>128867</xdr:colOff>
      <xdr:row>59</xdr:row>
      <xdr:rowOff>77355</xdr:rowOff>
    </xdr:to>
    <xdr:graphicFrame>
      <xdr:nvGraphicFramePr>
        <xdr:cNvPr id="11" name="Chart 10">
          <a:extLst>
            <a:ext uri="{FF2B5EF4-FFF2-40B4-BE49-F238E27FC236}">
              <a16:creationId xmlns:a16="http://schemas.microsoft.com/office/drawing/2014/main" id="{073573f7-7929-4775-ac01-ca7ea7128100}"/>
            </a:ext>
          </a:extLst>
        </xdr:cNvPr>
        <xdr:cNvGraphicFramePr/>
      </xdr:nvGraphicFramePr>
      <xdr:xfrm>
        <a:off x="35071050" y="9277350"/>
        <a:ext cx="6267450" cy="2943225"/>
      </xdr:xfrm>
      <a:graphic>
        <a:graphicData uri="http://schemas.openxmlformats.org/drawingml/2006/chart">
          <c:chart xmlns:c="http://schemas.openxmlformats.org/drawingml/2006/chart"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xdr:nvGraphicFramePr>
        <xdr:cNvPr id="12" name="Chart 11">
          <a:extLst>
            <a:ext uri="{FF2B5EF4-FFF2-40B4-BE49-F238E27FC236}">
              <a16:creationId xmlns:a16="http://schemas.microsoft.com/office/drawing/2014/main" id="{578775ee-809c-4f90-8716-fec3553b6fef}"/>
            </a:ext>
          </a:extLst>
        </xdr:cNvPr>
        <xdr:cNvGraphicFramePr/>
      </xdr:nvGraphicFramePr>
      <xdr:xfrm>
        <a:off x="31756350" y="9353550"/>
        <a:ext cx="7934325" cy="4505325"/>
      </xdr:xfrm>
      <a:graphic>
        <a:graphicData uri="http://schemas.openxmlformats.org/drawingml/2006/chart">
          <c:chart xmlns:c="http://schemas.openxmlformats.org/drawingml/2006/chart"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xdr:nvGraphicFramePr>
        <xdr:cNvPr id="13" name="Chart 12">
          <a:extLst>
            <a:ext uri="{FF2B5EF4-FFF2-40B4-BE49-F238E27FC236}">
              <a16:creationId xmlns:a16="http://schemas.microsoft.com/office/drawing/2014/main" id="{a7bfbb3d-843e-4fb3-87f1-a217ebb19704}"/>
            </a:ext>
          </a:extLst>
        </xdr:cNvPr>
        <xdr:cNvGraphicFramePr/>
      </xdr:nvGraphicFramePr>
      <xdr:xfrm>
        <a:off x="32023050" y="14382750"/>
        <a:ext cx="6267450" cy="2876550"/>
      </xdr:xfrm>
      <a:graphic>
        <a:graphicData uri="http://schemas.openxmlformats.org/drawingml/2006/chart">
          <c:chart xmlns:c="http://schemas.openxmlformats.org/drawingml/2006/chart" r:id="rId12"/>
        </a:graphicData>
      </a:graphic>
    </xdr:graphicFrame>
    <xdr:clientData/>
  </xdr:twoCellAnchor>
  <xdr:twoCellAnchor>
    <xdr:from>
      <xdr:col>35</xdr:col>
      <xdr:colOff>28122</xdr:colOff>
      <xdr:row>85</xdr:row>
      <xdr:rowOff>159657</xdr:rowOff>
    </xdr:from>
    <xdr:to>
      <xdr:col>45</xdr:col>
      <xdr:colOff>197758</xdr:colOff>
      <xdr:row>100</xdr:row>
      <xdr:rowOff>181882</xdr:rowOff>
    </xdr:to>
    <xdr:graphicFrame>
      <xdr:nvGraphicFramePr>
        <xdr:cNvPr id="14" name="Chart 13">
          <a:extLst>
            <a:ext uri="{FF2B5EF4-FFF2-40B4-BE49-F238E27FC236}">
              <a16:creationId xmlns:a16="http://schemas.microsoft.com/office/drawing/2014/main" id="{b84edc28-609c-4ec2-a6ec-83f2142d2839}"/>
            </a:ext>
          </a:extLst>
        </xdr:cNvPr>
        <xdr:cNvGraphicFramePr/>
      </xdr:nvGraphicFramePr>
      <xdr:xfrm>
        <a:off x="31956375" y="17287875"/>
        <a:ext cx="5467350" cy="2876550"/>
      </xdr:xfrm>
      <a:graphic>
        <a:graphicData uri="http://schemas.openxmlformats.org/drawingml/2006/chart">
          <c:chart xmlns:c="http://schemas.openxmlformats.org/drawingml/2006/chart" r:id="rId13"/>
        </a:graphicData>
      </a:graphic>
    </xdr:graphicFrame>
    <xdr:clientData/>
  </xdr:twoCellAnchor>
  <xdr:twoCellAnchor>
    <xdr:from>
      <xdr:col>45</xdr:col>
      <xdr:colOff>280761</xdr:colOff>
      <xdr:row>85</xdr:row>
      <xdr:rowOff>151644</xdr:rowOff>
    </xdr:from>
    <xdr:to>
      <xdr:col>53</xdr:col>
      <xdr:colOff>462190</xdr:colOff>
      <xdr:row>100</xdr:row>
      <xdr:rowOff>173869</xdr:rowOff>
    </xdr:to>
    <xdr:graphicFrame>
      <xdr:nvGraphicFramePr>
        <xdr:cNvPr id="15" name="Chart 14">
          <a:extLst>
            <a:ext uri="{FF2B5EF4-FFF2-40B4-BE49-F238E27FC236}">
              <a16:creationId xmlns:a16="http://schemas.microsoft.com/office/drawing/2014/main" id="{1037c970-e5ee-408a-87ea-ff889f96b352}"/>
            </a:ext>
          </a:extLst>
        </xdr:cNvPr>
        <xdr:cNvGraphicFramePr/>
      </xdr:nvGraphicFramePr>
      <xdr:xfrm>
        <a:off x="37499925" y="17278350"/>
        <a:ext cx="4772025" cy="2876550"/>
      </xdr:xfrm>
      <a:graphic>
        <a:graphicData uri="http://schemas.openxmlformats.org/drawingml/2006/chart">
          <c:chart xmlns:c="http://schemas.openxmlformats.org/drawingml/2006/chart"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xdr:nvGraphicFramePr>
        <xdr:cNvPr id="16" name="Chart 15">
          <a:extLst>
            <a:ext uri="{FF2B5EF4-FFF2-40B4-BE49-F238E27FC236}">
              <a16:creationId xmlns:a16="http://schemas.microsoft.com/office/drawing/2014/main" id="{c27ac5d3-8206-4029-accb-1e6fa452984c}"/>
            </a:ext>
          </a:extLst>
        </xdr:cNvPr>
        <xdr:cNvGraphicFramePr/>
      </xdr:nvGraphicFramePr>
      <xdr:xfrm>
        <a:off x="6057900" y="45443775"/>
        <a:ext cx="1809750" cy="2743200"/>
      </xdr:xfrm>
      <a:graphic>
        <a:graphicData uri="http://schemas.openxmlformats.org/drawingml/2006/chart">
          <c:chart xmlns:c="http://schemas.openxmlformats.org/drawingml/2006/chart" r:id="rId15"/>
        </a:graphicData>
      </a:graphic>
    </xdr:graphicFrame>
    <xdr:clientData/>
  </xdr:twoCellAnchor>
  <xdr:twoCellAnchor editAs="oneCell">
    <xdr:from>
      <xdr:col>55</xdr:col>
      <xdr:colOff>595312</xdr:colOff>
      <xdr:row>164</xdr:row>
      <xdr:rowOff>30616</xdr:rowOff>
    </xdr:from>
    <xdr:to>
      <xdr:col>65</xdr:col>
      <xdr:colOff>300942</xdr:colOff>
      <xdr:row>186</xdr:row>
      <xdr:rowOff>72664</xdr:rowOff>
    </xdr:to>
    <xdr:pic>
      <xdr:nvPicPr>
        <xdr:cNvPr id="17" name="Picture 16">
          <a:extLst>
            <a:ext uri="{FF2B5EF4-FFF2-40B4-BE49-F238E27FC236}">
              <a16:creationId xmlns:a16="http://schemas.microsoft.com/office/drawing/2014/main" id="{d3518472-23e8-4ac7-8f79-d759068055bf}"/>
            </a:ext>
          </a:extLst>
        </xdr:cNvPr>
        <xdr:cNvPicPr>
          <a:picLocks noChangeArrowheads="1" noChangeAspect="1"/>
        </xdr:cNvPicPr>
      </xdr:nvPicPr>
      <xdr:blipFill>
        <a:blip r:embed="rId16"/>
        <a:stretch>
          <a:fillRect/>
        </a:stretch>
      </xdr:blipFill>
      <xdr:spPr bwMode="auto">
        <a:xfrm>
          <a:off x="43624500" y="32308800"/>
          <a:ext cx="7115175" cy="4276725"/>
        </a:xfrm>
        <a:prstGeom prst="rect"/>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xdr:nvGraphicFramePr>
        <xdr:cNvPr id="18" name="Chart 17">
          <a:extLst>
            <a:ext uri="{FF2B5EF4-FFF2-40B4-BE49-F238E27FC236}">
              <a16:creationId xmlns:a16="http://schemas.microsoft.com/office/drawing/2014/main" id="{d2a75c22-e2a5-4e88-b69c-c1fed333fba0}"/>
            </a:ext>
          </a:extLst>
        </xdr:cNvPr>
        <xdr:cNvGraphicFramePr/>
      </xdr:nvGraphicFramePr>
      <xdr:xfrm>
        <a:off x="28441650" y="38881050"/>
        <a:ext cx="2143125" cy="2828925"/>
      </xdr:xfrm>
      <a:graphic>
        <a:graphicData uri="http://schemas.openxmlformats.org/drawingml/2006/chart">
          <c:chart xmlns:c="http://schemas.openxmlformats.org/drawingml/2006/chart"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xdr:nvGraphicFramePr>
        <xdr:cNvPr id="19" name="Chart 18">
          <a:extLst>
            <a:ext uri="{FF2B5EF4-FFF2-40B4-BE49-F238E27FC236}">
              <a16:creationId xmlns:a16="http://schemas.microsoft.com/office/drawing/2014/main" id="{77dff00d-a106-47de-9faf-ab1c8ddfa469}"/>
            </a:ext>
          </a:extLst>
        </xdr:cNvPr>
        <xdr:cNvGraphicFramePr/>
      </xdr:nvGraphicFramePr>
      <xdr:xfrm>
        <a:off x="33594675" y="28022550"/>
        <a:ext cx="5372100" cy="2743200"/>
      </xdr:xfrm>
      <a:graphic>
        <a:graphicData uri="http://schemas.openxmlformats.org/drawingml/2006/chart">
          <c:chart xmlns:c="http://schemas.openxmlformats.org/drawingml/2006/chart" r:id="rId18"/>
        </a:graphicData>
      </a:graphic>
    </xdr:graphicFrame>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31</xdr:col>
      <xdr:colOff>266700</xdr:colOff>
      <xdr:row>17</xdr:row>
      <xdr:rowOff>19050</xdr:rowOff>
    </xdr:from>
    <xdr:to>
      <xdr:col>39</xdr:col>
      <xdr:colOff>66675</xdr:colOff>
      <xdr:row>25</xdr:row>
      <xdr:rowOff>52387</xdr:rowOff>
    </xdr:to>
    <xdr:graphicFrame>
      <xdr:nvGraphicFramePr>
        <xdr:cNvPr id="6" name="Chart 5">
          <a:extLst>
            <a:ext uri="{FF2B5EF4-FFF2-40B4-BE49-F238E27FC236}">
              <a16:creationId xmlns:a16="http://schemas.microsoft.com/office/drawing/2014/main" id="{ac63f4ce-4979-43f2-84ac-37cd5c5ce95c}"/>
            </a:ext>
          </a:extLst>
        </xdr:cNvPr>
        <xdr:cNvGraphicFramePr/>
      </xdr:nvGraphicFramePr>
      <xdr:xfrm>
        <a:off x="19069050" y="3324225"/>
        <a:ext cx="3686175" cy="1562100"/>
      </xdr:xfrm>
      <a:graphic>
        <a:graphicData uri="http://schemas.openxmlformats.org/drawingml/2006/chart">
          <c:chart xmlns:c="http://schemas.openxmlformats.org/drawingml/2006/chart" r:id="rId1"/>
        </a:graphicData>
      </a:graphic>
    </xdr:graphicFrame>
    <xdr:clientData/>
  </xdr:twoCellAnchor>
  <xdr:twoCellAnchor editAs="oneCell">
    <xdr:from>
      <xdr:col>41</xdr:col>
      <xdr:colOff>0</xdr:colOff>
      <xdr:row>6</xdr:row>
      <xdr:rowOff>0</xdr:rowOff>
    </xdr:from>
    <xdr:to>
      <xdr:col>52</xdr:col>
      <xdr:colOff>381923</xdr:colOff>
      <xdr:row>23</xdr:row>
      <xdr:rowOff>0</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r:embed="rId2"/>
        <a:stretch>
          <a:fillRect/>
        </a:stretch>
      </xdr:blipFill>
      <xdr:spPr>
        <a:xfrm>
          <a:off x="23602950" y="1200150"/>
          <a:ext cx="6610350" cy="3257550"/>
        </a:xfrm>
        <a:prstGeom prst="rect"/>
      </xdr:spPr>
    </xdr:pic>
    <xdr:clientData/>
  </xdr:twoCellAnchor>
</xdr:wsDr>
</file>

<file path=xl/externalLinks/_rels/externalLink1.xml.rels><?xml version="1.0" encoding="UTF-8" standalone="yes"?><Relationships xmlns="http://schemas.openxmlformats.org/package/2006/relationships"><Relationship Id="rId1" Type="http://schemas.openxmlformats.org/officeDocument/2006/relationships/externalLinkPath" Target="/Users/USER/Downloads/Country_projection_by_population_group_sex_and_age_(2002-2017).xlsx" TargetMode="External" /></Relationships>
</file>

<file path=xl/externalLinks/_rels/externalLink2.xml.rels><?xml version="1.0" encoding="UTF-8" standalone="yes"?><Relationships xmlns="http://schemas.openxmlformats.org/package/2006/relationships"><Relationship Id="rId1" Type="http://schemas.openxmlformats.org/officeDocument/2006/relationships/externalLinkPath" Target="/Models/SATIMGE/SATIM/DataSpreadsheets/TCH_TRA.xlsm" TargetMode="External" /></Relationships>
</file>

<file path=xl/externalLinks/_rels/externalLink3.xml.rels><?xml version="1.0" encoding="UTF-8" standalone="yes"?><Relationships xmlns="http://schemas.openxmlformats.org/package/2006/relationships"><Relationship Id="rId1" Type="http://schemas.openxmlformats.org/officeDocument/2006/relationships/externalLinkPath" Target="/Models/SATIMGE/SATIM/DataSpreadsheets/TCH_AGR.xlsm" TargetMode="External" /></Relationships>
</file>

<file path=xl/externalLinks/_rels/externalLink4.xml.rels><?xml version="1.0" encoding="UTF-8" standalone="yes"?><Relationships xmlns="http://schemas.openxmlformats.org/package/2006/relationships"><Relationship Id="rId1" Type="http://schemas.openxmlformats.org/officeDocument/2006/relationships/externalLinkPath" Target="/Models/SATIMGE/SATIM/DataSpreadsheets/TCH_IND/TCH_IND.xlsx" TargetMode="External" /></Relationships>
</file>

<file path=xl/externalLinks/_rels/externalLink5.xml.rels><?xml version="1.0" encoding="UTF-8" standalone="yes"?><Relationships xmlns="http://schemas.openxmlformats.org/package/2006/relationships"><Relationship Id="rId1" Type="http://schemas.openxmlformats.org/officeDocument/2006/relationships/externalLinkPath" Target="/Models/SATIMGE/SATIM/DataSpreadsheets/TCH_IND/TCH_IND_PGM.xlsx" TargetMode="External" /></Relationships>
</file>

<file path=xl/externalLinks/_rels/externalLink6.xml.rels><?xml version="1.0" encoding="UTF-8" standalone="yes"?><Relationships xmlns="http://schemas.openxmlformats.org/package/2006/relationships"><Relationship Id="rId1" Type="http://schemas.openxmlformats.org/officeDocument/2006/relationships/externalLinkPath" Target="/Models/SATIMGE/SATIM/DataSpreadsheets/TCH_IND/TCH_IND_FCR.xlsx" TargetMode="External" /></Relationships>
</file>

<file path=xl/externalLinks/_rels/externalLink7.xml.rels><?xml version="1.0" encoding="UTF-8" standalone="yes"?><Relationships xmlns="http://schemas.openxmlformats.org/package/2006/relationships"><Relationship Id="rId1" Type="http://schemas.openxmlformats.org/officeDocument/2006/relationships/externalLinkPath" Target="/Models/SATIMGE/SATIM/DataSpreadsheets/TCH_IND/TCH_IND_FM.xlsx" TargetMode="External" /></Relationships>
</file>

<file path=xl/externalLinks/_rels/externalLink8.xml.rels><?xml version="1.0" encoding="UTF-8" standalone="yes"?><Relationships xmlns="http://schemas.openxmlformats.org/package/2006/relationships"><Relationship Id="rId1" Type="http://schemas.openxmlformats.org/officeDocument/2006/relationships/externalLinkPath" Target="/Models/SATIMGE/SATIM/DataSpreadsheets/TCH_IND/TCH_IND_IS.xlsx" TargetMode="External" /></Relationships>
</file>

<file path=xl/externalLinks/_rels/externalLink9.xml.rels><?xml version="1.0" encoding="UTF-8" standalone="yes"?><Relationships xmlns="http://schemas.openxmlformats.org/package/2006/relationships"><Relationship Id="rId1" Type="http://schemas.openxmlformats.org/officeDocument/2006/relationships/externalLinkPath" Target="/Models/SATIMGE/SATIM/DataSpreadsheets/TCH_NH3.xlsx" TargetMode="External" /></Relationships>
</file>

<file path=xl/externalLinks/_rels/externalLink10.xml.rels><?xml version="1.0" encoding="UTF-8" standalone="yes"?><Relationships xmlns="http://schemas.openxmlformats.org/package/2006/relationships"><Relationship Id="rId1" Type="http://schemas.openxmlformats.org/officeDocument/2006/relationships/externalLinkPath" Target="/Models/SATIMGE/SATIM/DataSpreadsheets/TCH_IND/TCH_IND_NMM.xlsx" TargetMode="External" /></Relationships>
</file>

<file path=xl/externalLinks/_rels/externalLink11.xml.rels><?xml version="1.0" encoding="UTF-8" standalone="yes"?><Relationships xmlns="http://schemas.openxmlformats.org/package/2006/relationships"><Relationship Id="rId1" Type="http://schemas.openxmlformats.org/officeDocument/2006/relationships/externalLinkPath" Target="/Models/SATIMGE/SATIM/DataSpreadsheets/TCH_IND/TCH_IND_PP.xlsx" TargetMode="External" /></Relationships>
</file>

<file path=xl/externalLinks/_rels/externalLink12.xml.rels><?xml version="1.0" encoding="UTF-8" standalone="yes"?><Relationships xmlns="http://schemas.openxmlformats.org/package/2006/relationships"><Relationship Id="rId1" Type="http://schemas.openxmlformats.org/officeDocument/2006/relationships/externalLinkPath" Target="/Models/SATIMGE/SATIM/DataSpreadsheets/TCH_RES.xlsm" TargetMode="External" /></Relationships>
</file>

<file path=xl/externalLinks/_rels/externalLink13.xml.rels><?xml version="1.0" encoding="UTF-8" standalone="yes"?><Relationships xmlns="http://schemas.openxmlformats.org/package/2006/relationships"><Relationship Id="rId1" Type="http://schemas.openxmlformats.org/officeDocument/2006/relationships/externalLinkPath" Target="/Models/SATIMGE/SATIM/DataSpreadsheets/TCH_COM.xlsm" TargetMode="External" /></Relationships>
</file>

<file path=xl/externalLinks/_rels/externalLink14.xml.rels><?xml version="1.0" encoding="UTF-8" standalone="yes"?><Relationships xmlns="http://schemas.openxmlformats.org/package/2006/relationships"><Relationship Id="rId1" Type="http://schemas.openxmlformats.org/officeDocument/2006/relationships/externalLinkPath" Target="/Models/SATIMGE_04/SATIM/DataSpreadsheets/DMD_PRJ_fa202007021116.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Sheet3"/>
      <sheetName val="Sheet1"/>
      <sheetName val="Sheet2"/>
    </sheetNames>
    <sheetDataSet>
      <sheetData sheetId="0"/>
      <sheetData sheetId="1">
        <row r="6">
          <cell r="D6">
            <v>1962336.58872516</v>
          </cell>
          <cell r="E6">
            <v>1968312.44311596</v>
          </cell>
          <cell r="F6">
            <v>2001571.51172439</v>
          </cell>
          <cell r="G6">
            <v>2050962.53213376</v>
          </cell>
          <cell r="H6">
            <v>2127778.3573893</v>
          </cell>
          <cell r="I6">
            <v>2220230.68576874</v>
          </cell>
          <cell r="J6">
            <v>2317959.16413896</v>
          </cell>
          <cell r="K6">
            <v>2389112.85308987</v>
          </cell>
          <cell r="L6">
            <v>2439719.04149623</v>
          </cell>
          <cell r="M6">
            <v>2472682.34362926</v>
          </cell>
          <cell r="N6">
            <v>2491811.66852349</v>
          </cell>
          <cell r="O6">
            <v>2504503.08442356</v>
          </cell>
          <cell r="P6">
            <v>2515719.569944</v>
          </cell>
          <cell r="Q6">
            <v>2525277.97401779</v>
          </cell>
          <cell r="R6">
            <v>2531774.41000102</v>
          </cell>
          <cell r="S6">
            <v>2532777.37049176</v>
          </cell>
        </row>
        <row r="7">
          <cell r="D7">
            <v>2067295.57546684</v>
          </cell>
          <cell r="E7">
            <v>2030563.67084138</v>
          </cell>
          <cell r="F7">
            <v>1999539.51107932</v>
          </cell>
          <cell r="G7">
            <v>1977328.92625102</v>
          </cell>
          <cell r="H7">
            <v>1951892.34328802</v>
          </cell>
          <cell r="I7">
            <v>1940827.98693279</v>
          </cell>
          <cell r="J7">
            <v>1939478.30774182</v>
          </cell>
          <cell r="K7">
            <v>1966495.64824018</v>
          </cell>
          <cell r="L7">
            <v>2010391.43942339</v>
          </cell>
          <cell r="M7">
            <v>2082491.44507836</v>
          </cell>
          <cell r="N7">
            <v>2173073.03004981</v>
          </cell>
          <cell r="O7">
            <v>2271105.45349602</v>
          </cell>
          <cell r="P7">
            <v>2347789.30985516</v>
          </cell>
          <cell r="Q7">
            <v>2406543.16327416</v>
          </cell>
          <cell r="R7">
            <v>2447499.29312576</v>
          </cell>
          <cell r="S7">
            <v>2475453.53715448</v>
          </cell>
        </row>
        <row r="8">
          <cell r="D8">
            <v>2197192.7647991</v>
          </cell>
          <cell r="E8">
            <v>2184063.00694594</v>
          </cell>
          <cell r="F8">
            <v>2161537.88799483</v>
          </cell>
          <cell r="G8">
            <v>2136827.31586078</v>
          </cell>
          <cell r="H8">
            <v>2111064.28903148</v>
          </cell>
          <cell r="I8">
            <v>2070576.11653024</v>
          </cell>
          <cell r="J8">
            <v>2024344.64350339</v>
          </cell>
          <cell r="K8">
            <v>1986820.28829369</v>
          </cell>
          <cell r="L8">
            <v>1959259.36375593</v>
          </cell>
          <cell r="M8">
            <v>1929932.66536753</v>
          </cell>
          <cell r="N8">
            <v>1917743.65431415</v>
          </cell>
          <cell r="O8">
            <v>1916836.5231303</v>
          </cell>
          <cell r="P8">
            <v>1944315.00165342</v>
          </cell>
          <cell r="Q8">
            <v>1990582.20219549</v>
          </cell>
          <cell r="R8">
            <v>2066293.29052194</v>
          </cell>
          <cell r="S8">
            <v>2161893.48225562</v>
          </cell>
        </row>
        <row r="9">
          <cell r="D9">
            <v>2070512.85271975</v>
          </cell>
          <cell r="E9">
            <v>2127114.31552023</v>
          </cell>
          <cell r="F9">
            <v>2174736.22568497</v>
          </cell>
          <cell r="G9">
            <v>2208088.24031762</v>
          </cell>
          <cell r="H9">
            <v>2214458.12738327</v>
          </cell>
          <cell r="I9">
            <v>2205011.76681428</v>
          </cell>
          <cell r="J9">
            <v>2182136.85911389</v>
          </cell>
          <cell r="K9">
            <v>2152597.25434354</v>
          </cell>
          <cell r="L9">
            <v>2121807.00118041</v>
          </cell>
          <cell r="M9">
            <v>2091175.77938335</v>
          </cell>
          <cell r="N9">
            <v>2049164.4162178</v>
          </cell>
          <cell r="O9">
            <v>2003420.84531523</v>
          </cell>
          <cell r="P9">
            <v>1966818.80086838</v>
          </cell>
          <cell r="Q9">
            <v>1942314.84484474</v>
          </cell>
          <cell r="R9">
            <v>1917721.57892281</v>
          </cell>
          <cell r="S9">
            <v>1911064.48846217</v>
          </cell>
        </row>
        <row r="10">
          <cell r="D10">
            <v>1733356.98170967</v>
          </cell>
          <cell r="E10">
            <v>1822648.59208174</v>
          </cell>
          <cell r="F10">
            <v>1912939.85614662</v>
          </cell>
          <cell r="G10">
            <v>1989814.79295595</v>
          </cell>
          <cell r="H10">
            <v>2056917.84160571</v>
          </cell>
          <cell r="I10">
            <v>2110570.18553704</v>
          </cell>
          <cell r="J10">
            <v>2161827.01021154</v>
          </cell>
          <cell r="K10">
            <v>2205765.08458235</v>
          </cell>
          <cell r="L10">
            <v>2235562.30289599</v>
          </cell>
          <cell r="M10">
            <v>2239413.60774211</v>
          </cell>
          <cell r="N10">
            <v>2230613.08062882</v>
          </cell>
          <cell r="O10">
            <v>2210634.1028415</v>
          </cell>
          <cell r="P10">
            <v>2184430.47904747</v>
          </cell>
          <cell r="Q10">
            <v>2158947.30535135</v>
          </cell>
          <cell r="R10">
            <v>2135037.13154567</v>
          </cell>
          <cell r="S10">
            <v>2100858.88497065</v>
          </cell>
        </row>
        <row r="11">
          <cell r="D11">
            <v>1513720.33973522</v>
          </cell>
          <cell r="E11">
            <v>1541221.12442234</v>
          </cell>
          <cell r="F11">
            <v>1573080.87995406</v>
          </cell>
          <cell r="G11">
            <v>1620925.48468884</v>
          </cell>
          <cell r="H11">
            <v>1694072.74311609</v>
          </cell>
          <cell r="I11">
            <v>1781211.03659554</v>
          </cell>
          <cell r="J11">
            <v>1872313.87820179</v>
          </cell>
          <cell r="K11">
            <v>1963590.67922564</v>
          </cell>
          <cell r="L11">
            <v>2041040.91920085</v>
          </cell>
          <cell r="M11">
            <v>2109267.80576002</v>
          </cell>
          <cell r="N11">
            <v>2166487.17529333</v>
          </cell>
          <cell r="O11">
            <v>2222869.96992194</v>
          </cell>
          <cell r="P11">
            <v>2272134.86558559</v>
          </cell>
          <cell r="Q11">
            <v>2309553.13398995</v>
          </cell>
          <cell r="R11">
            <v>2323615.01167406</v>
          </cell>
          <cell r="S11">
            <v>2326453.48075398</v>
          </cell>
        </row>
        <row r="12">
          <cell r="D12">
            <v>1258010.09048871</v>
          </cell>
          <cell r="E12">
            <v>1317108.98592169</v>
          </cell>
          <cell r="F12">
            <v>1369788.22052535</v>
          </cell>
          <cell r="G12">
            <v>1419260.80730843</v>
          </cell>
          <cell r="H12">
            <v>1455041.18258906</v>
          </cell>
          <cell r="I12">
            <v>1484201.37895045</v>
          </cell>
          <cell r="J12">
            <v>1516879.83898988</v>
          </cell>
          <cell r="K12">
            <v>1555796.52506674</v>
          </cell>
          <cell r="L12">
            <v>1610841.60959692</v>
          </cell>
          <cell r="M12">
            <v>1690419.41222361</v>
          </cell>
          <cell r="N12">
            <v>1783515.79025305</v>
          </cell>
          <cell r="O12">
            <v>1880540.23689154</v>
          </cell>
          <cell r="P12">
            <v>1977799.66711928</v>
          </cell>
          <cell r="Q12">
            <v>2062631.22188122</v>
          </cell>
          <cell r="R12">
            <v>2140150.06124118</v>
          </cell>
          <cell r="S12">
            <v>2208498.11068483</v>
          </cell>
        </row>
        <row r="13">
          <cell r="D13">
            <v>1052256.24796664</v>
          </cell>
          <cell r="E13">
            <v>1053476.14352703</v>
          </cell>
          <cell r="F13">
            <v>1059443.62125362</v>
          </cell>
          <cell r="G13">
            <v>1075111.97496571</v>
          </cell>
          <cell r="H13">
            <v>1109438.07242124</v>
          </cell>
          <cell r="I13">
            <v>1159966.43829045</v>
          </cell>
          <cell r="J13">
            <v>1214719.15013028</v>
          </cell>
          <cell r="K13">
            <v>1267835.38567191</v>
          </cell>
          <cell r="L13">
            <v>1323322.90271086</v>
          </cell>
          <cell r="M13">
            <v>1370399.26842166</v>
          </cell>
          <cell r="N13">
            <v>1412480.38501476</v>
          </cell>
          <cell r="O13">
            <v>1457442.92000063</v>
          </cell>
          <cell r="P13">
            <v>1506994.65017703</v>
          </cell>
          <cell r="Q13">
            <v>1570586.59229238</v>
          </cell>
          <cell r="R13">
            <v>1657875.47405044</v>
          </cell>
          <cell r="S13">
            <v>1759030.44889341</v>
          </cell>
        </row>
        <row r="14">
          <cell r="D14">
            <v>900064.957682882</v>
          </cell>
          <cell r="E14">
            <v>916753.784464207</v>
          </cell>
          <cell r="F14">
            <v>928051.427314096</v>
          </cell>
          <cell r="G14">
            <v>934025.552470686</v>
          </cell>
          <cell r="H14">
            <v>934501.906594927</v>
          </cell>
          <cell r="I14">
            <v>933475.210744237</v>
          </cell>
          <cell r="J14">
            <v>933817.207120396</v>
          </cell>
          <cell r="K14">
            <v>942277.009384001</v>
          </cell>
          <cell r="L14">
            <v>963817.960197773</v>
          </cell>
          <cell r="M14">
            <v>1005551.14860981</v>
          </cell>
          <cell r="N14">
            <v>1062916.03548852</v>
          </cell>
          <cell r="O14">
            <v>1125044.0809802</v>
          </cell>
          <cell r="P14">
            <v>1186127.29375502</v>
          </cell>
          <cell r="Q14">
            <v>1247837.75293599</v>
          </cell>
          <cell r="R14">
            <v>1301675.7077986</v>
          </cell>
          <cell r="S14">
            <v>1351247.46992426</v>
          </cell>
        </row>
        <row r="15">
          <cell r="D15">
            <v>735636.469311556</v>
          </cell>
          <cell r="E15">
            <v>749621.821515935</v>
          </cell>
          <cell r="F15">
            <v>760673.387198542</v>
          </cell>
          <cell r="G15">
            <v>770051.770201433</v>
          </cell>
          <cell r="H15">
            <v>778891.891882597</v>
          </cell>
          <cell r="I15">
            <v>788710.728232856</v>
          </cell>
          <cell r="J15">
            <v>801356.679396009</v>
          </cell>
          <cell r="K15">
            <v>812503.807349511</v>
          </cell>
          <cell r="L15">
            <v>822523.382578686</v>
          </cell>
          <cell r="M15">
            <v>830719.819563483</v>
          </cell>
          <cell r="N15">
            <v>837923.521776205</v>
          </cell>
          <cell r="O15">
            <v>846371.629968734</v>
          </cell>
          <cell r="P15">
            <v>862017.575326393</v>
          </cell>
          <cell r="Q15">
            <v>888109.145719015</v>
          </cell>
          <cell r="R15">
            <v>932126.182365305</v>
          </cell>
          <cell r="S15">
            <v>990750.91335471</v>
          </cell>
        </row>
        <row r="16">
          <cell r="D16">
            <v>550597.963108529</v>
          </cell>
          <cell r="E16">
            <v>572460.64080102</v>
          </cell>
          <cell r="F16">
            <v>591896.247990865</v>
          </cell>
          <cell r="G16">
            <v>608121.611350105</v>
          </cell>
          <cell r="H16">
            <v>621048.918403683</v>
          </cell>
          <cell r="I16">
            <v>632261.54431834</v>
          </cell>
          <cell r="J16">
            <v>642800.469669424</v>
          </cell>
          <cell r="K16">
            <v>653540.941104016</v>
          </cell>
          <cell r="L16">
            <v>665509.721187761</v>
          </cell>
          <cell r="M16">
            <v>679079.38092795</v>
          </cell>
          <cell r="N16">
            <v>693593.113756701</v>
          </cell>
          <cell r="O16">
            <v>710450.626342278</v>
          </cell>
          <cell r="P16">
            <v>725958.830318073</v>
          </cell>
          <cell r="Q16">
            <v>739603.380376052</v>
          </cell>
          <cell r="R16">
            <v>751083.357058762</v>
          </cell>
          <cell r="S16">
            <v>761669.141940452</v>
          </cell>
        </row>
        <row r="17">
          <cell r="D17">
            <v>389273.332080666</v>
          </cell>
          <cell r="E17">
            <v>402837.369378664</v>
          </cell>
          <cell r="F17">
            <v>417587.834117891</v>
          </cell>
          <cell r="G17">
            <v>433416.259248139</v>
          </cell>
          <cell r="H17">
            <v>450469.621006008</v>
          </cell>
          <cell r="I17">
            <v>468866.075677368</v>
          </cell>
          <cell r="J17">
            <v>486297.494129806</v>
          </cell>
          <cell r="K17">
            <v>503284.86746354</v>
          </cell>
          <cell r="L17">
            <v>519205.609464393</v>
          </cell>
          <cell r="M17">
            <v>533665.274577396</v>
          </cell>
          <cell r="N17">
            <v>546773.103464699</v>
          </cell>
          <cell r="O17">
            <v>559135.982755257</v>
          </cell>
          <cell r="P17">
            <v>571603.326085416</v>
          </cell>
          <cell r="Q17">
            <v>584803.442519515</v>
          </cell>
          <cell r="R17">
            <v>599313.558061857</v>
          </cell>
          <cell r="S17">
            <v>614892.937049266</v>
          </cell>
        </row>
        <row r="18">
          <cell r="D18">
            <v>300036.167608896</v>
          </cell>
          <cell r="E18">
            <v>301160.905756197</v>
          </cell>
          <cell r="F18">
            <v>302989.916916918</v>
          </cell>
          <cell r="G18">
            <v>306667.800852755</v>
          </cell>
          <cell r="H18">
            <v>312293.194911293</v>
          </cell>
          <cell r="I18">
            <v>319616.638519918</v>
          </cell>
          <cell r="J18">
            <v>330111.494872392</v>
          </cell>
          <cell r="K18">
            <v>342457.708952432</v>
          </cell>
          <cell r="L18">
            <v>356563.815477329</v>
          </cell>
          <cell r="M18">
            <v>372364.574817578</v>
          </cell>
          <cell r="N18">
            <v>389448.382693352</v>
          </cell>
          <cell r="O18">
            <v>405787.894339056</v>
          </cell>
          <cell r="P18">
            <v>421759.021499118</v>
          </cell>
          <cell r="Q18">
            <v>436811.159701559</v>
          </cell>
          <cell r="R18">
            <v>450783.952942575</v>
          </cell>
          <cell r="S18">
            <v>463878.580521527</v>
          </cell>
        </row>
        <row r="19">
          <cell r="D19">
            <v>206221.699648561</v>
          </cell>
          <cell r="E19">
            <v>212380.746660396</v>
          </cell>
          <cell r="F19">
            <v>219263.757137787</v>
          </cell>
          <cell r="G19">
            <v>224186.303950729</v>
          </cell>
          <cell r="H19">
            <v>227039.216480292</v>
          </cell>
          <cell r="I19">
            <v>228568.801861381</v>
          </cell>
          <cell r="J19">
            <v>229137.277846912</v>
          </cell>
          <cell r="K19">
            <v>230809.119809262</v>
          </cell>
          <cell r="L19">
            <v>234394.15686185</v>
          </cell>
          <cell r="M19">
            <v>239801.181863898</v>
          </cell>
          <cell r="N19">
            <v>246626.855079488</v>
          </cell>
          <cell r="O19">
            <v>255973.695700174</v>
          </cell>
          <cell r="P19">
            <v>266776.125237317</v>
          </cell>
          <cell r="Q19">
            <v>279021.59019063</v>
          </cell>
          <cell r="R19">
            <v>292794.425351369</v>
          </cell>
          <cell r="S19">
            <v>307810.927507336</v>
          </cell>
        </row>
        <row r="20">
          <cell r="D20">
            <v>137512.526109692</v>
          </cell>
          <cell r="E20">
            <v>136892.982716981</v>
          </cell>
          <cell r="F20">
            <v>135601.70153524</v>
          </cell>
          <cell r="G20">
            <v>136053.770608409</v>
          </cell>
          <cell r="H20">
            <v>138132.602622801</v>
          </cell>
          <cell r="I20">
            <v>141734.135261871</v>
          </cell>
          <cell r="J20">
            <v>145985.865048037</v>
          </cell>
          <cell r="K20">
            <v>150904.214422699</v>
          </cell>
          <cell r="L20">
            <v>154753.903888752</v>
          </cell>
          <cell r="M20">
            <v>157382.848615708</v>
          </cell>
          <cell r="N20">
            <v>159215.608975075</v>
          </cell>
          <cell r="O20">
            <v>160467.156638638</v>
          </cell>
          <cell r="P20">
            <v>162519.631229504</v>
          </cell>
          <cell r="Q20">
            <v>165972.194357686</v>
          </cell>
          <cell r="R20">
            <v>170845.036902089</v>
          </cell>
          <cell r="S20">
            <v>176873.398131323</v>
          </cell>
        </row>
        <row r="21">
          <cell r="D21">
            <v>81844.6168021838</v>
          </cell>
          <cell r="E21">
            <v>82186.7736030375</v>
          </cell>
          <cell r="F21">
            <v>82609.9330852696</v>
          </cell>
          <cell r="G21">
            <v>82777.9547358323</v>
          </cell>
          <cell r="H21">
            <v>82468.6400882007</v>
          </cell>
          <cell r="I21">
            <v>82007.6909000883</v>
          </cell>
          <cell r="J21">
            <v>81709.7802846217</v>
          </cell>
          <cell r="K21">
            <v>81147.4287953647</v>
          </cell>
          <cell r="L21">
            <v>81833.1896889171</v>
          </cell>
          <cell r="M21">
            <v>83625.6133196727</v>
          </cell>
          <cell r="N21">
            <v>86376.0956858485</v>
          </cell>
          <cell r="O21">
            <v>89554.036616472</v>
          </cell>
          <cell r="P21">
            <v>93068.8393441149</v>
          </cell>
          <cell r="Q21">
            <v>95942.0034275046</v>
          </cell>
          <cell r="R21">
            <v>98163.2374775873</v>
          </cell>
          <cell r="S21">
            <v>100014.16226587</v>
          </cell>
        </row>
        <row r="22">
          <cell r="D22">
            <v>61088.7733726173</v>
          </cell>
          <cell r="E22">
            <v>61359.5160090594</v>
          </cell>
          <cell r="F22">
            <v>61426.0465405983</v>
          </cell>
          <cell r="G22">
            <v>61373.9028860792</v>
          </cell>
          <cell r="H22">
            <v>61750.3293780704</v>
          </cell>
          <cell r="I22">
            <v>62034.0685521223</v>
          </cell>
          <cell r="J22">
            <v>62308.1903447331</v>
          </cell>
          <cell r="K22">
            <v>62629.2656325212</v>
          </cell>
          <cell r="L22">
            <v>62865.1982896265</v>
          </cell>
          <cell r="M22">
            <v>63145.2939815102</v>
          </cell>
          <cell r="N22">
            <v>63345.7627610217</v>
          </cell>
          <cell r="O22">
            <v>63684.4348430624</v>
          </cell>
          <cell r="P22">
            <v>63889.5889390549</v>
          </cell>
          <cell r="Q22">
            <v>64750.9487199437</v>
          </cell>
          <cell r="R22">
            <v>66269.584065194</v>
          </cell>
          <cell r="S22">
            <v>68279.6608585953</v>
          </cell>
        </row>
        <row r="23">
          <cell r="D23">
            <v>1963652.48884547</v>
          </cell>
          <cell r="E23">
            <v>1968529.91699546</v>
          </cell>
          <cell r="F23">
            <v>2001301.97252299</v>
          </cell>
          <cell r="G23">
            <v>2051124.9914772</v>
          </cell>
          <cell r="H23">
            <v>2129120.54611076</v>
          </cell>
          <cell r="I23">
            <v>2222321.82208562</v>
          </cell>
          <cell r="J23">
            <v>2320293.75762238</v>
          </cell>
          <cell r="K23">
            <v>2391271.91681715</v>
          </cell>
          <cell r="L23">
            <v>2440461.55196848</v>
          </cell>
          <cell r="M23">
            <v>2470900.69823325</v>
          </cell>
          <cell r="N23">
            <v>2487526.66024004</v>
          </cell>
          <cell r="O23">
            <v>2497826.96335598</v>
          </cell>
          <cell r="P23">
            <v>2506655.05864791</v>
          </cell>
          <cell r="Q23">
            <v>2514110.58419985</v>
          </cell>
          <cell r="R23">
            <v>2518381.67319033</v>
          </cell>
          <cell r="S23">
            <v>2517269.90955839</v>
          </cell>
        </row>
        <row r="24">
          <cell r="D24">
            <v>2081445.80585704</v>
          </cell>
          <cell r="E24">
            <v>2040296.95294768</v>
          </cell>
          <cell r="F24">
            <v>2007327.07277485</v>
          </cell>
          <cell r="G24">
            <v>1986424.76773349</v>
          </cell>
          <cell r="H24">
            <v>1962716.02129783</v>
          </cell>
          <cell r="I24">
            <v>1952883.04887322</v>
          </cell>
          <cell r="J24">
            <v>1951295.11682305</v>
          </cell>
          <cell r="K24">
            <v>1977863.58907166</v>
          </cell>
          <cell r="L24">
            <v>2020649.11281809</v>
          </cell>
          <cell r="M24">
            <v>2090803.34568593</v>
          </cell>
          <cell r="N24">
            <v>2179598.09655078</v>
          </cell>
          <cell r="O24">
            <v>2276242.98189826</v>
          </cell>
          <cell r="P24">
            <v>2351063.54651699</v>
          </cell>
          <cell r="Q24">
            <v>2407636.70885128</v>
          </cell>
          <cell r="R24">
            <v>2446464.64712347</v>
          </cell>
          <cell r="S24">
            <v>2472426.68968238</v>
          </cell>
        </row>
        <row r="25">
          <cell r="D25">
            <v>2236247.26488565</v>
          </cell>
          <cell r="E25">
            <v>2221394.83350536</v>
          </cell>
          <cell r="F25">
            <v>2196258.62667467</v>
          </cell>
          <cell r="G25">
            <v>2167394.8405357</v>
          </cell>
          <cell r="H25">
            <v>2138455.40120835</v>
          </cell>
          <cell r="I25">
            <v>2094647.10467021</v>
          </cell>
          <cell r="J25">
            <v>2044834.01248218</v>
          </cell>
          <cell r="K25">
            <v>2005273.50286485</v>
          </cell>
          <cell r="L25">
            <v>1977404.46566259</v>
          </cell>
          <cell r="M25">
            <v>1946606.81981351</v>
          </cell>
          <cell r="N25">
            <v>1933039.46269462</v>
          </cell>
          <cell r="O25">
            <v>1930590.58788848</v>
          </cell>
          <cell r="P25">
            <v>1956598.42864228</v>
          </cell>
          <cell r="Q25">
            <v>2001396.29177863</v>
          </cell>
          <cell r="R25">
            <v>2075742.70866403</v>
          </cell>
          <cell r="S25">
            <v>2170234.16439198</v>
          </cell>
        </row>
        <row r="26">
          <cell r="D26">
            <v>2110878.18288097</v>
          </cell>
          <cell r="E26">
            <v>2170233.92903185</v>
          </cell>
          <cell r="F26">
            <v>2220889.37710374</v>
          </cell>
          <cell r="G26">
            <v>2254710.88638609</v>
          </cell>
          <cell r="H26">
            <v>2265208.049858</v>
          </cell>
          <cell r="I26">
            <v>2257855.60406144</v>
          </cell>
          <cell r="J26">
            <v>2234579.2588679</v>
          </cell>
          <cell r="K26">
            <v>2202724.27656338</v>
          </cell>
          <cell r="L26">
            <v>2166375.64394845</v>
          </cell>
          <cell r="M26">
            <v>2129528.97282897</v>
          </cell>
          <cell r="N26">
            <v>2081810.69920578</v>
          </cell>
          <cell r="O26">
            <v>2031524.74079393</v>
          </cell>
          <cell r="P26">
            <v>1992117.23310278</v>
          </cell>
          <cell r="Q26">
            <v>1967217.03804151</v>
          </cell>
          <cell r="R26">
            <v>1941963.46939162</v>
          </cell>
          <cell r="S26">
            <v>1934787.90296419</v>
          </cell>
        </row>
        <row r="27">
          <cell r="D27">
            <v>1771349.91246606</v>
          </cell>
          <cell r="E27">
            <v>1855553.71349388</v>
          </cell>
          <cell r="F27">
            <v>1937772.72825785</v>
          </cell>
          <cell r="G27">
            <v>2018545.49025665</v>
          </cell>
          <cell r="H27">
            <v>2088668.12472027</v>
          </cell>
          <cell r="I27">
            <v>2148068.01328848</v>
          </cell>
          <cell r="J27">
            <v>2203502.06222267</v>
          </cell>
          <cell r="K27">
            <v>2251229.15096254</v>
          </cell>
          <cell r="L27">
            <v>2280597.52620326</v>
          </cell>
          <cell r="M27">
            <v>2285876.42911421</v>
          </cell>
          <cell r="N27">
            <v>2277111.66292826</v>
          </cell>
          <cell r="O27">
            <v>2255858.31943639</v>
          </cell>
          <cell r="P27">
            <v>2226671.17735808</v>
          </cell>
          <cell r="Q27">
            <v>2195978.56819909</v>
          </cell>
          <cell r="R27">
            <v>2167323.11381927</v>
          </cell>
          <cell r="S27">
            <v>2128984.22960554</v>
          </cell>
        </row>
        <row r="28">
          <cell r="D28">
            <v>1511880.21874583</v>
          </cell>
          <cell r="E28">
            <v>1538397.17150511</v>
          </cell>
          <cell r="F28">
            <v>1571678.62204833</v>
          </cell>
          <cell r="G28">
            <v>1619151.19031986</v>
          </cell>
          <cell r="H28">
            <v>1693173.89506227</v>
          </cell>
          <cell r="I28">
            <v>1780554.26047886</v>
          </cell>
          <cell r="J28">
            <v>1869697.68700319</v>
          </cell>
          <cell r="K28">
            <v>1956176.60160439</v>
          </cell>
          <cell r="L28">
            <v>2039690.90537295</v>
          </cell>
          <cell r="M28">
            <v>2111979.80003468</v>
          </cell>
          <cell r="N28">
            <v>2175604.47187841</v>
          </cell>
          <cell r="O28">
            <v>2237182.94897441</v>
          </cell>
          <cell r="P28">
            <v>2290670.96350894</v>
          </cell>
          <cell r="Q28">
            <v>2328582.08391322</v>
          </cell>
          <cell r="R28">
            <v>2345896.14195177</v>
          </cell>
          <cell r="S28">
            <v>2350758.280684</v>
          </cell>
        </row>
        <row r="29">
          <cell r="D29">
            <v>1363863.08831858</v>
          </cell>
          <cell r="E29">
            <v>1372263.52532907</v>
          </cell>
          <cell r="F29">
            <v>1383970.0766588</v>
          </cell>
          <cell r="G29">
            <v>1397026.7006893</v>
          </cell>
          <cell r="H29">
            <v>1413986.85799992</v>
          </cell>
          <cell r="I29">
            <v>1437023.37469439</v>
          </cell>
          <cell r="J29">
            <v>1469836.03233558</v>
          </cell>
          <cell r="K29">
            <v>1512493.28068283</v>
          </cell>
          <cell r="L29">
            <v>1571063.37807381</v>
          </cell>
          <cell r="M29">
            <v>1656385.21501967</v>
          </cell>
          <cell r="N29">
            <v>1754100.66846959</v>
          </cell>
          <cell r="O29">
            <v>1853106.77555601</v>
          </cell>
          <cell r="P29">
            <v>1949145.17528949</v>
          </cell>
          <cell r="Q29">
            <v>2042242.77847546</v>
          </cell>
          <cell r="R29">
            <v>2125688.71037645</v>
          </cell>
          <cell r="S29">
            <v>2202073.50253186</v>
          </cell>
        </row>
        <row r="30">
          <cell r="D30">
            <v>1250589.91257175</v>
          </cell>
          <cell r="E30">
            <v>1250907.02039692</v>
          </cell>
          <cell r="F30">
            <v>1245458.93531622</v>
          </cell>
          <cell r="G30">
            <v>1237325.11120081</v>
          </cell>
          <cell r="H30">
            <v>1226869.78089647</v>
          </cell>
          <cell r="I30">
            <v>1224040.42386331</v>
          </cell>
          <cell r="J30">
            <v>1232083.83763127</v>
          </cell>
          <cell r="K30">
            <v>1248989.66711854</v>
          </cell>
          <cell r="L30">
            <v>1274686.42544973</v>
          </cell>
          <cell r="M30">
            <v>1309689.29437652</v>
          </cell>
          <cell r="N30">
            <v>1350063.58868563</v>
          </cell>
          <cell r="O30">
            <v>1398005.47902554</v>
          </cell>
          <cell r="P30">
            <v>1454096.86214072</v>
          </cell>
          <cell r="Q30">
            <v>1523003.97673585</v>
          </cell>
          <cell r="R30">
            <v>1616879.92814793</v>
          </cell>
          <cell r="S30">
            <v>1723388.22729461</v>
          </cell>
        </row>
        <row r="31">
          <cell r="D31">
            <v>1034221.0831562</v>
          </cell>
          <cell r="E31">
            <v>1056501.98057425</v>
          </cell>
          <cell r="F31">
            <v>1074737.07871158</v>
          </cell>
          <cell r="G31">
            <v>1088545.14731618</v>
          </cell>
          <cell r="H31">
            <v>1098386.41983204</v>
          </cell>
          <cell r="I31">
            <v>1099901.25660015</v>
          </cell>
          <cell r="J31">
            <v>1096899.32559878</v>
          </cell>
          <cell r="K31">
            <v>1093124.38930234</v>
          </cell>
          <cell r="L31">
            <v>1094169.90205163</v>
          </cell>
          <cell r="M31">
            <v>1099514.70758962</v>
          </cell>
          <cell r="N31">
            <v>1112388.56471958</v>
          </cell>
          <cell r="O31">
            <v>1134808.26725814</v>
          </cell>
          <cell r="P31">
            <v>1165286.86721878</v>
          </cell>
          <cell r="Q31">
            <v>1200888.95168714</v>
          </cell>
          <cell r="R31">
            <v>1243363.34467092</v>
          </cell>
          <cell r="S31">
            <v>1291225.14381531</v>
          </cell>
        </row>
        <row r="32">
          <cell r="D32">
            <v>860342.816640505</v>
          </cell>
          <cell r="E32">
            <v>880945.912252924</v>
          </cell>
          <cell r="F32">
            <v>892394.056710374</v>
          </cell>
          <cell r="G32">
            <v>900929.514917914</v>
          </cell>
          <cell r="H32">
            <v>906985.596182471</v>
          </cell>
          <cell r="I32">
            <v>919848.363915383</v>
          </cell>
          <cell r="J32">
            <v>937001.018265108</v>
          </cell>
          <cell r="K32">
            <v>953650.919783817</v>
          </cell>
          <cell r="L32">
            <v>970659.139295677</v>
          </cell>
          <cell r="M32">
            <v>988406.970130436</v>
          </cell>
          <cell r="N32">
            <v>999110.744402955</v>
          </cell>
          <cell r="O32">
            <v>1005228.38534918</v>
          </cell>
          <cell r="P32">
            <v>1011643.89804192</v>
          </cell>
          <cell r="Q32">
            <v>1020321.11739165</v>
          </cell>
          <cell r="R32">
            <v>1031345.25201333</v>
          </cell>
          <cell r="S32">
            <v>1049410.40348338</v>
          </cell>
        </row>
        <row r="33">
          <cell r="D33">
            <v>657939.90638765</v>
          </cell>
          <cell r="E33">
            <v>679444.133543347</v>
          </cell>
          <cell r="F33">
            <v>703778.851588364</v>
          </cell>
          <cell r="G33">
            <v>725200.703938304</v>
          </cell>
          <cell r="H33">
            <v>743719.996761731</v>
          </cell>
          <cell r="I33">
            <v>760981.822773282</v>
          </cell>
          <cell r="J33">
            <v>777963.580836835</v>
          </cell>
          <cell r="K33">
            <v>789825.825319318</v>
          </cell>
          <cell r="L33">
            <v>802310.554387089</v>
          </cell>
          <cell r="M33">
            <v>815337.200809847</v>
          </cell>
          <cell r="N33">
            <v>834311.67882661</v>
          </cell>
          <cell r="O33">
            <v>856512.820949537</v>
          </cell>
          <cell r="P33">
            <v>878505.030939955</v>
          </cell>
          <cell r="Q33">
            <v>899737.990642067</v>
          </cell>
          <cell r="R33">
            <v>920666.917272001</v>
          </cell>
          <cell r="S33">
            <v>935189.375830271</v>
          </cell>
        </row>
        <row r="34">
          <cell r="D34">
            <v>485536.449168942</v>
          </cell>
          <cell r="E34">
            <v>506075.486920222</v>
          </cell>
          <cell r="F34">
            <v>526725.884149407</v>
          </cell>
          <cell r="G34">
            <v>546420.962840262</v>
          </cell>
          <cell r="H34">
            <v>565002.422689887</v>
          </cell>
          <cell r="I34">
            <v>583311.876379933</v>
          </cell>
          <cell r="J34">
            <v>601532.846401528</v>
          </cell>
          <cell r="K34">
            <v>624016.975926893</v>
          </cell>
          <cell r="L34">
            <v>645891.705104365</v>
          </cell>
          <cell r="M34">
            <v>667022.83106329</v>
          </cell>
          <cell r="N34">
            <v>687114.713982659</v>
          </cell>
          <cell r="O34">
            <v>706521.680772602</v>
          </cell>
          <cell r="P34">
            <v>721253.83790632</v>
          </cell>
          <cell r="Q34">
            <v>736100.238573205</v>
          </cell>
          <cell r="R34">
            <v>751095.23391908</v>
          </cell>
          <cell r="S34">
            <v>771843.138726028</v>
          </cell>
        </row>
        <row r="35">
          <cell r="D35">
            <v>383219.881779229</v>
          </cell>
          <cell r="E35">
            <v>386046.912047308</v>
          </cell>
          <cell r="F35">
            <v>390977.108605211</v>
          </cell>
          <cell r="G35">
            <v>399255.52714797</v>
          </cell>
          <cell r="H35">
            <v>411141.155737496</v>
          </cell>
          <cell r="I35">
            <v>426137.963029865</v>
          </cell>
          <cell r="J35">
            <v>443571.496355012</v>
          </cell>
          <cell r="K35">
            <v>462150.839453719</v>
          </cell>
          <cell r="L35">
            <v>480910.95808618</v>
          </cell>
          <cell r="M35">
            <v>499628.980908881</v>
          </cell>
          <cell r="N35">
            <v>518276.89803143</v>
          </cell>
          <cell r="O35">
            <v>536751.444180441</v>
          </cell>
          <cell r="P35">
            <v>559077.700004535</v>
          </cell>
          <cell r="Q35">
            <v>580878.08407048</v>
          </cell>
          <cell r="R35">
            <v>602079.422923003</v>
          </cell>
          <cell r="S35">
            <v>622644.888590572</v>
          </cell>
        </row>
        <row r="36">
          <cell r="D36">
            <v>321161.594410674</v>
          </cell>
          <cell r="E36">
            <v>322319.682638684</v>
          </cell>
          <cell r="F36">
            <v>323804.684297597</v>
          </cell>
          <cell r="G36">
            <v>324966.51794379</v>
          </cell>
          <cell r="H36">
            <v>325508.740818126</v>
          </cell>
          <cell r="I36">
            <v>326819.16631664</v>
          </cell>
          <cell r="J36">
            <v>328782.979004421</v>
          </cell>
          <cell r="K36">
            <v>333180.938996283</v>
          </cell>
          <cell r="L36">
            <v>340937.387026405</v>
          </cell>
          <cell r="M36">
            <v>352228.887686827</v>
          </cell>
          <cell r="N36">
            <v>366373.527532235</v>
          </cell>
          <cell r="O36">
            <v>382652.274876306</v>
          </cell>
          <cell r="P36">
            <v>399926.95828704</v>
          </cell>
          <cell r="Q36">
            <v>417559.42128547</v>
          </cell>
          <cell r="R36">
            <v>435383.890822232</v>
          </cell>
          <cell r="S36">
            <v>453434.475422936</v>
          </cell>
        </row>
        <row r="37">
          <cell r="D37">
            <v>255918.00712992</v>
          </cell>
          <cell r="E37">
            <v>256574.247172659</v>
          </cell>
          <cell r="F37">
            <v>257417.962836828</v>
          </cell>
          <cell r="G37">
            <v>258321.403920919</v>
          </cell>
          <cell r="H37">
            <v>258975.34402667</v>
          </cell>
          <cell r="I37">
            <v>259021.804865842</v>
          </cell>
          <cell r="J37">
            <v>259738.522372511</v>
          </cell>
          <cell r="K37">
            <v>261043.550812523</v>
          </cell>
          <cell r="L37">
            <v>262299.50658484</v>
          </cell>
          <cell r="M37">
            <v>263271.530187987</v>
          </cell>
          <cell r="N37">
            <v>265021.199688733</v>
          </cell>
          <cell r="O37">
            <v>267418.784528344</v>
          </cell>
          <cell r="P37">
            <v>271803.879595875</v>
          </cell>
          <cell r="Q37">
            <v>279161.325732952</v>
          </cell>
          <cell r="R37">
            <v>289617.122101432</v>
          </cell>
          <cell r="S37">
            <v>302588.836007684</v>
          </cell>
        </row>
        <row r="38">
          <cell r="D38">
            <v>186081.207084015</v>
          </cell>
          <cell r="E38">
            <v>186665.487861227</v>
          </cell>
          <cell r="F38">
            <v>187030.35977436</v>
          </cell>
          <cell r="G38">
            <v>187209.670210067</v>
          </cell>
          <cell r="H38">
            <v>188144.720005217</v>
          </cell>
          <cell r="I38">
            <v>188602.062328795</v>
          </cell>
          <cell r="J38">
            <v>189236.174278202</v>
          </cell>
          <cell r="K38">
            <v>190111.913670893</v>
          </cell>
          <cell r="L38">
            <v>191090.255709248</v>
          </cell>
          <cell r="M38">
            <v>192002.183875794</v>
          </cell>
          <cell r="N38">
            <v>192566.756383869</v>
          </cell>
          <cell r="O38">
            <v>193725.897481084</v>
          </cell>
          <cell r="P38">
            <v>195271.767415757</v>
          </cell>
          <cell r="Q38">
            <v>196952.508321289</v>
          </cell>
          <cell r="R38">
            <v>198581.789889836</v>
          </cell>
          <cell r="S38">
            <v>200882.669154219</v>
          </cell>
        </row>
        <row r="39">
          <cell r="D39">
            <v>188654.147239264</v>
          </cell>
          <cell r="E39">
            <v>191181.688225872</v>
          </cell>
          <cell r="F39">
            <v>193456.582005928</v>
          </cell>
          <cell r="G39">
            <v>195721.413130427</v>
          </cell>
          <cell r="H39">
            <v>197525.202032858</v>
          </cell>
          <cell r="I39">
            <v>199294.743469409</v>
          </cell>
          <cell r="J39">
            <v>201015.192310807</v>
          </cell>
          <cell r="K39">
            <v>202549.643786708</v>
          </cell>
          <cell r="L39">
            <v>204019.205944972</v>
          </cell>
          <cell r="M39">
            <v>205789.350453396</v>
          </cell>
          <cell r="N39">
            <v>207439.777698392</v>
          </cell>
          <cell r="O39">
            <v>209260.916991741</v>
          </cell>
          <cell r="P39">
            <v>211038.735991576</v>
          </cell>
          <cell r="Q39">
            <v>213120.038521333</v>
          </cell>
          <cell r="R39">
            <v>215565.651516948</v>
          </cell>
          <cell r="S39">
            <v>217811.962699286</v>
          </cell>
        </row>
        <row r="40">
          <cell r="D40">
            <v>211107.61547334</v>
          </cell>
          <cell r="E40">
            <v>209471.692206098</v>
          </cell>
          <cell r="F40">
            <v>209680.36384661</v>
          </cell>
          <cell r="G40">
            <v>210780.200230254</v>
          </cell>
          <cell r="H40">
            <v>214125.852220567</v>
          </cell>
          <cell r="I40">
            <v>218999.564833545</v>
          </cell>
          <cell r="J40">
            <v>223564.453555878</v>
          </cell>
          <cell r="K40">
            <v>227918.184422366</v>
          </cell>
          <cell r="L40">
            <v>232075.055067866</v>
          </cell>
          <cell r="M40">
            <v>235522.585266649</v>
          </cell>
          <cell r="N40">
            <v>237763.009977587</v>
          </cell>
          <cell r="O40">
            <v>239696.985988925</v>
          </cell>
          <cell r="P40">
            <v>241119.420448435</v>
          </cell>
          <cell r="Q40">
            <v>242143.783258683</v>
          </cell>
          <cell r="R40">
            <v>243100.820101724</v>
          </cell>
          <cell r="S40">
            <v>244218.023363617</v>
          </cell>
        </row>
        <row r="41">
          <cell r="D41">
            <v>220083.507488231</v>
          </cell>
          <cell r="E41">
            <v>218474.432037611</v>
          </cell>
          <cell r="F41">
            <v>216403.77871128</v>
          </cell>
          <cell r="G41">
            <v>214613.56995741</v>
          </cell>
          <cell r="H41">
            <v>211983.801460486</v>
          </cell>
          <cell r="I41">
            <v>208726.016282004</v>
          </cell>
          <cell r="J41">
            <v>206910.106830061</v>
          </cell>
          <cell r="K41">
            <v>206928.264623191</v>
          </cell>
          <cell r="L41">
            <v>207792.694169797</v>
          </cell>
          <cell r="M41">
            <v>210931.155013738</v>
          </cell>
          <cell r="N41">
            <v>215698.10365732</v>
          </cell>
          <cell r="O41">
            <v>220190.529292042</v>
          </cell>
          <cell r="P41">
            <v>224563.427274676</v>
          </cell>
          <cell r="Q41">
            <v>228863.209025372</v>
          </cell>
          <cell r="R41">
            <v>232472.301239944</v>
          </cell>
          <cell r="S41">
            <v>234934.570218272</v>
          </cell>
        </row>
        <row r="42">
          <cell r="D42">
            <v>223657.650037872</v>
          </cell>
          <cell r="E42">
            <v>224093.007013113</v>
          </cell>
          <cell r="F42">
            <v>223772.481083082</v>
          </cell>
          <cell r="G42">
            <v>222636.179247795</v>
          </cell>
          <cell r="H42">
            <v>220954.1404347</v>
          </cell>
          <cell r="I42">
            <v>219327.476046464</v>
          </cell>
          <cell r="J42">
            <v>217530.110132889</v>
          </cell>
          <cell r="K42">
            <v>215258.902068786</v>
          </cell>
          <cell r="L42">
            <v>213218.030761973</v>
          </cell>
          <cell r="M42">
            <v>210358.005144512</v>
          </cell>
          <cell r="N42">
            <v>207015.68197127</v>
          </cell>
          <cell r="O42">
            <v>205137.92534806</v>
          </cell>
          <cell r="P42">
            <v>205143.797251847</v>
          </cell>
          <cell r="Q42">
            <v>206079.836764078</v>
          </cell>
          <cell r="R42">
            <v>209318.702593679</v>
          </cell>
          <cell r="S42">
            <v>214174.408244618</v>
          </cell>
        </row>
        <row r="43">
          <cell r="D43">
            <v>207096.088355177</v>
          </cell>
          <cell r="E43">
            <v>211548.862348557</v>
          </cell>
          <cell r="F43">
            <v>215904.783092412</v>
          </cell>
          <cell r="G43">
            <v>220302.475083355</v>
          </cell>
          <cell r="H43">
            <v>221823.596431418</v>
          </cell>
          <cell r="I43">
            <v>222713.886340125</v>
          </cell>
          <cell r="J43">
            <v>222953.901114509</v>
          </cell>
          <cell r="K43">
            <v>222419.202187409</v>
          </cell>
          <cell r="L43">
            <v>221026.150356433</v>
          </cell>
          <cell r="M43">
            <v>219097.290323267</v>
          </cell>
          <cell r="N43">
            <v>217370.414442579</v>
          </cell>
          <cell r="O43">
            <v>215505.943194014</v>
          </cell>
          <cell r="P43">
            <v>213243.627516817</v>
          </cell>
          <cell r="Q43">
            <v>211303.083717103</v>
          </cell>
          <cell r="R43">
            <v>208591.787287343</v>
          </cell>
          <cell r="S43">
            <v>205394.406971954</v>
          </cell>
        </row>
        <row r="44">
          <cell r="D44">
            <v>174765.661965233</v>
          </cell>
          <cell r="E44">
            <v>181407.861655556</v>
          </cell>
          <cell r="F44">
            <v>187991.088412829</v>
          </cell>
          <cell r="G44">
            <v>194168.597262497</v>
          </cell>
          <cell r="H44">
            <v>199861.559144076</v>
          </cell>
          <cell r="I44">
            <v>205483.004469834</v>
          </cell>
          <cell r="J44">
            <v>209745.315868143</v>
          </cell>
          <cell r="K44">
            <v>213880.148505503</v>
          </cell>
          <cell r="L44">
            <v>217995.610798486</v>
          </cell>
          <cell r="M44">
            <v>219268.335048638</v>
          </cell>
          <cell r="N44">
            <v>220054.308320893</v>
          </cell>
          <cell r="O44">
            <v>220226.487735438</v>
          </cell>
          <cell r="P44">
            <v>219707.521638314</v>
          </cell>
          <cell r="Q44">
            <v>218432.676148973</v>
          </cell>
          <cell r="R44">
            <v>216675.604006777</v>
          </cell>
          <cell r="S44">
            <v>215111.526581885</v>
          </cell>
        </row>
        <row r="45">
          <cell r="D45">
            <v>166680.553167698</v>
          </cell>
          <cell r="E45">
            <v>165275.240317697</v>
          </cell>
          <cell r="F45">
            <v>164536.290327551</v>
          </cell>
          <cell r="G45">
            <v>164857.954623292</v>
          </cell>
          <cell r="H45">
            <v>168714.576673413</v>
          </cell>
          <cell r="I45">
            <v>172321.854928504</v>
          </cell>
          <cell r="J45">
            <v>178780.582363834</v>
          </cell>
          <cell r="K45">
            <v>185159.789941261</v>
          </cell>
          <cell r="L45">
            <v>191103.20146052</v>
          </cell>
          <cell r="M45">
            <v>196595.406452229</v>
          </cell>
          <cell r="N45">
            <v>202120.69935596</v>
          </cell>
          <cell r="O45">
            <v>206328.54936274</v>
          </cell>
          <cell r="P45">
            <v>210461.837381454</v>
          </cell>
          <cell r="Q45">
            <v>214653.90237929</v>
          </cell>
          <cell r="R45">
            <v>216100.254031803</v>
          </cell>
          <cell r="S45">
            <v>217061.53027092</v>
          </cell>
        </row>
        <row r="46">
          <cell r="D46">
            <v>162588.955647975</v>
          </cell>
          <cell r="E46">
            <v>163393.368235884</v>
          </cell>
          <cell r="F46">
            <v>163685.592977312</v>
          </cell>
          <cell r="G46">
            <v>163502.64189549</v>
          </cell>
          <cell r="H46">
            <v>162886.112713868</v>
          </cell>
          <cell r="I46">
            <v>162703.126016216</v>
          </cell>
          <cell r="J46">
            <v>161274.068847929</v>
          </cell>
          <cell r="K46">
            <v>160523.588007791</v>
          </cell>
          <cell r="L46">
            <v>160835.850315536</v>
          </cell>
          <cell r="M46">
            <v>164660.055885433</v>
          </cell>
          <cell r="N46">
            <v>168339.621658513</v>
          </cell>
          <cell r="O46">
            <v>174815.967954068</v>
          </cell>
          <cell r="P46">
            <v>181250.545633505</v>
          </cell>
          <cell r="Q46">
            <v>187292.707301451</v>
          </cell>
          <cell r="R46">
            <v>192929.703999794</v>
          </cell>
          <cell r="S46">
            <v>198595.314354766</v>
          </cell>
        </row>
        <row r="47">
          <cell r="D47">
            <v>151176.921665616</v>
          </cell>
          <cell r="E47">
            <v>152774.161379334</v>
          </cell>
          <cell r="F47">
            <v>153961.190404789</v>
          </cell>
          <cell r="G47">
            <v>154950.738877088</v>
          </cell>
          <cell r="H47">
            <v>155836.198461356</v>
          </cell>
          <cell r="I47">
            <v>156635.264397341</v>
          </cell>
          <cell r="J47">
            <v>157337.058277722</v>
          </cell>
          <cell r="K47">
            <v>157605.760699447</v>
          </cell>
          <cell r="L47">
            <v>157507.963466968</v>
          </cell>
          <cell r="M47">
            <v>157111.081953413</v>
          </cell>
          <cell r="N47">
            <v>157250.191980292</v>
          </cell>
          <cell r="O47">
            <v>156188.495429097</v>
          </cell>
          <cell r="P47">
            <v>155788.232625571</v>
          </cell>
          <cell r="Q47">
            <v>156403.127106568</v>
          </cell>
          <cell r="R47">
            <v>160440.877510018</v>
          </cell>
          <cell r="S47">
            <v>164324.697374055</v>
          </cell>
        </row>
        <row r="48">
          <cell r="D48">
            <v>134037.852211669</v>
          </cell>
          <cell r="E48">
            <v>137328.588603542</v>
          </cell>
          <cell r="F48">
            <v>140107.548986169</v>
          </cell>
          <cell r="G48">
            <v>142042.187104967</v>
          </cell>
          <cell r="H48">
            <v>143031.027040257</v>
          </cell>
          <cell r="I48">
            <v>143848.732666672</v>
          </cell>
          <cell r="J48">
            <v>145264.361235085</v>
          </cell>
          <cell r="K48">
            <v>146361.303950051</v>
          </cell>
          <cell r="L48">
            <v>147385.140384574</v>
          </cell>
          <cell r="M48">
            <v>148457.81926812</v>
          </cell>
          <cell r="N48">
            <v>149577.354211225</v>
          </cell>
          <cell r="O48">
            <v>150648.897454756</v>
          </cell>
          <cell r="P48">
            <v>151329.582989881</v>
          </cell>
          <cell r="Q48">
            <v>151619.806033276</v>
          </cell>
          <cell r="R48">
            <v>151580.288467352</v>
          </cell>
          <cell r="S48">
            <v>152024.520730234</v>
          </cell>
        </row>
        <row r="49">
          <cell r="D49">
            <v>103817.280902834</v>
          </cell>
          <cell r="E49">
            <v>107623.252815059</v>
          </cell>
          <cell r="F49">
            <v>111736.942655574</v>
          </cell>
          <cell r="G49">
            <v>116296.25752794</v>
          </cell>
          <cell r="H49">
            <v>121359.811251242</v>
          </cell>
          <cell r="I49">
            <v>126177.627486071</v>
          </cell>
          <cell r="J49">
            <v>129190.490475693</v>
          </cell>
          <cell r="K49">
            <v>131780.183417418</v>
          </cell>
          <cell r="L49">
            <v>133678.131105467</v>
          </cell>
          <cell r="M49">
            <v>134815.251962061</v>
          </cell>
          <cell r="N49">
            <v>135897.991930131</v>
          </cell>
          <cell r="O49">
            <v>137576.005588874</v>
          </cell>
          <cell r="P49">
            <v>138985.701180037</v>
          </cell>
          <cell r="Q49">
            <v>140303.436011291</v>
          </cell>
          <cell r="R49">
            <v>141642.787859744</v>
          </cell>
          <cell r="S49">
            <v>143000.270529239</v>
          </cell>
        </row>
        <row r="50">
          <cell r="D50">
            <v>81884.9970354935</v>
          </cell>
          <cell r="E50">
            <v>84668.2192253067</v>
          </cell>
          <cell r="F50">
            <v>87462.5091963321</v>
          </cell>
          <cell r="G50">
            <v>90279.6663854491</v>
          </cell>
          <cell r="H50">
            <v>93045.8313073696</v>
          </cell>
          <cell r="I50">
            <v>95793.1939954214</v>
          </cell>
          <cell r="J50">
            <v>99273.4208486098</v>
          </cell>
          <cell r="K50">
            <v>103085.876882715</v>
          </cell>
          <cell r="L50">
            <v>107378.414010085</v>
          </cell>
          <cell r="M50">
            <v>112237.34821308</v>
          </cell>
          <cell r="N50">
            <v>116951.800284106</v>
          </cell>
          <cell r="O50">
            <v>120029.284057094</v>
          </cell>
          <cell r="P50">
            <v>122757.094861104</v>
          </cell>
          <cell r="Q50">
            <v>124828.220201079</v>
          </cell>
          <cell r="R50">
            <v>126172.155517074</v>
          </cell>
          <cell r="S50">
            <v>127447.096933822</v>
          </cell>
        </row>
        <row r="51">
          <cell r="D51">
            <v>59155.0117926096</v>
          </cell>
          <cell r="E51">
            <v>61940.5326087169</v>
          </cell>
          <cell r="F51">
            <v>64793.2785110395</v>
          </cell>
          <cell r="G51">
            <v>67679.4256692525</v>
          </cell>
          <cell r="H51">
            <v>70591.4031383805</v>
          </cell>
          <cell r="I51">
            <v>73557.4042851355</v>
          </cell>
          <cell r="J51">
            <v>76050.3719949606</v>
          </cell>
          <cell r="K51">
            <v>78580.9370980757</v>
          </cell>
          <cell r="L51">
            <v>81165.7986463002</v>
          </cell>
          <cell r="M51">
            <v>83762.902615781</v>
          </cell>
          <cell r="N51">
            <v>86397.3927688558</v>
          </cell>
          <cell r="O51">
            <v>89730.30011305</v>
          </cell>
          <cell r="P51">
            <v>93396.0835149109</v>
          </cell>
          <cell r="Q51">
            <v>97511.9155191311</v>
          </cell>
          <cell r="R51">
            <v>102145.0619348</v>
          </cell>
          <cell r="S51">
            <v>106634.097436897</v>
          </cell>
        </row>
        <row r="52">
          <cell r="D52">
            <v>41340.3483254987</v>
          </cell>
          <cell r="E52">
            <v>42977.5916842683</v>
          </cell>
          <cell r="F52">
            <v>44734.255832076</v>
          </cell>
          <cell r="G52">
            <v>46628.9730278947</v>
          </cell>
          <cell r="H52">
            <v>48674.4933249172</v>
          </cell>
          <cell r="I52">
            <v>50618.661179571</v>
          </cell>
          <cell r="J52">
            <v>53025.8278759437</v>
          </cell>
          <cell r="K52">
            <v>55500.8429289811</v>
          </cell>
          <cell r="L52">
            <v>58018.7637669665</v>
          </cell>
          <cell r="M52">
            <v>60590.8435049848</v>
          </cell>
          <cell r="N52">
            <v>63239.9367245662</v>
          </cell>
          <cell r="O52">
            <v>65518.2815594919</v>
          </cell>
          <cell r="P52">
            <v>67853.9200545806</v>
          </cell>
          <cell r="Q52">
            <v>70255.4646983719</v>
          </cell>
          <cell r="R52">
            <v>72675.576388215</v>
          </cell>
          <cell r="S52">
            <v>75131.9672887273</v>
          </cell>
        </row>
        <row r="53">
          <cell r="D53">
            <v>29252.7203299765</v>
          </cell>
          <cell r="E53">
            <v>29751.4061002255</v>
          </cell>
          <cell r="F53">
            <v>30258.3728887228</v>
          </cell>
          <cell r="G53">
            <v>30864.4405150134</v>
          </cell>
          <cell r="H53">
            <v>31570.177892365</v>
          </cell>
          <cell r="I53">
            <v>32631.6782250569</v>
          </cell>
          <cell r="J53">
            <v>33954.335113771</v>
          </cell>
          <cell r="K53">
            <v>35379.6581148112</v>
          </cell>
          <cell r="L53">
            <v>36924.1260114492</v>
          </cell>
          <cell r="M53">
            <v>38607.0951178192</v>
          </cell>
          <cell r="N53">
            <v>40235.4176498789</v>
          </cell>
          <cell r="O53">
            <v>42268.1513667869</v>
          </cell>
          <cell r="P53">
            <v>44366.9076128051</v>
          </cell>
          <cell r="Q53">
            <v>46512.4355293607</v>
          </cell>
          <cell r="R53">
            <v>48710.3055068918</v>
          </cell>
          <cell r="S53">
            <v>50973.2559408812</v>
          </cell>
        </row>
        <row r="54">
          <cell r="D54">
            <v>18364.1465978174</v>
          </cell>
          <cell r="E54">
            <v>19054.0800194166</v>
          </cell>
          <cell r="F54">
            <v>19677.2609705523</v>
          </cell>
          <cell r="G54">
            <v>20138.2229207218</v>
          </cell>
          <cell r="H54">
            <v>20427.703175486</v>
          </cell>
          <cell r="I54">
            <v>20763.6990051943</v>
          </cell>
          <cell r="J54">
            <v>21136.7440416804</v>
          </cell>
          <cell r="K54">
            <v>21531.0004126728</v>
          </cell>
          <cell r="L54">
            <v>22006.7030139547</v>
          </cell>
          <cell r="M54">
            <v>22568.901395014</v>
          </cell>
          <cell r="N54">
            <v>23403.3547012972</v>
          </cell>
          <cell r="O54">
            <v>24436.7588247854</v>
          </cell>
          <cell r="P54">
            <v>25553.1428975349</v>
          </cell>
          <cell r="Q54">
            <v>26762.6564659565</v>
          </cell>
          <cell r="R54">
            <v>28077.477634863</v>
          </cell>
          <cell r="S54">
            <v>29365.6997260825</v>
          </cell>
        </row>
        <row r="55">
          <cell r="D55">
            <v>10059.8450760117</v>
          </cell>
          <cell r="E55">
            <v>10038.3203171938</v>
          </cell>
          <cell r="F55">
            <v>10146.2442503215</v>
          </cell>
          <cell r="G55">
            <v>10434.5045737365</v>
          </cell>
          <cell r="H55">
            <v>10906.80901996</v>
          </cell>
          <cell r="I55">
            <v>11375.6110071923</v>
          </cell>
          <cell r="J55">
            <v>11809.0266122921</v>
          </cell>
          <cell r="K55">
            <v>12208.3818423309</v>
          </cell>
          <cell r="L55">
            <v>12518.6212859511</v>
          </cell>
          <cell r="M55">
            <v>12739.331124713</v>
          </cell>
          <cell r="N55">
            <v>12992.6452999385</v>
          </cell>
          <cell r="O55">
            <v>13276.6563784609</v>
          </cell>
          <cell r="P55">
            <v>13581.5638219896</v>
          </cell>
          <cell r="Q55">
            <v>13943.9545281475</v>
          </cell>
          <cell r="R55">
            <v>14365.8008482659</v>
          </cell>
          <cell r="S55">
            <v>14968.9700362279</v>
          </cell>
        </row>
        <row r="56">
          <cell r="D56">
            <v>7457.55702530725</v>
          </cell>
          <cell r="E56">
            <v>7576.56322454069</v>
          </cell>
          <cell r="F56">
            <v>7672.30813990829</v>
          </cell>
          <cell r="G56">
            <v>7733.90362055697</v>
          </cell>
          <cell r="H56">
            <v>7762.92833978582</v>
          </cell>
          <cell r="I56">
            <v>7787.64061017767</v>
          </cell>
          <cell r="J56">
            <v>7836.92682131651</v>
          </cell>
          <cell r="K56">
            <v>7953.88501841943</v>
          </cell>
          <cell r="L56">
            <v>8152.52184353002</v>
          </cell>
          <cell r="M56">
            <v>8436.20592853557</v>
          </cell>
          <cell r="N56">
            <v>8700.41427070819</v>
          </cell>
          <cell r="O56">
            <v>8955.65009699675</v>
          </cell>
          <cell r="P56">
            <v>9226.71977441554</v>
          </cell>
          <cell r="Q56">
            <v>9494.81751315693</v>
          </cell>
          <cell r="R56">
            <v>9761.00676779865</v>
          </cell>
          <cell r="S56">
            <v>10037.1355527634</v>
          </cell>
        </row>
        <row r="57">
          <cell r="D57">
            <v>208160.321190227</v>
          </cell>
          <cell r="E57">
            <v>206472.286565237</v>
          </cell>
          <cell r="F57">
            <v>206610.507524991</v>
          </cell>
          <cell r="G57">
            <v>207651.09558704</v>
          </cell>
          <cell r="H57">
            <v>210968.500900296</v>
          </cell>
          <cell r="I57">
            <v>215723.545443816</v>
          </cell>
          <cell r="J57">
            <v>220173.688342654</v>
          </cell>
          <cell r="K57">
            <v>224426.569305263</v>
          </cell>
          <cell r="L57">
            <v>228524.323041755</v>
          </cell>
          <cell r="M57">
            <v>231956.798203367</v>
          </cell>
          <cell r="N57">
            <v>234203.42387419</v>
          </cell>
          <cell r="O57">
            <v>236087.36700892</v>
          </cell>
          <cell r="P57">
            <v>237440.911797068</v>
          </cell>
          <cell r="Q57">
            <v>238383.284872726</v>
          </cell>
          <cell r="R57">
            <v>239259.683121982</v>
          </cell>
          <cell r="S57">
            <v>240283.795048312</v>
          </cell>
        </row>
        <row r="58">
          <cell r="D58">
            <v>217820.178684677</v>
          </cell>
          <cell r="E58">
            <v>216138.344565003</v>
          </cell>
          <cell r="F58">
            <v>214023.94999656</v>
          </cell>
          <cell r="G58">
            <v>212218.579577667</v>
          </cell>
          <cell r="H58">
            <v>209586.297977035</v>
          </cell>
          <cell r="I58">
            <v>206312.073105761</v>
          </cell>
          <cell r="J58">
            <v>204403.017392202</v>
          </cell>
          <cell r="K58">
            <v>204294.882879167</v>
          </cell>
          <cell r="L58">
            <v>205046.043532445</v>
          </cell>
          <cell r="M58">
            <v>208108.986812901</v>
          </cell>
          <cell r="N58">
            <v>212767.446268442</v>
          </cell>
          <cell r="O58">
            <v>217189.510381816</v>
          </cell>
          <cell r="P58">
            <v>221503.793081402</v>
          </cell>
          <cell r="Q58">
            <v>225759.20290412</v>
          </cell>
          <cell r="R58">
            <v>229312.381087145</v>
          </cell>
          <cell r="S58">
            <v>231744.132516923</v>
          </cell>
        </row>
        <row r="59">
          <cell r="D59">
            <v>222551.02683804</v>
          </cell>
          <cell r="E59">
            <v>222827.072432847</v>
          </cell>
          <cell r="F59">
            <v>222344.158982087</v>
          </cell>
          <cell r="G59">
            <v>221065.824138089</v>
          </cell>
          <cell r="H59">
            <v>219285.791640264</v>
          </cell>
          <cell r="I59">
            <v>217580.360120616</v>
          </cell>
          <cell r="J59">
            <v>215674.228779185</v>
          </cell>
          <cell r="K59">
            <v>213301.084541491</v>
          </cell>
          <cell r="L59">
            <v>211181.388254563</v>
          </cell>
          <cell r="M59">
            <v>208295.024346711</v>
          </cell>
          <cell r="N59">
            <v>204914.75146449</v>
          </cell>
          <cell r="O59">
            <v>202963.179941021</v>
          </cell>
          <cell r="P59">
            <v>202868.901827632</v>
          </cell>
          <cell r="Q59">
            <v>203711.945970484</v>
          </cell>
          <cell r="R59">
            <v>206847.450802595</v>
          </cell>
          <cell r="S59">
            <v>211580.680470123</v>
          </cell>
        </row>
        <row r="60">
          <cell r="D60">
            <v>208584.666359896</v>
          </cell>
          <cell r="E60">
            <v>212448.978871765</v>
          </cell>
          <cell r="F60">
            <v>216278.34188209</v>
          </cell>
          <cell r="G60">
            <v>219964.053965635</v>
          </cell>
          <cell r="H60">
            <v>221413.260726066</v>
          </cell>
          <cell r="I60">
            <v>222185.782152593</v>
          </cell>
          <cell r="J60">
            <v>222237.40302543</v>
          </cell>
          <cell r="K60">
            <v>221490.635741555</v>
          </cell>
          <cell r="L60">
            <v>219895.399644029</v>
          </cell>
          <cell r="M60">
            <v>217847.951687664</v>
          </cell>
          <cell r="N60">
            <v>216018.078078836</v>
          </cell>
          <cell r="O60">
            <v>214063.173635366</v>
          </cell>
          <cell r="P60">
            <v>211722.745773441</v>
          </cell>
          <cell r="Q60">
            <v>209719.756155133</v>
          </cell>
          <cell r="R60">
            <v>206946.156114958</v>
          </cell>
          <cell r="S60">
            <v>203684.956539794</v>
          </cell>
        </row>
        <row r="61">
          <cell r="D61">
            <v>182043.076973986</v>
          </cell>
          <cell r="E61">
            <v>188444.066910059</v>
          </cell>
          <cell r="F61">
            <v>194807.513564308</v>
          </cell>
          <cell r="G61">
            <v>200961.275422542</v>
          </cell>
          <cell r="H61">
            <v>204122.68453509</v>
          </cell>
          <cell r="I61">
            <v>207563.993536149</v>
          </cell>
          <cell r="J61">
            <v>211223.905279591</v>
          </cell>
          <cell r="K61">
            <v>214802.118151878</v>
          </cell>
          <cell r="L61">
            <v>218173.619105272</v>
          </cell>
          <cell r="M61">
            <v>219367.258213777</v>
          </cell>
          <cell r="N61">
            <v>220033.388036509</v>
          </cell>
          <cell r="O61">
            <v>220052.156105562</v>
          </cell>
          <cell r="P61">
            <v>219355.954937858</v>
          </cell>
          <cell r="Q61">
            <v>217902.068448786</v>
          </cell>
          <cell r="R61">
            <v>215992.149034882</v>
          </cell>
          <cell r="S61">
            <v>214306.953030337</v>
          </cell>
        </row>
        <row r="62">
          <cell r="D62">
            <v>171175.236885691</v>
          </cell>
          <cell r="E62">
            <v>169001.790697103</v>
          </cell>
          <cell r="F62">
            <v>167789.879256176</v>
          </cell>
          <cell r="G62">
            <v>167915.187893342</v>
          </cell>
          <cell r="H62">
            <v>173630.967071959</v>
          </cell>
          <cell r="I62">
            <v>179610.456105727</v>
          </cell>
          <cell r="J62">
            <v>185861.674105253</v>
          </cell>
          <cell r="K62">
            <v>192038.111769515</v>
          </cell>
          <cell r="L62">
            <v>197949.705021253</v>
          </cell>
          <cell r="M62">
            <v>200957.543980966</v>
          </cell>
          <cell r="N62">
            <v>204370.980337536</v>
          </cell>
          <cell r="O62">
            <v>208068.198187381</v>
          </cell>
          <cell r="P62">
            <v>211740.710962374</v>
          </cell>
          <cell r="Q62">
            <v>215271.718879316</v>
          </cell>
          <cell r="R62">
            <v>216654.172544066</v>
          </cell>
          <cell r="S62">
            <v>217515.681136855</v>
          </cell>
        </row>
        <row r="63">
          <cell r="D63">
            <v>180551.863995668</v>
          </cell>
          <cell r="E63">
            <v>178060.966066548</v>
          </cell>
          <cell r="F63">
            <v>175096.112869189</v>
          </cell>
          <cell r="G63">
            <v>172082.666152569</v>
          </cell>
          <cell r="H63">
            <v>169171.406696911</v>
          </cell>
          <cell r="I63">
            <v>166714.070646547</v>
          </cell>
          <cell r="J63">
            <v>164596.788992055</v>
          </cell>
          <cell r="K63">
            <v>163449.333439768</v>
          </cell>
          <cell r="L63">
            <v>163626.210188166</v>
          </cell>
          <cell r="M63">
            <v>169320.161013562</v>
          </cell>
          <cell r="N63">
            <v>175348.196015647</v>
          </cell>
          <cell r="O63">
            <v>181685.112302163</v>
          </cell>
          <cell r="P63">
            <v>188001.709919531</v>
          </cell>
          <cell r="Q63">
            <v>194104.237569598</v>
          </cell>
          <cell r="R63">
            <v>197392.678306217</v>
          </cell>
          <cell r="S63">
            <v>201063.348922477</v>
          </cell>
        </row>
        <row r="64">
          <cell r="D64">
            <v>172625.416486753</v>
          </cell>
          <cell r="E64">
            <v>175206.815082365</v>
          </cell>
          <cell r="F64">
            <v>176995.813764729</v>
          </cell>
          <cell r="G64">
            <v>177228.60454675</v>
          </cell>
          <cell r="H64">
            <v>176118.531113821</v>
          </cell>
          <cell r="I64">
            <v>173902.581707568</v>
          </cell>
          <cell r="J64">
            <v>171465.810166506</v>
          </cell>
          <cell r="K64">
            <v>168642.8295697</v>
          </cell>
          <cell r="L64">
            <v>165849.509360596</v>
          </cell>
          <cell r="M64">
            <v>163254.937330645</v>
          </cell>
          <cell r="N64">
            <v>161188.155970741</v>
          </cell>
          <cell r="O64">
            <v>159482.128424579</v>
          </cell>
          <cell r="P64">
            <v>158734.421015587</v>
          </cell>
          <cell r="Q64">
            <v>159275.297138356</v>
          </cell>
          <cell r="R64">
            <v>165237.67801299</v>
          </cell>
          <cell r="S64">
            <v>171507.962666415</v>
          </cell>
        </row>
        <row r="65">
          <cell r="D65">
            <v>148106.472355328</v>
          </cell>
          <cell r="E65">
            <v>151943.982376547</v>
          </cell>
          <cell r="F65">
            <v>155429.800011781</v>
          </cell>
          <cell r="G65">
            <v>158941.625733531</v>
          </cell>
          <cell r="H65">
            <v>162234.312780169</v>
          </cell>
          <cell r="I65">
            <v>165322.71356566</v>
          </cell>
          <cell r="J65">
            <v>167689.352685778</v>
          </cell>
          <cell r="K65">
            <v>169375.309922966</v>
          </cell>
          <cell r="L65">
            <v>169679.470024134</v>
          </cell>
          <cell r="M65">
            <v>168840.064152117</v>
          </cell>
          <cell r="N65">
            <v>167017.702317055</v>
          </cell>
          <cell r="O65">
            <v>165018.641071727</v>
          </cell>
          <cell r="P65">
            <v>162683.76838269</v>
          </cell>
          <cell r="Q65">
            <v>160378.507841364</v>
          </cell>
          <cell r="R65">
            <v>158295.404376769</v>
          </cell>
          <cell r="S65">
            <v>156671.457808566</v>
          </cell>
        </row>
        <row r="66">
          <cell r="D66">
            <v>121621.929371944</v>
          </cell>
          <cell r="E66">
            <v>125409.391332019</v>
          </cell>
          <cell r="F66">
            <v>129239.778013625</v>
          </cell>
          <cell r="G66">
            <v>133203.913597586</v>
          </cell>
          <cell r="H66">
            <v>137244.324659624</v>
          </cell>
          <cell r="I66">
            <v>141363.685072579</v>
          </cell>
          <cell r="J66">
            <v>144982.474514352</v>
          </cell>
          <cell r="K66">
            <v>148308.734071976</v>
          </cell>
          <cell r="L66">
            <v>151724.902731605</v>
          </cell>
          <cell r="M66">
            <v>155024.276762254</v>
          </cell>
          <cell r="N66">
            <v>158217.406358044</v>
          </cell>
          <cell r="O66">
            <v>160758.632693577</v>
          </cell>
          <cell r="P66">
            <v>162691.752911104</v>
          </cell>
          <cell r="Q66">
            <v>163317.078122615</v>
          </cell>
          <cell r="R66">
            <v>162879.717773199</v>
          </cell>
          <cell r="S66">
            <v>161457.137721395</v>
          </cell>
        </row>
        <row r="67">
          <cell r="D67">
            <v>96869.7955600159</v>
          </cell>
          <cell r="E67">
            <v>100670.411766311</v>
          </cell>
          <cell r="F67">
            <v>104450.484840344</v>
          </cell>
          <cell r="G67">
            <v>108110.822226781</v>
          </cell>
          <cell r="H67">
            <v>111577.277777685</v>
          </cell>
          <cell r="I67">
            <v>114906.834566947</v>
          </cell>
          <cell r="J67">
            <v>118478.080549109</v>
          </cell>
          <cell r="K67">
            <v>122132.832200048</v>
          </cell>
          <cell r="L67">
            <v>125976.275395608</v>
          </cell>
          <cell r="M67">
            <v>129982.224428945</v>
          </cell>
          <cell r="N67">
            <v>134107.554185013</v>
          </cell>
          <cell r="O67">
            <v>137762.578088619</v>
          </cell>
          <cell r="P67">
            <v>141177.441097797</v>
          </cell>
          <cell r="Q67">
            <v>144701.145617868</v>
          </cell>
          <cell r="R67">
            <v>148162.655997492</v>
          </cell>
          <cell r="S67">
            <v>151504.00005641</v>
          </cell>
        </row>
        <row r="68">
          <cell r="D68">
            <v>69130.231721054</v>
          </cell>
          <cell r="E68">
            <v>72895.0161360275</v>
          </cell>
          <cell r="F68">
            <v>76877.7691523971</v>
          </cell>
          <cell r="G68">
            <v>81085.8736018181</v>
          </cell>
          <cell r="H68">
            <v>85541.1084895335</v>
          </cell>
          <cell r="I68">
            <v>90216.5160147693</v>
          </cell>
          <cell r="J68">
            <v>93770.6626341744</v>
          </cell>
          <cell r="K68">
            <v>97331.7087750162</v>
          </cell>
          <cell r="L68">
            <v>100816.256755419</v>
          </cell>
          <cell r="M68">
            <v>104171.01691553</v>
          </cell>
          <cell r="N68">
            <v>107447.775275108</v>
          </cell>
          <cell r="O68">
            <v>110956.987269296</v>
          </cell>
          <cell r="P68">
            <v>114572.992420143</v>
          </cell>
          <cell r="Q68">
            <v>118384.682708755</v>
          </cell>
          <cell r="R68">
            <v>122374.646863377</v>
          </cell>
          <cell r="S68">
            <v>126474.126569405</v>
          </cell>
        </row>
        <row r="69">
          <cell r="D69">
            <v>54774.5545660203</v>
          </cell>
          <cell r="E69">
            <v>56016.4685264078</v>
          </cell>
          <cell r="F69">
            <v>57383.7920302378</v>
          </cell>
          <cell r="G69">
            <v>58941.1954040663</v>
          </cell>
          <cell r="H69">
            <v>60712.6114217057</v>
          </cell>
          <cell r="I69">
            <v>62681.288535847</v>
          </cell>
          <cell r="J69">
            <v>66136.1391997915</v>
          </cell>
          <cell r="K69">
            <v>69805.0770587608</v>
          </cell>
          <cell r="L69">
            <v>73702.2174107804</v>
          </cell>
          <cell r="M69">
            <v>77844.7054778571</v>
          </cell>
          <cell r="N69">
            <v>82225.3913662321</v>
          </cell>
          <cell r="O69">
            <v>85605.6923933699</v>
          </cell>
          <cell r="P69">
            <v>89016.5130969129</v>
          </cell>
          <cell r="Q69">
            <v>92372.4505992972</v>
          </cell>
          <cell r="R69">
            <v>95626.5042362736</v>
          </cell>
          <cell r="S69">
            <v>98812.6773752832</v>
          </cell>
        </row>
        <row r="70">
          <cell r="D70">
            <v>42215.3386835246</v>
          </cell>
          <cell r="E70">
            <v>43366.0701993213</v>
          </cell>
          <cell r="F70">
            <v>44398.4947695889</v>
          </cell>
          <cell r="G70">
            <v>45432.2299137904</v>
          </cell>
          <cell r="H70">
            <v>46489.3621823489</v>
          </cell>
          <cell r="I70">
            <v>47532.8506998891</v>
          </cell>
          <cell r="J70">
            <v>48642.6976832515</v>
          </cell>
          <cell r="K70">
            <v>49883.8159051488</v>
          </cell>
          <cell r="L70">
            <v>51316.0673013451</v>
          </cell>
          <cell r="M70">
            <v>52945.6820011868</v>
          </cell>
          <cell r="N70">
            <v>54778.9435649435</v>
          </cell>
          <cell r="O70">
            <v>57935.1151132083</v>
          </cell>
          <cell r="P70">
            <v>61290.2381769985</v>
          </cell>
          <cell r="Q70">
            <v>64850.0367499159</v>
          </cell>
          <cell r="R70">
            <v>68632.0968399404</v>
          </cell>
          <cell r="S70">
            <v>72621.5214266146</v>
          </cell>
        </row>
        <row r="71">
          <cell r="D71">
            <v>27642.4848732593</v>
          </cell>
          <cell r="E71">
            <v>29370.715811969</v>
          </cell>
          <cell r="F71">
            <v>31037.4655280185</v>
          </cell>
          <cell r="G71">
            <v>32381.4163514592</v>
          </cell>
          <cell r="H71">
            <v>33377.492361695</v>
          </cell>
          <cell r="I71">
            <v>34199.0956031703</v>
          </cell>
          <cell r="J71">
            <v>35169.3884131895</v>
          </cell>
          <cell r="K71">
            <v>36066.891703793</v>
          </cell>
          <cell r="L71">
            <v>36986.2484569787</v>
          </cell>
          <cell r="M71">
            <v>37927.652054123</v>
          </cell>
          <cell r="N71">
            <v>38883.6338943159</v>
          </cell>
          <cell r="O71">
            <v>39892.2566506289</v>
          </cell>
          <cell r="P71">
            <v>41021.5127963787</v>
          </cell>
          <cell r="Q71">
            <v>42311.023146675</v>
          </cell>
          <cell r="R71">
            <v>43770.3224046694</v>
          </cell>
          <cell r="S71">
            <v>45401.6586106187</v>
          </cell>
        </row>
        <row r="72">
          <cell r="D72">
            <v>18298.8846279027</v>
          </cell>
          <cell r="E72">
            <v>17767.8409689019</v>
          </cell>
          <cell r="F72">
            <v>17584.2567071287</v>
          </cell>
          <cell r="G72">
            <v>17968.1772528546</v>
          </cell>
          <cell r="H72">
            <v>18968.6788692155</v>
          </cell>
          <cell r="I72">
            <v>20337.6881455671</v>
          </cell>
          <cell r="J72">
            <v>21633.9069806726</v>
          </cell>
          <cell r="K72">
            <v>22903.2878722453</v>
          </cell>
          <cell r="L72">
            <v>23959.7774390437</v>
          </cell>
          <cell r="M72">
            <v>24769.9974451571</v>
          </cell>
          <cell r="N72">
            <v>25478.2762039131</v>
          </cell>
          <cell r="O72">
            <v>26287.1982405982</v>
          </cell>
          <cell r="P72">
            <v>27051.5822688754</v>
          </cell>
          <cell r="Q72">
            <v>27830.6345611622</v>
          </cell>
          <cell r="R72">
            <v>28628.5286787927</v>
          </cell>
          <cell r="S72">
            <v>29442.7468413253</v>
          </cell>
        </row>
        <row r="73">
          <cell r="D73">
            <v>16750.625247058</v>
          </cell>
          <cell r="E73">
            <v>17389.2904173156</v>
          </cell>
          <cell r="F73">
            <v>17885.844243815</v>
          </cell>
          <cell r="G73">
            <v>18186.7267502112</v>
          </cell>
          <cell r="H73">
            <v>18306.6658580748</v>
          </cell>
          <cell r="I73">
            <v>18314.3520012636</v>
          </cell>
          <cell r="J73">
            <v>18359.8406836533</v>
          </cell>
          <cell r="K73">
            <v>18593.5778867473</v>
          </cell>
          <cell r="L73">
            <v>19107.7598394178</v>
          </cell>
          <cell r="M73">
            <v>19894.0136961104</v>
          </cell>
          <cell r="N73">
            <v>20829.2329843125</v>
          </cell>
          <cell r="O73">
            <v>21677.5994914394</v>
          </cell>
          <cell r="P73">
            <v>22603.2018758567</v>
          </cell>
          <cell r="Q73">
            <v>23539.4840689892</v>
          </cell>
          <cell r="R73">
            <v>24480.9115128187</v>
          </cell>
          <cell r="S73">
            <v>25451.523685532</v>
          </cell>
        </row>
        <row r="74">
          <cell r="D74">
            <v>43840.8143093393</v>
          </cell>
          <cell r="E74">
            <v>43283.509977717</v>
          </cell>
          <cell r="F74">
            <v>43013.999021967</v>
          </cell>
          <cell r="G74">
            <v>43012.6443090343</v>
          </cell>
          <cell r="H74">
            <v>43275.4608791</v>
          </cell>
          <cell r="I74">
            <v>43828.1362401552</v>
          </cell>
          <cell r="J74">
            <v>44586.6974808925</v>
          </cell>
          <cell r="K74">
            <v>45476.6415146656</v>
          </cell>
          <cell r="L74">
            <v>46295.3448671127</v>
          </cell>
          <cell r="M74">
            <v>46890.9949509593</v>
          </cell>
          <cell r="N74">
            <v>47584.0684869448</v>
          </cell>
          <cell r="O74">
            <v>48002.4929792175</v>
          </cell>
          <cell r="P74">
            <v>48355.1851242881</v>
          </cell>
          <cell r="Q74">
            <v>48697.6681693579</v>
          </cell>
          <cell r="R74">
            <v>49121.9011327143</v>
          </cell>
          <cell r="S74">
            <v>49249.5453322862</v>
          </cell>
        </row>
        <row r="75">
          <cell r="D75">
            <v>50826.5761617242</v>
          </cell>
          <cell r="E75">
            <v>49458.4099752336</v>
          </cell>
          <cell r="F75">
            <v>48052.9972475445</v>
          </cell>
          <cell r="G75">
            <v>46642.2546349646</v>
          </cell>
          <cell r="H75">
            <v>45255.80527853</v>
          </cell>
          <cell r="I75">
            <v>44186.6156543194</v>
          </cell>
          <cell r="J75">
            <v>43562.8257424803</v>
          </cell>
          <cell r="K75">
            <v>43208.4823469878</v>
          </cell>
          <cell r="L75">
            <v>43135.4513894163</v>
          </cell>
          <cell r="M75">
            <v>43350.5054257669</v>
          </cell>
          <cell r="N75">
            <v>43883.6284239234</v>
          </cell>
          <cell r="O75">
            <v>44658.3916675663</v>
          </cell>
          <cell r="P75">
            <v>45598.9375828514</v>
          </cell>
          <cell r="Q75">
            <v>46501.1694724115</v>
          </cell>
          <cell r="R75">
            <v>47198.3185239856</v>
          </cell>
          <cell r="S75">
            <v>48022.2321137267</v>
          </cell>
        </row>
        <row r="76">
          <cell r="D76">
            <v>54358.5228625429</v>
          </cell>
          <cell r="E76">
            <v>54142.0209436084</v>
          </cell>
          <cell r="F76">
            <v>53724.5099181207</v>
          </cell>
          <cell r="G76">
            <v>53126.2187123546</v>
          </cell>
          <cell r="H76">
            <v>52428.7617731082</v>
          </cell>
          <cell r="I76">
            <v>51351.16911437</v>
          </cell>
          <cell r="J76">
            <v>49897.152076979</v>
          </cell>
          <cell r="K76">
            <v>48377.3550318949</v>
          </cell>
          <cell r="L76">
            <v>46881.437982031</v>
          </cell>
          <cell r="M76">
            <v>45441.6132989184</v>
          </cell>
          <cell r="N76">
            <v>44346.4327876004</v>
          </cell>
          <cell r="O76">
            <v>43759.1291647607</v>
          </cell>
          <cell r="P76">
            <v>43466.3519715774</v>
          </cell>
          <cell r="Q76">
            <v>43479.7414005939</v>
          </cell>
          <cell r="R76">
            <v>43796.2798606143</v>
          </cell>
          <cell r="S76">
            <v>44440.6638224809</v>
          </cell>
        </row>
        <row r="77">
          <cell r="D77">
            <v>56886.7796614272</v>
          </cell>
          <cell r="E77">
            <v>56494.3637998053</v>
          </cell>
          <cell r="F77">
            <v>56106.7463572332</v>
          </cell>
          <cell r="G77">
            <v>55582.8759093782</v>
          </cell>
          <cell r="H77">
            <v>55249.1912331306</v>
          </cell>
          <cell r="I77">
            <v>54914.8169984345</v>
          </cell>
          <cell r="J77">
            <v>54597.1055480988</v>
          </cell>
          <cell r="K77">
            <v>54058.2955235819</v>
          </cell>
          <cell r="L77">
            <v>53340.4846690027</v>
          </cell>
          <cell r="M77">
            <v>52569.5723063002</v>
          </cell>
          <cell r="N77">
            <v>51465.0421487283</v>
          </cell>
          <cell r="O77">
            <v>50060.9377115531</v>
          </cell>
          <cell r="P77">
            <v>48632.6997630686</v>
          </cell>
          <cell r="Q77">
            <v>47251.5570363004</v>
          </cell>
          <cell r="R77">
            <v>45936.4642300366</v>
          </cell>
          <cell r="S77">
            <v>44979.2903524074</v>
          </cell>
        </row>
        <row r="78">
          <cell r="D78">
            <v>53984.8937872719</v>
          </cell>
          <cell r="E78">
            <v>55807.9292803349</v>
          </cell>
          <cell r="F78">
            <v>57441.1607745833</v>
          </cell>
          <cell r="G78">
            <v>58911.4450460011</v>
          </cell>
          <cell r="H78">
            <v>58959.0632692957</v>
          </cell>
          <cell r="I78">
            <v>58865.1393067661</v>
          </cell>
          <cell r="J78">
            <v>58611.1253005574</v>
          </cell>
          <cell r="K78">
            <v>58313.4785924701</v>
          </cell>
          <cell r="L78">
            <v>57905.9997539306</v>
          </cell>
          <cell r="M78">
            <v>57719.3752520346</v>
          </cell>
          <cell r="N78">
            <v>57460.5529893811</v>
          </cell>
          <cell r="O78">
            <v>57248.066706844</v>
          </cell>
          <cell r="P78">
            <v>56830.8203825276</v>
          </cell>
          <cell r="Q78">
            <v>56267.1406019115</v>
          </cell>
          <cell r="R78">
            <v>55669.6332564342</v>
          </cell>
          <cell r="S78">
            <v>54761.0263931212</v>
          </cell>
        </row>
        <row r="79">
          <cell r="D79">
            <v>51697.0417553179</v>
          </cell>
          <cell r="E79">
            <v>52155.9772096436</v>
          </cell>
          <cell r="F79">
            <v>52819.4813004755</v>
          </cell>
          <cell r="G79">
            <v>53916.5776876266</v>
          </cell>
          <cell r="H79">
            <v>56276.6333935673</v>
          </cell>
          <cell r="I79">
            <v>58712.0806804937</v>
          </cell>
          <cell r="J79">
            <v>61078.2739983226</v>
          </cell>
          <cell r="K79">
            <v>63271.4998275267</v>
          </cell>
          <cell r="L79">
            <v>65299.7898190541</v>
          </cell>
          <cell r="M79">
            <v>65935.8698587768</v>
          </cell>
          <cell r="N79">
            <v>66268.7972472093</v>
          </cell>
          <cell r="O79">
            <v>66371.1495287728</v>
          </cell>
          <cell r="P79">
            <v>66388.6632643988</v>
          </cell>
          <cell r="Q79">
            <v>66236.8593480966</v>
          </cell>
          <cell r="R79">
            <v>66259.2734650239</v>
          </cell>
          <cell r="S79">
            <v>66282.8640092987</v>
          </cell>
        </row>
        <row r="80">
          <cell r="D80">
            <v>48128.0326529308</v>
          </cell>
          <cell r="E80">
            <v>49811.6628273588</v>
          </cell>
          <cell r="F80">
            <v>51437.8042775373</v>
          </cell>
          <cell r="G80">
            <v>52947.0035561783</v>
          </cell>
          <cell r="H80">
            <v>54417.164542424</v>
          </cell>
          <cell r="I80">
            <v>55784.8344530352</v>
          </cell>
          <cell r="J80">
            <v>56724.3046902812</v>
          </cell>
          <cell r="K80">
            <v>57951.0149096318</v>
          </cell>
          <cell r="L80">
            <v>59601.1613786174</v>
          </cell>
          <cell r="M80">
            <v>62501.3351302164</v>
          </cell>
          <cell r="N80">
            <v>65418.9926828712</v>
          </cell>
          <cell r="O80">
            <v>68230.4220567219</v>
          </cell>
          <cell r="P80">
            <v>70792.0944682747</v>
          </cell>
          <cell r="Q80">
            <v>73108.6204298555</v>
          </cell>
          <cell r="R80">
            <v>73955.5910720549</v>
          </cell>
          <cell r="S80">
            <v>74583.8739806572</v>
          </cell>
        </row>
        <row r="81">
          <cell r="D81">
            <v>43777.70805802</v>
          </cell>
          <cell r="E81">
            <v>44888.2012008649</v>
          </cell>
          <cell r="F81">
            <v>46065.956638137</v>
          </cell>
          <cell r="G81">
            <v>47340.9923787082</v>
          </cell>
          <cell r="H81">
            <v>48655.4300740926</v>
          </cell>
          <cell r="I81">
            <v>50135.76278601</v>
          </cell>
          <cell r="J81">
            <v>52015.2993079181</v>
          </cell>
          <cell r="K81">
            <v>53856.4805644393</v>
          </cell>
          <cell r="L81">
            <v>55589.6796142876</v>
          </cell>
          <cell r="M81">
            <v>57305.551801038</v>
          </cell>
          <cell r="N81">
            <v>58918.785704243</v>
          </cell>
          <cell r="O81">
            <v>60122.1216161429</v>
          </cell>
          <cell r="P81">
            <v>61596.3136957803</v>
          </cell>
          <cell r="Q81">
            <v>63473.8428876844</v>
          </cell>
          <cell r="R81">
            <v>66549.4005940264</v>
          </cell>
          <cell r="S81">
            <v>69675.6148823046</v>
          </cell>
        </row>
        <row r="82">
          <cell r="D82">
            <v>39436.3986418691</v>
          </cell>
          <cell r="E82">
            <v>40469.5298715839</v>
          </cell>
          <cell r="F82">
            <v>41530.757676382</v>
          </cell>
          <cell r="G82">
            <v>42582.7292995551</v>
          </cell>
          <cell r="H82">
            <v>43619.956191717</v>
          </cell>
          <cell r="I82">
            <v>44642.7706391968</v>
          </cell>
          <cell r="J82">
            <v>45862.011198286</v>
          </cell>
          <cell r="K82">
            <v>47143.3720230078</v>
          </cell>
          <cell r="L82">
            <v>48530.5136523824</v>
          </cell>
          <cell r="M82">
            <v>49968.6819210517</v>
          </cell>
          <cell r="N82">
            <v>51579.74581645</v>
          </cell>
          <cell r="O82">
            <v>53610.1863937226</v>
          </cell>
          <cell r="P82">
            <v>55604.3847208201</v>
          </cell>
          <cell r="Q82">
            <v>57502.5468825922</v>
          </cell>
          <cell r="R82">
            <v>59376.7028396813</v>
          </cell>
          <cell r="S82">
            <v>61174.8559579659</v>
          </cell>
        </row>
        <row r="83">
          <cell r="D83">
            <v>34975.8885287819</v>
          </cell>
          <cell r="E83">
            <v>35702.6234863728</v>
          </cell>
          <cell r="F83">
            <v>36473.6588784516</v>
          </cell>
          <cell r="G83">
            <v>37316.0187267559</v>
          </cell>
          <cell r="H83">
            <v>38236.9651080172</v>
          </cell>
          <cell r="I83">
            <v>39230.3356641058</v>
          </cell>
          <cell r="J83">
            <v>40269.9415857403</v>
          </cell>
          <cell r="K83">
            <v>41325.8801161796</v>
          </cell>
          <cell r="L83">
            <v>42391.0630400414</v>
          </cell>
          <cell r="M83">
            <v>43456.4602223989</v>
          </cell>
          <cell r="N83">
            <v>44531.9535023503</v>
          </cell>
          <cell r="O83">
            <v>45834.5035344692</v>
          </cell>
          <cell r="P83">
            <v>47216.2809615508</v>
          </cell>
          <cell r="Q83">
            <v>48713.5704223675</v>
          </cell>
          <cell r="R83">
            <v>50268.4994439089</v>
          </cell>
          <cell r="S83">
            <v>52021.1862768712</v>
          </cell>
        </row>
        <row r="84">
          <cell r="D84">
            <v>29448.5822624412</v>
          </cell>
          <cell r="E84">
            <v>30510.2079838292</v>
          </cell>
          <cell r="F84">
            <v>31508.0685296387</v>
          </cell>
          <cell r="G84">
            <v>32405.724812869</v>
          </cell>
          <cell r="H84">
            <v>33194.4401519915</v>
          </cell>
          <cell r="I84">
            <v>33890.4021435649</v>
          </cell>
          <cell r="J84">
            <v>34584.3355570136</v>
          </cell>
          <cell r="K84">
            <v>35317.6178499627</v>
          </cell>
          <cell r="L84">
            <v>36123.3732504191</v>
          </cell>
          <cell r="M84">
            <v>37028.2027022092</v>
          </cell>
          <cell r="N84">
            <v>38015.7877525607</v>
          </cell>
          <cell r="O84">
            <v>39083.561666785</v>
          </cell>
          <cell r="P84">
            <v>40200.8302543141</v>
          </cell>
          <cell r="Q84">
            <v>41346.8517156858</v>
          </cell>
          <cell r="R84">
            <v>42515.547431559</v>
          </cell>
          <cell r="S84">
            <v>43708.250994887</v>
          </cell>
        </row>
        <row r="85">
          <cell r="D85">
            <v>22535.9435266643</v>
          </cell>
          <cell r="E85">
            <v>23548.5175429429</v>
          </cell>
          <cell r="F85">
            <v>24594.6554781828</v>
          </cell>
          <cell r="G85">
            <v>25624.7468530519</v>
          </cell>
          <cell r="H85">
            <v>26634.9270649681</v>
          </cell>
          <cell r="I85">
            <v>27630.1029360969</v>
          </cell>
          <cell r="J85">
            <v>28604.0395289207</v>
          </cell>
          <cell r="K85">
            <v>29501.1299976576</v>
          </cell>
          <cell r="L85">
            <v>30316.5430041514</v>
          </cell>
          <cell r="M85">
            <v>31046.7545602693</v>
          </cell>
          <cell r="N85">
            <v>31732.0216078073</v>
          </cell>
          <cell r="O85">
            <v>32452.1231217327</v>
          </cell>
          <cell r="P85">
            <v>33228.1506204379</v>
          </cell>
          <cell r="Q85">
            <v>34088.4671076318</v>
          </cell>
          <cell r="R85">
            <v>35061.6648227355</v>
          </cell>
          <cell r="S85">
            <v>36129.7160922676</v>
          </cell>
        </row>
        <row r="86">
          <cell r="D86">
            <v>16242.347065733</v>
          </cell>
          <cell r="E86">
            <v>16889.9019922323</v>
          </cell>
          <cell r="F86">
            <v>17594.7619143742</v>
          </cell>
          <cell r="G86">
            <v>18374.5876416721</v>
          </cell>
          <cell r="H86">
            <v>19230.2924361738</v>
          </cell>
          <cell r="I86">
            <v>20144.3277538037</v>
          </cell>
          <cell r="J86">
            <v>21033.6244257496</v>
          </cell>
          <cell r="K86">
            <v>21940.5994387316</v>
          </cell>
          <cell r="L86">
            <v>22841.6015846545</v>
          </cell>
          <cell r="M86">
            <v>23739.8718868769</v>
          </cell>
          <cell r="N86">
            <v>24647.3246353972</v>
          </cell>
          <cell r="O86">
            <v>25567.7358771095</v>
          </cell>
          <cell r="P86">
            <v>26450.4275069953</v>
          </cell>
          <cell r="Q86">
            <v>27280.3150379112</v>
          </cell>
          <cell r="R86">
            <v>28055.8895261727</v>
          </cell>
          <cell r="S86">
            <v>28799.6251610165</v>
          </cell>
        </row>
        <row r="87">
          <cell r="D87">
            <v>10559.7793874164</v>
          </cell>
          <cell r="E87">
            <v>11174.6321261739</v>
          </cell>
          <cell r="F87">
            <v>11795.5396499748</v>
          </cell>
          <cell r="G87">
            <v>12391.0164441676</v>
          </cell>
          <cell r="H87">
            <v>12951.8149989169</v>
          </cell>
          <cell r="I87">
            <v>13487.2844756034</v>
          </cell>
          <cell r="J87">
            <v>14023.422051749</v>
          </cell>
          <cell r="K87">
            <v>14600.9608748872</v>
          </cell>
          <cell r="L87">
            <v>15243.430330739</v>
          </cell>
          <cell r="M87">
            <v>15959.1913493001</v>
          </cell>
          <cell r="N87">
            <v>16747.7329105643</v>
          </cell>
          <cell r="O87">
            <v>17542.0919013509</v>
          </cell>
          <cell r="P87">
            <v>18365.6999657476</v>
          </cell>
          <cell r="Q87">
            <v>19206.9399631169</v>
          </cell>
          <cell r="R87">
            <v>20064.4768598481</v>
          </cell>
          <cell r="S87">
            <v>20940.8454586935</v>
          </cell>
        </row>
        <row r="88">
          <cell r="D88">
            <v>6134.32830283989</v>
          </cell>
          <cell r="E88">
            <v>6424.7862480256</v>
          </cell>
          <cell r="F88">
            <v>6751.51348763265</v>
          </cell>
          <cell r="G88">
            <v>7119.27173776787</v>
          </cell>
          <cell r="H88">
            <v>7530.54665825966</v>
          </cell>
          <cell r="I88">
            <v>7982.20875303183</v>
          </cell>
          <cell r="J88">
            <v>8450.46202960589</v>
          </cell>
          <cell r="K88">
            <v>8919.01632867716</v>
          </cell>
          <cell r="L88">
            <v>9371.47862725816</v>
          </cell>
          <cell r="M88">
            <v>9805.81655622158</v>
          </cell>
          <cell r="N88">
            <v>10234.5594303675</v>
          </cell>
          <cell r="O88">
            <v>10680.6094602321</v>
          </cell>
          <cell r="P88">
            <v>11177.1756128199</v>
          </cell>
          <cell r="Q88">
            <v>11736.8566118731</v>
          </cell>
          <cell r="R88">
            <v>12368.1592528172</v>
          </cell>
          <cell r="S88">
            <v>13060.2026868902</v>
          </cell>
        </row>
        <row r="89">
          <cell r="D89">
            <v>3273.51157636851</v>
          </cell>
          <cell r="E89">
            <v>3411.09785333318</v>
          </cell>
          <cell r="F89">
            <v>3561.79040411005</v>
          </cell>
          <cell r="G89">
            <v>3725.25886433901</v>
          </cell>
          <cell r="H89">
            <v>3899.24372848089</v>
          </cell>
          <cell r="I89">
            <v>4082.23467702675</v>
          </cell>
          <cell r="J89">
            <v>4282.5597860107</v>
          </cell>
          <cell r="K89">
            <v>4506.19669966262</v>
          </cell>
          <cell r="L89">
            <v>4760.87945656732</v>
          </cell>
          <cell r="M89">
            <v>5049.84559042114</v>
          </cell>
          <cell r="N89">
            <v>5370.12649577024</v>
          </cell>
          <cell r="O89">
            <v>5711.26296078611</v>
          </cell>
          <cell r="P89">
            <v>6059.56695143709</v>
          </cell>
          <cell r="Q89">
            <v>6405.62629041598</v>
          </cell>
          <cell r="R89">
            <v>6748.43650748185</v>
          </cell>
          <cell r="S89">
            <v>7092.578494623</v>
          </cell>
        </row>
        <row r="90">
          <cell r="D90">
            <v>2007.37980386857</v>
          </cell>
          <cell r="E90">
            <v>2114.49931655575</v>
          </cell>
          <cell r="F90">
            <v>2226.37039940701</v>
          </cell>
          <cell r="G90">
            <v>2337.85164405275</v>
          </cell>
          <cell r="H90">
            <v>2451.75903774799</v>
          </cell>
          <cell r="I90">
            <v>2569.77377794086</v>
          </cell>
          <cell r="J90">
            <v>2693.44647884844</v>
          </cell>
          <cell r="K90">
            <v>2823.40131895082</v>
          </cell>
          <cell r="L90">
            <v>2962.52536891195</v>
          </cell>
          <cell r="M90">
            <v>3113.67161800512</v>
          </cell>
          <cell r="N90">
            <v>3272.54551125969</v>
          </cell>
          <cell r="O90">
            <v>3449.66257997613</v>
          </cell>
          <cell r="P90">
            <v>3648.47202525792</v>
          </cell>
          <cell r="Q90">
            <v>3873.19249864252</v>
          </cell>
          <cell r="R90">
            <v>4125.36931376099</v>
          </cell>
          <cell r="S90">
            <v>4402.42717264675</v>
          </cell>
        </row>
        <row r="91">
          <cell r="D91">
            <v>42382.4066221532</v>
          </cell>
          <cell r="E91">
            <v>41765.6959579932</v>
          </cell>
          <cell r="F91">
            <v>41426.1252975116</v>
          </cell>
          <cell r="G91">
            <v>41359.8663993131</v>
          </cell>
          <cell r="H91">
            <v>41567.9719760626</v>
          </cell>
          <cell r="I91">
            <v>42073.4221073369</v>
          </cell>
          <cell r="J91">
            <v>42801.9011183224</v>
          </cell>
          <cell r="K91">
            <v>43670.7977319092</v>
          </cell>
          <cell r="L91">
            <v>44489.8572896389</v>
          </cell>
          <cell r="M91">
            <v>45114.271958621</v>
          </cell>
          <cell r="N91">
            <v>45823.3904057488</v>
          </cell>
          <cell r="O91">
            <v>46249.880080794</v>
          </cell>
          <cell r="P91">
            <v>46606.0864349097</v>
          </cell>
          <cell r="Q91">
            <v>46941.5788930948</v>
          </cell>
          <cell r="R91">
            <v>47342.7219762586</v>
          </cell>
          <cell r="S91">
            <v>47438.3973556081</v>
          </cell>
        </row>
        <row r="92">
          <cell r="D92">
            <v>49163.711722502</v>
          </cell>
          <cell r="E92">
            <v>47742.6611939361</v>
          </cell>
          <cell r="F92">
            <v>46282.2906925952</v>
          </cell>
          <cell r="G92">
            <v>44845.766278261</v>
          </cell>
          <cell r="H92">
            <v>43454.3726719452</v>
          </cell>
          <cell r="I92">
            <v>42391.210827774</v>
          </cell>
          <cell r="J92">
            <v>41766.6298844733</v>
          </cell>
          <cell r="K92">
            <v>41403.9150989311</v>
          </cell>
          <cell r="L92">
            <v>41315.5140305104</v>
          </cell>
          <cell r="M92">
            <v>41513.2547531146</v>
          </cell>
          <cell r="N92">
            <v>42000.6091999461</v>
          </cell>
          <cell r="O92">
            <v>42728.46773691</v>
          </cell>
          <cell r="P92">
            <v>43615.8928042558</v>
          </cell>
          <cell r="Q92">
            <v>44462.8288246343</v>
          </cell>
          <cell r="R92">
            <v>45112.1063381248</v>
          </cell>
          <cell r="S92">
            <v>45875.2724364341</v>
          </cell>
        </row>
        <row r="93">
          <cell r="D93">
            <v>52735.9259891114</v>
          </cell>
          <cell r="E93">
            <v>52398.5289564289</v>
          </cell>
          <cell r="F93">
            <v>51879.5495899189</v>
          </cell>
          <cell r="G93">
            <v>51206.3562269707</v>
          </cell>
          <cell r="H93">
            <v>50461.7197840152</v>
          </cell>
          <cell r="I93">
            <v>49372.53779662</v>
          </cell>
          <cell r="J93">
            <v>47936.1649431132</v>
          </cell>
          <cell r="K93">
            <v>46440.5416471475</v>
          </cell>
          <cell r="L93">
            <v>44975.3686364308</v>
          </cell>
          <cell r="M93">
            <v>43572.4082426762</v>
          </cell>
          <cell r="N93">
            <v>42490.4530260035</v>
          </cell>
          <cell r="O93">
            <v>41872.3399699004</v>
          </cell>
          <cell r="P93">
            <v>41528.2484364103</v>
          </cell>
          <cell r="Q93">
            <v>41465.1777756588</v>
          </cell>
          <cell r="R93">
            <v>41686.3755235669</v>
          </cell>
          <cell r="S93">
            <v>42220.3332508224</v>
          </cell>
        </row>
        <row r="94">
          <cell r="D94">
            <v>54756.6128607303</v>
          </cell>
          <cell r="E94">
            <v>54393.1859750548</v>
          </cell>
          <cell r="F94">
            <v>54012.6971031233</v>
          </cell>
          <cell r="G94">
            <v>53742.3759434459</v>
          </cell>
          <cell r="H94">
            <v>53329.4096835477</v>
          </cell>
          <cell r="I94">
            <v>52945.4053033642</v>
          </cell>
          <cell r="J94">
            <v>52588.3712040304</v>
          </cell>
          <cell r="K94">
            <v>52040.1324197269</v>
          </cell>
          <cell r="L94">
            <v>51333.0646435972</v>
          </cell>
          <cell r="M94">
            <v>50573.3299950875</v>
          </cell>
          <cell r="N94">
            <v>49461.2305751829</v>
          </cell>
          <cell r="O94">
            <v>48035.0613172538</v>
          </cell>
          <cell r="P94">
            <v>46566.1506268209</v>
          </cell>
          <cell r="Q94">
            <v>45135.4043263019</v>
          </cell>
          <cell r="R94">
            <v>43765.357182722</v>
          </cell>
          <cell r="S94">
            <v>42742.039908594</v>
          </cell>
        </row>
        <row r="95">
          <cell r="D95">
            <v>50066.0184344823</v>
          </cell>
          <cell r="E95">
            <v>52060.2479367121</v>
          </cell>
          <cell r="F95">
            <v>53858.4695364409</v>
          </cell>
          <cell r="G95">
            <v>55259.3786501797</v>
          </cell>
          <cell r="H95">
            <v>55522.5259017152</v>
          </cell>
          <cell r="I95">
            <v>55575.934017645</v>
          </cell>
          <cell r="J95">
            <v>55264.2416729337</v>
          </cell>
          <cell r="K95">
            <v>54918.0616307503</v>
          </cell>
          <cell r="L95">
            <v>54684.5945179466</v>
          </cell>
          <cell r="M95">
            <v>54323.4307136865</v>
          </cell>
          <cell r="N95">
            <v>53983.7886753532</v>
          </cell>
          <cell r="O95">
            <v>53704.2854453508</v>
          </cell>
          <cell r="P95">
            <v>53235.4305776616</v>
          </cell>
          <cell r="Q95">
            <v>52617.5573107288</v>
          </cell>
          <cell r="R95">
            <v>51944.6137198682</v>
          </cell>
          <cell r="S95">
            <v>50942.7099536031</v>
          </cell>
        </row>
        <row r="96">
          <cell r="D96">
            <v>48242.398549848</v>
          </cell>
          <cell r="E96">
            <v>48297.1218002175</v>
          </cell>
          <cell r="F96">
            <v>48437.4707153257</v>
          </cell>
          <cell r="G96">
            <v>48875.7430857138</v>
          </cell>
          <cell r="H96">
            <v>50491.7899332588</v>
          </cell>
          <cell r="I96">
            <v>52114.3426874576</v>
          </cell>
          <cell r="J96">
            <v>54278.0781742817</v>
          </cell>
          <cell r="K96">
            <v>56240.3263570123</v>
          </cell>
          <cell r="L96">
            <v>57807.8840065877</v>
          </cell>
          <cell r="M96">
            <v>58270.6418489248</v>
          </cell>
          <cell r="N96">
            <v>58519.3426321333</v>
          </cell>
          <cell r="O96">
            <v>58426.4744239436</v>
          </cell>
          <cell r="P96">
            <v>58300.2894385321</v>
          </cell>
          <cell r="Q96">
            <v>58278.567430848</v>
          </cell>
          <cell r="R96">
            <v>58112.7248516128</v>
          </cell>
          <cell r="S96">
            <v>57990.2387053352</v>
          </cell>
        </row>
        <row r="97">
          <cell r="D97">
            <v>46629.8504126947</v>
          </cell>
          <cell r="E97">
            <v>47260.2604498429</v>
          </cell>
          <cell r="F97">
            <v>48004.8323464504</v>
          </cell>
          <cell r="G97">
            <v>48694.3841095455</v>
          </cell>
          <cell r="H97">
            <v>49322.0611276822</v>
          </cell>
          <cell r="I97">
            <v>49925.9112151729</v>
          </cell>
          <cell r="J97">
            <v>50148.0174243377</v>
          </cell>
          <cell r="K97">
            <v>50454.4164639141</v>
          </cell>
          <cell r="L97">
            <v>51073.7915738671</v>
          </cell>
          <cell r="M97">
            <v>52887.6264097405</v>
          </cell>
          <cell r="N97">
            <v>54703.5591952742</v>
          </cell>
          <cell r="O97">
            <v>57070.8555443264</v>
          </cell>
          <cell r="P97">
            <v>59236.7841382161</v>
          </cell>
          <cell r="Q97">
            <v>61007.7870110571</v>
          </cell>
          <cell r="R97">
            <v>61677.1209495788</v>
          </cell>
          <cell r="S97">
            <v>62149.9265885231</v>
          </cell>
        </row>
        <row r="98">
          <cell r="D98">
            <v>45783.5627426999</v>
          </cell>
          <cell r="E98">
            <v>46022.231984193</v>
          </cell>
          <cell r="F98">
            <v>46262.2611384807</v>
          </cell>
          <cell r="G98">
            <v>46525.090278582</v>
          </cell>
          <cell r="H98">
            <v>46841.2738150842</v>
          </cell>
          <cell r="I98">
            <v>47218.1909189563</v>
          </cell>
          <cell r="J98">
            <v>47918.1253669183</v>
          </cell>
          <cell r="K98">
            <v>48732.4671726683</v>
          </cell>
          <cell r="L98">
            <v>49509.1436665767</v>
          </cell>
          <cell r="M98">
            <v>50244.145593695</v>
          </cell>
          <cell r="N98">
            <v>50959.7528104073</v>
          </cell>
          <cell r="O98">
            <v>51320.713855987</v>
          </cell>
          <cell r="P98">
            <v>51765.7928399913</v>
          </cell>
          <cell r="Q98">
            <v>52518.7665471308</v>
          </cell>
          <cell r="R98">
            <v>54442.5840051485</v>
          </cell>
          <cell r="S98">
            <v>56395.1929199113</v>
          </cell>
        </row>
        <row r="99">
          <cell r="D99">
            <v>41983.2709480067</v>
          </cell>
          <cell r="E99">
            <v>42857.6030364282</v>
          </cell>
          <cell r="F99">
            <v>43704.4870780468</v>
          </cell>
          <cell r="G99">
            <v>44473.0284929869</v>
          </cell>
          <cell r="H99">
            <v>45155.3407808256</v>
          </cell>
          <cell r="I99">
            <v>45765.5856952547</v>
          </cell>
          <cell r="J99">
            <v>46039.0028466211</v>
          </cell>
          <cell r="K99">
            <v>46314.3254687315</v>
          </cell>
          <cell r="L99">
            <v>46625.1061612002</v>
          </cell>
          <cell r="M99">
            <v>47013.3357696938</v>
          </cell>
          <cell r="N99">
            <v>47457.8692947361</v>
          </cell>
          <cell r="O99">
            <v>48244.847584549</v>
          </cell>
          <cell r="P99">
            <v>49148.9990149683</v>
          </cell>
          <cell r="Q99">
            <v>50017.0650891475</v>
          </cell>
          <cell r="R99">
            <v>50839.2818204709</v>
          </cell>
          <cell r="S99">
            <v>51665.917079577</v>
          </cell>
        </row>
        <row r="100">
          <cell r="D100">
            <v>37845.8645613653</v>
          </cell>
          <cell r="E100">
            <v>38433.9281632085</v>
          </cell>
          <cell r="F100">
            <v>39071.651211341</v>
          </cell>
          <cell r="G100">
            <v>39780.7407283669</v>
          </cell>
          <cell r="H100">
            <v>40572.650036099</v>
          </cell>
          <cell r="I100">
            <v>41424.8123214605</v>
          </cell>
          <cell r="J100">
            <v>42299.799580899</v>
          </cell>
          <cell r="K100">
            <v>43140.8901257026</v>
          </cell>
          <cell r="L100">
            <v>43913.2499994282</v>
          </cell>
          <cell r="M100">
            <v>44619.995076287</v>
          </cell>
          <cell r="N100">
            <v>45253.572077478</v>
          </cell>
          <cell r="O100">
            <v>45581.5609721249</v>
          </cell>
          <cell r="P100">
            <v>45918.192140579</v>
          </cell>
          <cell r="Q100">
            <v>46293.9505539519</v>
          </cell>
          <cell r="R100">
            <v>46740.1764282117</v>
          </cell>
          <cell r="S100">
            <v>47271.8103348665</v>
          </cell>
        </row>
        <row r="101">
          <cell r="D101">
            <v>33189.2816963227</v>
          </cell>
          <cell r="E101">
            <v>34038.2765697287</v>
          </cell>
          <cell r="F101">
            <v>34824.384261341</v>
          </cell>
          <cell r="G101">
            <v>35550.3672621646</v>
          </cell>
          <cell r="H101">
            <v>36209.4713808507</v>
          </cell>
          <cell r="I101">
            <v>36813.3671668524</v>
          </cell>
          <cell r="J101">
            <v>37396.0414519313</v>
          </cell>
          <cell r="K101">
            <v>38019.1177428406</v>
          </cell>
          <cell r="L101">
            <v>38720.7812245625</v>
          </cell>
          <cell r="M101">
            <v>39517.136574458</v>
          </cell>
          <cell r="N101">
            <v>40368.1296735142</v>
          </cell>
          <cell r="O101">
            <v>41259.9638658434</v>
          </cell>
          <cell r="P101">
            <v>42128.2839529455</v>
          </cell>
          <cell r="Q101">
            <v>42931.0730456139</v>
          </cell>
          <cell r="R101">
            <v>43674.5763137282</v>
          </cell>
          <cell r="S101">
            <v>44371.9991414786</v>
          </cell>
        </row>
        <row r="102">
          <cell r="D102">
            <v>26495.0061790585</v>
          </cell>
          <cell r="E102">
            <v>27644.9654633651</v>
          </cell>
          <cell r="F102">
            <v>28781.4677849676</v>
          </cell>
          <cell r="G102">
            <v>29841.0664543908</v>
          </cell>
          <cell r="H102">
            <v>30817.8936214709</v>
          </cell>
          <cell r="I102">
            <v>31717.7202710103</v>
          </cell>
          <cell r="J102">
            <v>32539.3866608057</v>
          </cell>
          <cell r="K102">
            <v>33294.0247778573</v>
          </cell>
          <cell r="L102">
            <v>33996.8058729929</v>
          </cell>
          <cell r="M102">
            <v>34649.4097879094</v>
          </cell>
          <cell r="N102">
            <v>35244.7631254653</v>
          </cell>
          <cell r="O102">
            <v>35836.4893651494</v>
          </cell>
          <cell r="P102">
            <v>36477.3671083709</v>
          </cell>
          <cell r="Q102">
            <v>37197.2172109224</v>
          </cell>
          <cell r="R102">
            <v>38011.2467172678</v>
          </cell>
          <cell r="S102">
            <v>38899.5656337642</v>
          </cell>
        </row>
        <row r="103">
          <cell r="D103">
            <v>20433.9459042373</v>
          </cell>
          <cell r="E103">
            <v>21100.5288126901</v>
          </cell>
          <cell r="F103">
            <v>21835.218418026</v>
          </cell>
          <cell r="G103">
            <v>22675.8839208018</v>
          </cell>
          <cell r="H103">
            <v>23632.1302905555</v>
          </cell>
          <cell r="I103">
            <v>24678.2489936933</v>
          </cell>
          <cell r="J103">
            <v>25764.5236009608</v>
          </cell>
          <cell r="K103">
            <v>26831.9567861024</v>
          </cell>
          <cell r="L103">
            <v>27830.3112415735</v>
          </cell>
          <cell r="M103">
            <v>28758.1096195233</v>
          </cell>
          <cell r="N103">
            <v>29614.5581696388</v>
          </cell>
          <cell r="O103">
            <v>30417.0107933563</v>
          </cell>
          <cell r="P103">
            <v>31161.9110517427</v>
          </cell>
          <cell r="Q103">
            <v>31867.5054091321</v>
          </cell>
          <cell r="R103">
            <v>32530.4764507621</v>
          </cell>
          <cell r="S103">
            <v>33160.7923982774</v>
          </cell>
        </row>
        <row r="104">
          <cell r="D104">
            <v>14850.047826328</v>
          </cell>
          <cell r="E104">
            <v>15586.948523874</v>
          </cell>
          <cell r="F104">
            <v>16320.0806925722</v>
          </cell>
          <cell r="G104">
            <v>17019.6882275966</v>
          </cell>
          <cell r="H104">
            <v>17669.219695547</v>
          </cell>
          <cell r="I104">
            <v>18283.3775499443</v>
          </cell>
          <cell r="J104">
            <v>18896.456064109</v>
          </cell>
          <cell r="K104">
            <v>19570.51966438</v>
          </cell>
          <cell r="L104">
            <v>20341.423849098</v>
          </cell>
          <cell r="M104">
            <v>21224.8896861369</v>
          </cell>
          <cell r="N104">
            <v>22186.9262765651</v>
          </cell>
          <cell r="O104">
            <v>23196.3672694999</v>
          </cell>
          <cell r="P104">
            <v>24198.1045162466</v>
          </cell>
          <cell r="Q104">
            <v>25144.744051959</v>
          </cell>
          <cell r="R104">
            <v>26034.1575618859</v>
          </cell>
          <cell r="S104">
            <v>26877.3693824019</v>
          </cell>
        </row>
        <row r="105">
          <cell r="D105">
            <v>9998.39865437173</v>
          </cell>
          <cell r="E105">
            <v>10387.629300712</v>
          </cell>
          <cell r="F105">
            <v>10826.9754766445</v>
          </cell>
          <cell r="G105">
            <v>11322.4112193478</v>
          </cell>
          <cell r="H105">
            <v>11882.7206427678</v>
          </cell>
          <cell r="I105">
            <v>12498.0188570652</v>
          </cell>
          <cell r="J105">
            <v>13137.8224632408</v>
          </cell>
          <cell r="K105">
            <v>13771.5874671595</v>
          </cell>
          <cell r="L105">
            <v>14378.1432453048</v>
          </cell>
          <cell r="M105">
            <v>14949.3742893778</v>
          </cell>
          <cell r="N105">
            <v>15492.060760022</v>
          </cell>
          <cell r="O105">
            <v>16046.6514836338</v>
          </cell>
          <cell r="P105">
            <v>16659.2223442708</v>
          </cell>
          <cell r="Q105">
            <v>17363.2251172349</v>
          </cell>
          <cell r="R105">
            <v>18167.1473103998</v>
          </cell>
          <cell r="S105">
            <v>19054.7620970398</v>
          </cell>
        </row>
        <row r="106">
          <cell r="D106">
            <v>6347.15752496134</v>
          </cell>
          <cell r="E106">
            <v>6593.47739021972</v>
          </cell>
          <cell r="F106">
            <v>6852.11046260304</v>
          </cell>
          <cell r="G106">
            <v>7126.10518513288</v>
          </cell>
          <cell r="H106">
            <v>7410.28711193438</v>
          </cell>
          <cell r="I106">
            <v>7709.13331281234</v>
          </cell>
          <cell r="J106">
            <v>8029.61580406479</v>
          </cell>
          <cell r="K106">
            <v>8387.36557044856</v>
          </cell>
          <cell r="L106">
            <v>8793.26117571244</v>
          </cell>
          <cell r="M106">
            <v>9251.18229566878</v>
          </cell>
          <cell r="N106">
            <v>9753.89022620732</v>
          </cell>
          <cell r="O106">
            <v>10283.5230263666</v>
          </cell>
          <cell r="P106">
            <v>10812.6200400607</v>
          </cell>
          <cell r="Q106">
            <v>11325.0138997413</v>
          </cell>
          <cell r="R106">
            <v>11814.4816647666</v>
          </cell>
          <cell r="S106">
            <v>12294.5211415567</v>
          </cell>
        </row>
        <row r="107">
          <cell r="D107">
            <v>5401.83619145646</v>
          </cell>
          <cell r="E107">
            <v>5610.6609364863</v>
          </cell>
          <cell r="F107">
            <v>5833.60763587587</v>
          </cell>
          <cell r="G107">
            <v>6069.01281022917</v>
          </cell>
          <cell r="H107">
            <v>6316.73601777498</v>
          </cell>
          <cell r="I107">
            <v>6580.33173801043</v>
          </cell>
          <cell r="J107">
            <v>6856.04115272182</v>
          </cell>
          <cell r="K107">
            <v>7148.24324742875</v>
          </cell>
          <cell r="L107">
            <v>7457.85470845374</v>
          </cell>
          <cell r="M107">
            <v>7783.36005602503</v>
          </cell>
          <cell r="N107">
            <v>8127.40878744138</v>
          </cell>
          <cell r="O107">
            <v>8501.33873658243</v>
          </cell>
          <cell r="P107">
            <v>8913.67236543506</v>
          </cell>
          <cell r="Q107">
            <v>9369.15635779994</v>
          </cell>
          <cell r="R107">
            <v>9875.16288098665</v>
          </cell>
          <cell r="S107">
            <v>10427.1504659385</v>
          </cell>
        </row>
        <row r="108">
          <cell r="D108">
            <v>135551.901458441</v>
          </cell>
          <cell r="E108">
            <v>132644.501901324</v>
          </cell>
          <cell r="F108">
            <v>130410.938029741</v>
          </cell>
          <cell r="G108">
            <v>128882.34296098</v>
          </cell>
          <cell r="H108">
            <v>129264.435154072</v>
          </cell>
          <cell r="I108">
            <v>132251.836914325</v>
          </cell>
          <cell r="J108">
            <v>134567.032955127</v>
          </cell>
          <cell r="K108">
            <v>136075.520741714</v>
          </cell>
          <cell r="L108">
            <v>136800.951730284</v>
          </cell>
          <cell r="M108">
            <v>135754.813192611</v>
          </cell>
          <cell r="N108">
            <v>133046.659448621</v>
          </cell>
          <cell r="O108">
            <v>130416.370811849</v>
          </cell>
          <cell r="P108">
            <v>127811.13946362</v>
          </cell>
          <cell r="Q108">
            <v>125225.008202736</v>
          </cell>
          <cell r="R108">
            <v>122657.386802927</v>
          </cell>
          <cell r="S108">
            <v>120066.895640512</v>
          </cell>
        </row>
        <row r="109">
          <cell r="D109">
            <v>150802.966830998</v>
          </cell>
          <cell r="E109">
            <v>147022.329546859</v>
          </cell>
          <cell r="F109">
            <v>143561.51133296</v>
          </cell>
          <cell r="G109">
            <v>140268.180353967</v>
          </cell>
          <cell r="H109">
            <v>137260.783439651</v>
          </cell>
          <cell r="I109">
            <v>133228.859910517</v>
          </cell>
          <cell r="J109">
            <v>130098.286820041</v>
          </cell>
          <cell r="K109">
            <v>127678.613699857</v>
          </cell>
          <cell r="L109">
            <v>125995.58743117</v>
          </cell>
          <cell r="M109">
            <v>126297.747547428</v>
          </cell>
          <cell r="N109">
            <v>129309.797780699</v>
          </cell>
          <cell r="O109">
            <v>131676.490250216</v>
          </cell>
          <cell r="P109">
            <v>133264.417409322</v>
          </cell>
          <cell r="Q109">
            <v>134081.398552857</v>
          </cell>
          <cell r="R109">
            <v>133124.658755022</v>
          </cell>
          <cell r="S109">
            <v>130514.480942686</v>
          </cell>
        </row>
        <row r="110">
          <cell r="D110">
            <v>169497.433679111</v>
          </cell>
          <cell r="E110">
            <v>165115.088898174</v>
          </cell>
          <cell r="F110">
            <v>161094.272324551</v>
          </cell>
          <cell r="G110">
            <v>157117.735153315</v>
          </cell>
          <cell r="H110">
            <v>152690.837167687</v>
          </cell>
          <cell r="I110">
            <v>148663.81910062</v>
          </cell>
          <cell r="J110">
            <v>144606.942768371</v>
          </cell>
          <cell r="K110">
            <v>140927.356090376</v>
          </cell>
          <cell r="L110">
            <v>137466.912550496</v>
          </cell>
          <cell r="M110">
            <v>134401.662301395</v>
          </cell>
          <cell r="N110">
            <v>130427.559931569</v>
          </cell>
          <cell r="O110">
            <v>127351.944063553</v>
          </cell>
          <cell r="P110">
            <v>124982.182901636</v>
          </cell>
          <cell r="Q110">
            <v>123349.736908182</v>
          </cell>
          <cell r="R110">
            <v>123697.228291542</v>
          </cell>
          <cell r="S110">
            <v>126751.194652257</v>
          </cell>
        </row>
        <row r="111">
          <cell r="D111">
            <v>185806.54421436</v>
          </cell>
          <cell r="E111">
            <v>183486.367940483</v>
          </cell>
          <cell r="F111">
            <v>179966.452842946</v>
          </cell>
          <cell r="G111">
            <v>175174.985153187</v>
          </cell>
          <cell r="H111">
            <v>170583.080164643</v>
          </cell>
          <cell r="I111">
            <v>165934.579448696</v>
          </cell>
          <cell r="J111">
            <v>161228.315352379</v>
          </cell>
          <cell r="K111">
            <v>156942.715255292</v>
          </cell>
          <cell r="L111">
            <v>152758.012944911</v>
          </cell>
          <cell r="M111">
            <v>148251.971165031</v>
          </cell>
          <cell r="N111">
            <v>144275.224540607</v>
          </cell>
          <cell r="O111">
            <v>140267.669051887</v>
          </cell>
          <cell r="P111">
            <v>136635.407638617</v>
          </cell>
          <cell r="Q111">
            <v>133221.109113844</v>
          </cell>
          <cell r="R111">
            <v>130202.724130584</v>
          </cell>
          <cell r="S111">
            <v>126279.162189947</v>
          </cell>
        </row>
        <row r="112">
          <cell r="D112">
            <v>177118.962410185</v>
          </cell>
          <cell r="E112">
            <v>177235.704803385</v>
          </cell>
          <cell r="F112">
            <v>177841.026647717</v>
          </cell>
          <cell r="G112">
            <v>179008.71526648</v>
          </cell>
          <cell r="H112">
            <v>178059.911529122</v>
          </cell>
          <cell r="I112">
            <v>176009.440170457</v>
          </cell>
          <cell r="J112">
            <v>173347.899313633</v>
          </cell>
          <cell r="K112">
            <v>169547.081080635</v>
          </cell>
          <cell r="L112">
            <v>164529.320415683</v>
          </cell>
          <cell r="M112">
            <v>159834.702944348</v>
          </cell>
          <cell r="N112">
            <v>155206.11928321</v>
          </cell>
          <cell r="O112">
            <v>150516.374214644</v>
          </cell>
          <cell r="P112">
            <v>146241.282372553</v>
          </cell>
          <cell r="Q112">
            <v>142066.52129247</v>
          </cell>
          <cell r="R112">
            <v>137572.426043657</v>
          </cell>
          <cell r="S112">
            <v>133602.152059787</v>
          </cell>
        </row>
        <row r="113">
          <cell r="D113">
            <v>179725.537248078</v>
          </cell>
          <cell r="E113">
            <v>174348.317215451</v>
          </cell>
          <cell r="F113">
            <v>169253.101747559</v>
          </cell>
          <cell r="G113">
            <v>165465.276232025</v>
          </cell>
          <cell r="H113">
            <v>164133.247501334</v>
          </cell>
          <cell r="I113">
            <v>164230.050098416</v>
          </cell>
          <cell r="J113">
            <v>164003.884316407</v>
          </cell>
          <cell r="K113">
            <v>164346.041661715</v>
          </cell>
          <cell r="L113">
            <v>165317.274058817</v>
          </cell>
          <cell r="M113">
            <v>164338.87655344</v>
          </cell>
          <cell r="N113">
            <v>162280.285103106</v>
          </cell>
          <cell r="O113">
            <v>159616.793042914</v>
          </cell>
          <cell r="P113">
            <v>155817.210495035</v>
          </cell>
          <cell r="Q113">
            <v>150810.135880864</v>
          </cell>
          <cell r="R113">
            <v>146121.679434218</v>
          </cell>
          <cell r="S113">
            <v>141494.973929583</v>
          </cell>
        </row>
        <row r="114">
          <cell r="D114">
            <v>185005.753173533</v>
          </cell>
          <cell r="E114">
            <v>186336.686360909</v>
          </cell>
          <cell r="F114">
            <v>186051.989166079</v>
          </cell>
          <cell r="G114">
            <v>183621.830073136</v>
          </cell>
          <cell r="H114">
            <v>178697.774003677</v>
          </cell>
          <cell r="I114">
            <v>171560.227757028</v>
          </cell>
          <cell r="J114">
            <v>165801.195387991</v>
          </cell>
          <cell r="K114">
            <v>160455.768237174</v>
          </cell>
          <cell r="L114">
            <v>156529.791043768</v>
          </cell>
          <cell r="M114">
            <v>155217.600198839</v>
          </cell>
          <cell r="N114">
            <v>155348.961095162</v>
          </cell>
          <cell r="O114">
            <v>155157.448025682</v>
          </cell>
          <cell r="P114">
            <v>155526.728363935</v>
          </cell>
          <cell r="Q114">
            <v>156521.779105311</v>
          </cell>
          <cell r="R114">
            <v>155584.037394917</v>
          </cell>
          <cell r="S114">
            <v>153579.204555625</v>
          </cell>
        </row>
        <row r="115">
          <cell r="D115">
            <v>167162.126806299</v>
          </cell>
          <cell r="E115">
            <v>169730.70118742</v>
          </cell>
          <cell r="F115">
            <v>172433.220564194</v>
          </cell>
          <cell r="G115">
            <v>175029.54013319</v>
          </cell>
          <cell r="H115">
            <v>177543.403393279</v>
          </cell>
          <cell r="I115">
            <v>179782.252048061</v>
          </cell>
          <cell r="J115">
            <v>180649.287800536</v>
          </cell>
          <cell r="K115">
            <v>179985.180968702</v>
          </cell>
          <cell r="L115">
            <v>177286.569881544</v>
          </cell>
          <cell r="M115">
            <v>172293.884747</v>
          </cell>
          <cell r="N115">
            <v>165351.883506971</v>
          </cell>
          <cell r="O115">
            <v>159755.585912909</v>
          </cell>
          <cell r="P115">
            <v>154556.458152838</v>
          </cell>
          <cell r="Q115">
            <v>150753.248992205</v>
          </cell>
          <cell r="R115">
            <v>149534.594876698</v>
          </cell>
          <cell r="S115">
            <v>149749.055315989</v>
          </cell>
        </row>
        <row r="116">
          <cell r="D116">
            <v>166774.744140298</v>
          </cell>
          <cell r="E116">
            <v>164964.808489364</v>
          </cell>
          <cell r="F116">
            <v>163538.512449065</v>
          </cell>
          <cell r="G116">
            <v>162710.848474017</v>
          </cell>
          <cell r="H116">
            <v>162462.368755094</v>
          </cell>
          <cell r="I116">
            <v>162688.858951602</v>
          </cell>
          <cell r="J116">
            <v>164909.048220982</v>
          </cell>
          <cell r="K116">
            <v>167301.768949804</v>
          </cell>
          <cell r="L116">
            <v>169636.019978479</v>
          </cell>
          <cell r="M116">
            <v>172010.062846627</v>
          </cell>
          <cell r="N116">
            <v>174333.936465528</v>
          </cell>
          <cell r="O116">
            <v>175295.394803008</v>
          </cell>
          <cell r="P116">
            <v>174750.456476388</v>
          </cell>
          <cell r="Q116">
            <v>172193.617922975</v>
          </cell>
          <cell r="R116">
            <v>167375.560455833</v>
          </cell>
          <cell r="S116">
            <v>160641.728309898</v>
          </cell>
        </row>
        <row r="117">
          <cell r="D117">
            <v>159780.835387473</v>
          </cell>
          <cell r="E117">
            <v>160579.626160292</v>
          </cell>
          <cell r="F117">
            <v>161301.802146443</v>
          </cell>
          <cell r="G117">
            <v>161853.224390588</v>
          </cell>
          <cell r="H117">
            <v>162109.337951566</v>
          </cell>
          <cell r="I117">
            <v>162168.782095167</v>
          </cell>
          <cell r="J117">
            <v>160157.939009469</v>
          </cell>
          <cell r="K117">
            <v>158596.681811558</v>
          </cell>
          <cell r="L117">
            <v>157687.722920353</v>
          </cell>
          <cell r="M117">
            <v>157468.187944052</v>
          </cell>
          <cell r="N117">
            <v>157819.225437523</v>
          </cell>
          <cell r="O117">
            <v>160105.064362535</v>
          </cell>
          <cell r="P117">
            <v>162561.187394388</v>
          </cell>
          <cell r="Q117">
            <v>164961.996954192</v>
          </cell>
          <cell r="R117">
            <v>167408.492096068</v>
          </cell>
          <cell r="S117">
            <v>169819.91553161</v>
          </cell>
        </row>
        <row r="118">
          <cell r="D118">
            <v>152820.960253882</v>
          </cell>
          <cell r="E118">
            <v>152893.284184364</v>
          </cell>
          <cell r="F118">
            <v>152836.189508464</v>
          </cell>
          <cell r="G118">
            <v>152950.986097684</v>
          </cell>
          <cell r="H118">
            <v>153258.494652904</v>
          </cell>
          <cell r="I118">
            <v>153687.22041335</v>
          </cell>
          <cell r="J118">
            <v>154273.372342227</v>
          </cell>
          <cell r="K118">
            <v>154843.488494827</v>
          </cell>
          <cell r="L118">
            <v>155304.863108694</v>
          </cell>
          <cell r="M118">
            <v>155600.360015188</v>
          </cell>
          <cell r="N118">
            <v>155808.452238505</v>
          </cell>
          <cell r="O118">
            <v>153985.197454649</v>
          </cell>
          <cell r="P118">
            <v>152595.953323008</v>
          </cell>
          <cell r="Q118">
            <v>151838.091939082</v>
          </cell>
          <cell r="R118">
            <v>151755.983699785</v>
          </cell>
          <cell r="S118">
            <v>152243.941480421</v>
          </cell>
        </row>
        <row r="119">
          <cell r="D119">
            <v>136138.480895847</v>
          </cell>
          <cell r="E119">
            <v>139401.109081415</v>
          </cell>
          <cell r="F119">
            <v>142107.800020185</v>
          </cell>
          <cell r="G119">
            <v>143957.468516367</v>
          </cell>
          <cell r="H119">
            <v>144779.737797732</v>
          </cell>
          <cell r="I119">
            <v>144635.478131704</v>
          </cell>
          <cell r="J119">
            <v>144467.763805167</v>
          </cell>
          <cell r="K119">
            <v>144256.301482209</v>
          </cell>
          <cell r="L119">
            <v>144287.511281224</v>
          </cell>
          <cell r="M119">
            <v>144640.237545493</v>
          </cell>
          <cell r="N119">
            <v>145217.181384459</v>
          </cell>
          <cell r="O119">
            <v>145941.202054107</v>
          </cell>
          <cell r="P119">
            <v>146644.563406795</v>
          </cell>
          <cell r="Q119">
            <v>147242.230144817</v>
          </cell>
          <cell r="R119">
            <v>147681.441667141</v>
          </cell>
          <cell r="S119">
            <v>148044.54908845</v>
          </cell>
        </row>
        <row r="120">
          <cell r="D120">
            <v>112762.389425297</v>
          </cell>
          <cell r="E120">
            <v>114918.426747505</v>
          </cell>
          <cell r="F120">
            <v>117163.116452495</v>
          </cell>
          <cell r="G120">
            <v>119687.208489876</v>
          </cell>
          <cell r="H120">
            <v>122524.75617764</v>
          </cell>
          <cell r="I120">
            <v>125521.902101579</v>
          </cell>
          <cell r="J120">
            <v>128442.157286671</v>
          </cell>
          <cell r="K120">
            <v>130856.470797681</v>
          </cell>
          <cell r="L120">
            <v>132486.205575307</v>
          </cell>
          <cell r="M120">
            <v>133245.38786924</v>
          </cell>
          <cell r="N120">
            <v>133305.372940199</v>
          </cell>
          <cell r="O120">
            <v>133346.997239429</v>
          </cell>
          <cell r="P120">
            <v>133348.267921392</v>
          </cell>
          <cell r="Q120">
            <v>133575.404648473</v>
          </cell>
          <cell r="R120">
            <v>134105.622462612</v>
          </cell>
          <cell r="S120">
            <v>134849.595142003</v>
          </cell>
        </row>
        <row r="121">
          <cell r="D121">
            <v>85602.5602868377</v>
          </cell>
          <cell r="E121">
            <v>89028.1179177432</v>
          </cell>
          <cell r="F121">
            <v>92339.7425874574</v>
          </cell>
          <cell r="G121">
            <v>95311.6262075241</v>
          </cell>
          <cell r="H121">
            <v>97795.5501475986</v>
          </cell>
          <cell r="I121">
            <v>99868.7854836068</v>
          </cell>
          <cell r="J121">
            <v>101795.894201996</v>
          </cell>
          <cell r="K121">
            <v>103845.686050905</v>
          </cell>
          <cell r="L121">
            <v>106183.753000452</v>
          </cell>
          <cell r="M121">
            <v>108884.674335796</v>
          </cell>
          <cell r="N121">
            <v>111809.178582087</v>
          </cell>
          <cell r="O121">
            <v>114667.873361829</v>
          </cell>
          <cell r="P121">
            <v>117070.288155592</v>
          </cell>
          <cell r="Q121">
            <v>118767.847332184</v>
          </cell>
          <cell r="R121">
            <v>119688.549539367</v>
          </cell>
          <cell r="S121">
            <v>119986.061328784</v>
          </cell>
        </row>
        <row r="122">
          <cell r="D122">
            <v>62866.1006601482</v>
          </cell>
          <cell r="E122">
            <v>63816.0746664096</v>
          </cell>
          <cell r="F122">
            <v>65053.0799669108</v>
          </cell>
          <cell r="G122">
            <v>66711.1168615429</v>
          </cell>
          <cell r="H122">
            <v>68818.9422626184</v>
          </cell>
          <cell r="I122">
            <v>71274.5791283789</v>
          </cell>
          <cell r="J122">
            <v>74194.4028374926</v>
          </cell>
          <cell r="K122">
            <v>77039.0205887493</v>
          </cell>
          <cell r="L122">
            <v>79628.3153092098</v>
          </cell>
          <cell r="M122">
            <v>81877.6213932376</v>
          </cell>
          <cell r="N122">
            <v>83858.1325538029</v>
          </cell>
          <cell r="O122">
            <v>85729.0607130554</v>
          </cell>
          <cell r="P122">
            <v>87721.6107106742</v>
          </cell>
          <cell r="Q122">
            <v>89978.0915929524</v>
          </cell>
          <cell r="R122">
            <v>92558.8655571328</v>
          </cell>
          <cell r="S122">
            <v>95344.5696599244</v>
          </cell>
        </row>
        <row r="123">
          <cell r="D123">
            <v>40935.4370182912</v>
          </cell>
          <cell r="E123">
            <v>42252.8397409793</v>
          </cell>
          <cell r="F123">
            <v>43532.1371806869</v>
          </cell>
          <cell r="G123">
            <v>44732.8697363791</v>
          </cell>
          <cell r="H123">
            <v>45794.7145450672</v>
          </cell>
          <cell r="I123">
            <v>46860.0270471183</v>
          </cell>
          <cell r="J123">
            <v>47705.3418911118</v>
          </cell>
          <cell r="K123">
            <v>48782.5078549482</v>
          </cell>
          <cell r="L123">
            <v>50196.0468675929</v>
          </cell>
          <cell r="M123">
            <v>51996.372022956</v>
          </cell>
          <cell r="N123">
            <v>54113.0732789027</v>
          </cell>
          <cell r="O123">
            <v>56583.556524074</v>
          </cell>
          <cell r="P123">
            <v>59002.8103266634</v>
          </cell>
          <cell r="Q123">
            <v>61235.2425864745</v>
          </cell>
          <cell r="R123">
            <v>63217.7720367307</v>
          </cell>
          <cell r="S123">
            <v>65008.7498093657</v>
          </cell>
        </row>
        <row r="124">
          <cell r="D124">
            <v>35675.2408688568</v>
          </cell>
          <cell r="E124">
            <v>36666.4160108209</v>
          </cell>
          <cell r="F124">
            <v>37739.3482391607</v>
          </cell>
          <cell r="G124">
            <v>38899.0198308544</v>
          </cell>
          <cell r="H124">
            <v>40143.2129033718</v>
          </cell>
          <cell r="I124">
            <v>41474.87670708</v>
          </cell>
          <cell r="J124">
            <v>42902.1657293357</v>
          </cell>
          <cell r="K124">
            <v>44373.9315410273</v>
          </cell>
          <cell r="L124">
            <v>45862.3018303581</v>
          </cell>
          <cell r="M124">
            <v>47352.2862094544</v>
          </cell>
          <cell r="N124">
            <v>48877.8709261674</v>
          </cell>
          <cell r="O124">
            <v>50318.9056870577</v>
          </cell>
          <cell r="P124">
            <v>51973.3423981197</v>
          </cell>
          <cell r="Q124">
            <v>53889.8478403746</v>
          </cell>
          <cell r="R124">
            <v>56077.593676807</v>
          </cell>
          <cell r="S124">
            <v>58496.098965733</v>
          </cell>
        </row>
        <row r="125">
          <cell r="D125">
            <v>130788.375616936</v>
          </cell>
          <cell r="E125">
            <v>127922.558136019</v>
          </cell>
          <cell r="F125">
            <v>125716.545048037</v>
          </cell>
          <cell r="G125">
            <v>124197.657113223</v>
          </cell>
          <cell r="H125">
            <v>124530.62379179</v>
          </cell>
          <cell r="I125">
            <v>127379.529000645</v>
          </cell>
          <cell r="J125">
            <v>129578.594766041</v>
          </cell>
          <cell r="K125">
            <v>130997.665427182</v>
          </cell>
          <cell r="L125">
            <v>131660.673431215</v>
          </cell>
          <cell r="M125">
            <v>130614.825606103</v>
          </cell>
          <cell r="N125">
            <v>127969.022569099</v>
          </cell>
          <cell r="O125">
            <v>125392.760108882</v>
          </cell>
          <cell r="P125">
            <v>122843.594346648</v>
          </cell>
          <cell r="Q125">
            <v>120314.574053418</v>
          </cell>
          <cell r="R125">
            <v>117804.902997396</v>
          </cell>
          <cell r="S125">
            <v>115269.325514918</v>
          </cell>
        </row>
        <row r="126">
          <cell r="D126">
            <v>145973.494095371</v>
          </cell>
          <cell r="E126">
            <v>142235.774746224</v>
          </cell>
          <cell r="F126">
            <v>138822.165650333</v>
          </cell>
          <cell r="G126">
            <v>135582.33372257</v>
          </cell>
          <cell r="H126">
            <v>132638.214223117</v>
          </cell>
          <cell r="I126">
            <v>128714.132933823</v>
          </cell>
          <cell r="J126">
            <v>125654.5800775</v>
          </cell>
          <cell r="K126">
            <v>123278.44069011</v>
          </cell>
          <cell r="L126">
            <v>121608.629490547</v>
          </cell>
          <cell r="M126">
            <v>121852.459924395</v>
          </cell>
          <cell r="N126">
            <v>124704.878810593</v>
          </cell>
          <cell r="O126">
            <v>126929.783682863</v>
          </cell>
          <cell r="P126">
            <v>128406.654689944</v>
          </cell>
          <cell r="Q126">
            <v>129138.334877007</v>
          </cell>
          <cell r="R126">
            <v>128164.580495049</v>
          </cell>
          <cell r="S126">
            <v>125605.179628833</v>
          </cell>
        </row>
        <row r="127">
          <cell r="D127">
            <v>164730.463087846</v>
          </cell>
          <cell r="E127">
            <v>160366.917444044</v>
          </cell>
          <cell r="F127">
            <v>156372.492788621</v>
          </cell>
          <cell r="G127">
            <v>152436.748829714</v>
          </cell>
          <cell r="H127">
            <v>148085.349788914</v>
          </cell>
          <cell r="I127">
            <v>144123.197414562</v>
          </cell>
          <cell r="J127">
            <v>140127.075180375</v>
          </cell>
          <cell r="K127">
            <v>136505.393318398</v>
          </cell>
          <cell r="L127">
            <v>133103.823307485</v>
          </cell>
          <cell r="M127">
            <v>130094.041608821</v>
          </cell>
          <cell r="N127">
            <v>126211.560410785</v>
          </cell>
          <cell r="O127">
            <v>123187.595683054</v>
          </cell>
          <cell r="P127">
            <v>120845.804729466</v>
          </cell>
          <cell r="Q127">
            <v>119214.598439436</v>
          </cell>
          <cell r="R127">
            <v>119493.590312042</v>
          </cell>
          <cell r="S127">
            <v>122386.453333219</v>
          </cell>
        </row>
        <row r="128">
          <cell r="D128">
            <v>182276.465669005</v>
          </cell>
          <cell r="E128">
            <v>179744.995603323</v>
          </cell>
          <cell r="F128">
            <v>175582.44428398</v>
          </cell>
          <cell r="G128">
            <v>170676.897869755</v>
          </cell>
          <cell r="H128">
            <v>166125.390234182</v>
          </cell>
          <cell r="I128">
            <v>161727.545091693</v>
          </cell>
          <cell r="J128">
            <v>157259.970137154</v>
          </cell>
          <cell r="K128">
            <v>153162.667751026</v>
          </cell>
          <cell r="L128">
            <v>149108.485448815</v>
          </cell>
          <cell r="M128">
            <v>144696.98482626</v>
          </cell>
          <cell r="N128">
            <v>140771.819667814</v>
          </cell>
          <cell r="O128">
            <v>136813.074968186</v>
          </cell>
          <cell r="P128">
            <v>133224.911907594</v>
          </cell>
          <cell r="Q128">
            <v>129863.999370079</v>
          </cell>
          <cell r="R128">
            <v>126900.06109336</v>
          </cell>
          <cell r="S128">
            <v>123069.122724289</v>
          </cell>
        </row>
        <row r="129">
          <cell r="D129">
            <v>175258.865275491</v>
          </cell>
          <cell r="E129">
            <v>174996.625303905</v>
          </cell>
          <cell r="F129">
            <v>175688.67627785</v>
          </cell>
          <cell r="G129">
            <v>176316.092977292</v>
          </cell>
          <cell r="H129">
            <v>176141.061866451</v>
          </cell>
          <cell r="I129">
            <v>174693.843514559</v>
          </cell>
          <cell r="J129">
            <v>171772.516423378</v>
          </cell>
          <cell r="K129">
            <v>167373.286170931</v>
          </cell>
          <cell r="L129">
            <v>162371.862897939</v>
          </cell>
          <cell r="M129">
            <v>157900.508473269</v>
          </cell>
          <cell r="N129">
            <v>153524.66048005</v>
          </cell>
          <cell r="O129">
            <v>149079.302086855</v>
          </cell>
          <cell r="P129">
            <v>144999.989741198</v>
          </cell>
          <cell r="Q129">
            <v>140969.560786737</v>
          </cell>
          <cell r="R129">
            <v>136586.060141021</v>
          </cell>
          <cell r="S129">
            <v>132703.344408493</v>
          </cell>
        </row>
        <row r="130">
          <cell r="D130">
            <v>187668.768994768</v>
          </cell>
          <cell r="E130">
            <v>181149.175135022</v>
          </cell>
          <cell r="F130">
            <v>174866.881608287</v>
          </cell>
          <cell r="G130">
            <v>169949.939040992</v>
          </cell>
          <cell r="H130">
            <v>166212.622532911</v>
          </cell>
          <cell r="I130">
            <v>163813.615203463</v>
          </cell>
          <cell r="J130">
            <v>163221.588778535</v>
          </cell>
          <cell r="K130">
            <v>163569.711731521</v>
          </cell>
          <cell r="L130">
            <v>163856.017032647</v>
          </cell>
          <cell r="M130">
            <v>163458.203338692</v>
          </cell>
          <cell r="N130">
            <v>162012.23355275</v>
          </cell>
          <cell r="O130">
            <v>159101.414864565</v>
          </cell>
          <cell r="P130">
            <v>154718.372616583</v>
          </cell>
          <cell r="Q130">
            <v>149740.418971905</v>
          </cell>
          <cell r="R130">
            <v>145291.981799213</v>
          </cell>
          <cell r="S130">
            <v>140747.665010864</v>
          </cell>
        </row>
        <row r="131">
          <cell r="D131">
            <v>188369.328075695</v>
          </cell>
          <cell r="E131">
            <v>189433.033128375</v>
          </cell>
          <cell r="F131">
            <v>190056.052354513</v>
          </cell>
          <cell r="G131">
            <v>188580.139093984</v>
          </cell>
          <cell r="H131">
            <v>184707.875203733</v>
          </cell>
          <cell r="I131">
            <v>178775.807796667</v>
          </cell>
          <cell r="J131">
            <v>172073.901578073</v>
          </cell>
          <cell r="K131">
            <v>165747.185548979</v>
          </cell>
          <cell r="L131">
            <v>160882.708243909</v>
          </cell>
          <cell r="M131">
            <v>157138.824392792</v>
          </cell>
          <cell r="N131">
            <v>154813.532671195</v>
          </cell>
          <cell r="O131">
            <v>154266.631809568</v>
          </cell>
          <cell r="P131">
            <v>154645.489736995</v>
          </cell>
          <cell r="Q131">
            <v>154962.807730844</v>
          </cell>
          <cell r="R131">
            <v>154604.713083471</v>
          </cell>
          <cell r="S131">
            <v>153189.414468576</v>
          </cell>
        </row>
        <row r="132">
          <cell r="D132">
            <v>173097.140111488</v>
          </cell>
          <cell r="E132">
            <v>176257.582529589</v>
          </cell>
          <cell r="F132">
            <v>178363.517708418</v>
          </cell>
          <cell r="G132">
            <v>180289.800340586</v>
          </cell>
          <cell r="H132">
            <v>181784.089191149</v>
          </cell>
          <cell r="I132">
            <v>183040.127871446</v>
          </cell>
          <cell r="J132">
            <v>183608.642382357</v>
          </cell>
          <cell r="K132">
            <v>183875.455621157</v>
          </cell>
          <cell r="L132">
            <v>182217.92398227</v>
          </cell>
          <cell r="M132">
            <v>178371.018032441</v>
          </cell>
          <cell r="N132">
            <v>172610.959292032</v>
          </cell>
          <cell r="O132">
            <v>166073.449672856</v>
          </cell>
          <cell r="P132">
            <v>159893.057067284</v>
          </cell>
          <cell r="Q132">
            <v>155151.460535783</v>
          </cell>
          <cell r="R132">
            <v>151515.77263499</v>
          </cell>
          <cell r="S132">
            <v>149465.672512317</v>
          </cell>
        </row>
        <row r="133">
          <cell r="D133">
            <v>177716.826850857</v>
          </cell>
          <cell r="E133">
            <v>174744.233547851</v>
          </cell>
          <cell r="F133">
            <v>172310.298435047</v>
          </cell>
          <cell r="G133">
            <v>170590.665512137</v>
          </cell>
          <cell r="H133">
            <v>169550.511296934</v>
          </cell>
          <cell r="I133">
            <v>169047.827626077</v>
          </cell>
          <cell r="J133">
            <v>171734.467799197</v>
          </cell>
          <cell r="K133">
            <v>173376.349328527</v>
          </cell>
          <cell r="L133">
            <v>174876.161514014</v>
          </cell>
          <cell r="M133">
            <v>176320.868361761</v>
          </cell>
          <cell r="N133">
            <v>177650.549471985</v>
          </cell>
          <cell r="O133">
            <v>178293.735865986</v>
          </cell>
          <cell r="P133">
            <v>178637.93465978</v>
          </cell>
          <cell r="Q133">
            <v>177076.110591229</v>
          </cell>
          <cell r="R133">
            <v>173356.927004801</v>
          </cell>
          <cell r="S133">
            <v>167779.975620693</v>
          </cell>
        </row>
        <row r="134">
          <cell r="D134">
            <v>165476.05810969</v>
          </cell>
          <cell r="E134">
            <v>167390.819766301</v>
          </cell>
          <cell r="F134">
            <v>169098.283903399</v>
          </cell>
          <cell r="G134">
            <v>170764.132929207</v>
          </cell>
          <cell r="H134">
            <v>172348.963546975</v>
          </cell>
          <cell r="I134">
            <v>173899.293275062</v>
          </cell>
          <cell r="J134">
            <v>170748.207409247</v>
          </cell>
          <cell r="K134">
            <v>168192.840884395</v>
          </cell>
          <cell r="L134">
            <v>166388.280017203</v>
          </cell>
          <cell r="M134">
            <v>165353.417271218</v>
          </cell>
          <cell r="N134">
            <v>164958.655329253</v>
          </cell>
          <cell r="O134">
            <v>167684.378214006</v>
          </cell>
          <cell r="P134">
            <v>169379.812160967</v>
          </cell>
          <cell r="Q134">
            <v>170934.413719335</v>
          </cell>
          <cell r="R134">
            <v>172444.716481404</v>
          </cell>
          <cell r="S134">
            <v>173858.12853241</v>
          </cell>
        </row>
        <row r="135">
          <cell r="D135">
            <v>161478.868153658</v>
          </cell>
          <cell r="E135">
            <v>162339.979981453</v>
          </cell>
          <cell r="F135">
            <v>162732.381780146</v>
          </cell>
          <cell r="G135">
            <v>162656.285909374</v>
          </cell>
          <cell r="H135">
            <v>162017.4508331</v>
          </cell>
          <cell r="I135">
            <v>160832.799361717</v>
          </cell>
          <cell r="J135">
            <v>162504.672596602</v>
          </cell>
          <cell r="K135">
            <v>164022.01787375</v>
          </cell>
          <cell r="L135">
            <v>165551.193082735</v>
          </cell>
          <cell r="M135">
            <v>167109.688832108</v>
          </cell>
          <cell r="N135">
            <v>168736.349712758</v>
          </cell>
          <cell r="O135">
            <v>165744.872183681</v>
          </cell>
          <cell r="P135">
            <v>163330.533155218</v>
          </cell>
          <cell r="Q135">
            <v>161648.503431794</v>
          </cell>
          <cell r="R135">
            <v>160727.701662286</v>
          </cell>
          <cell r="S135">
            <v>160452.258268012</v>
          </cell>
        </row>
        <row r="136">
          <cell r="D136">
            <v>141124.62445667</v>
          </cell>
          <cell r="E136">
            <v>144829.801127893</v>
          </cell>
          <cell r="F136">
            <v>148314.896272413</v>
          </cell>
          <cell r="G136">
            <v>151328.763304496</v>
          </cell>
          <cell r="H136">
            <v>153778.510618629</v>
          </cell>
          <cell r="I136">
            <v>155683.75310601</v>
          </cell>
          <cell r="J136">
            <v>156295.737898046</v>
          </cell>
          <cell r="K136">
            <v>156511.934693595</v>
          </cell>
          <cell r="L136">
            <v>156333.235764941</v>
          </cell>
          <cell r="M136">
            <v>155724.41104125</v>
          </cell>
          <cell r="N136">
            <v>154691.639332188</v>
          </cell>
          <cell r="O136">
            <v>156427.852741403</v>
          </cell>
          <cell r="P136">
            <v>158011.081340953</v>
          </cell>
          <cell r="Q136">
            <v>159601.271141163</v>
          </cell>
          <cell r="R136">
            <v>161222.730567762</v>
          </cell>
          <cell r="S136">
            <v>162926.435783307</v>
          </cell>
        </row>
        <row r="137">
          <cell r="D137">
            <v>121430.907893126</v>
          </cell>
          <cell r="E137">
            <v>123313.403924266</v>
          </cell>
          <cell r="F137">
            <v>125337.717749141</v>
          </cell>
          <cell r="G137">
            <v>127827.437747875</v>
          </cell>
          <cell r="H137">
            <v>130803.3279395</v>
          </cell>
          <cell r="I137">
            <v>134067.577990107</v>
          </cell>
          <cell r="J137">
            <v>137474.68556314</v>
          </cell>
          <cell r="K137">
            <v>140690.225811324</v>
          </cell>
          <cell r="L137">
            <v>143477.900692476</v>
          </cell>
          <cell r="M137">
            <v>145812.522140975</v>
          </cell>
          <cell r="N137">
            <v>147770.695403454</v>
          </cell>
          <cell r="O137">
            <v>148479.073907542</v>
          </cell>
          <cell r="P137">
            <v>148806.872205122</v>
          </cell>
          <cell r="Q137">
            <v>148761.221079604</v>
          </cell>
          <cell r="R137">
            <v>148306.069086584</v>
          </cell>
          <cell r="S137">
            <v>147460.580689716</v>
          </cell>
        </row>
        <row r="138">
          <cell r="D138">
            <v>96166.7458375271</v>
          </cell>
          <cell r="E138">
            <v>100424.87693574</v>
          </cell>
          <cell r="F138">
            <v>104506.225064326</v>
          </cell>
          <cell r="G138">
            <v>107968.927949732</v>
          </cell>
          <cell r="H138">
            <v>110603.536098105</v>
          </cell>
          <cell r="I138">
            <v>112573.641372588</v>
          </cell>
          <cell r="J138">
            <v>114264.02353327</v>
          </cell>
          <cell r="K138">
            <v>116125.599308131</v>
          </cell>
          <cell r="L138">
            <v>118452.301694631</v>
          </cell>
          <cell r="M138">
            <v>121308.685462742</v>
          </cell>
          <cell r="N138">
            <v>124519.041424893</v>
          </cell>
          <cell r="O138">
            <v>127858.58935135</v>
          </cell>
          <cell r="P138">
            <v>131024.447981423</v>
          </cell>
          <cell r="Q138">
            <v>133796.761547108</v>
          </cell>
          <cell r="R138">
            <v>136156.902017323</v>
          </cell>
          <cell r="S138">
            <v>138180.668411696</v>
          </cell>
        </row>
        <row r="139">
          <cell r="D139">
            <v>78096.3247443604</v>
          </cell>
          <cell r="E139">
            <v>77929.960900109</v>
          </cell>
          <cell r="F139">
            <v>78353.110799777</v>
          </cell>
          <cell r="G139">
            <v>79637.5876646257</v>
          </cell>
          <cell r="H139">
            <v>81891.0751048469</v>
          </cell>
          <cell r="I139">
            <v>85267.3643523913</v>
          </cell>
          <cell r="J139">
            <v>89066.8228093283</v>
          </cell>
          <cell r="K139">
            <v>92717.7557704629</v>
          </cell>
          <cell r="L139">
            <v>95831.9524905686</v>
          </cell>
          <cell r="M139">
            <v>98269.2414064236</v>
          </cell>
          <cell r="N139">
            <v>100194.326412773</v>
          </cell>
          <cell r="O139">
            <v>101884.988254199</v>
          </cell>
          <cell r="P139">
            <v>103741.29112549</v>
          </cell>
          <cell r="Q139">
            <v>106032.858005463</v>
          </cell>
          <cell r="R139">
            <v>108813.541284837</v>
          </cell>
          <cell r="S139">
            <v>111926.840440806</v>
          </cell>
        </row>
        <row r="140">
          <cell r="D140">
            <v>62452.840467262</v>
          </cell>
          <cell r="E140">
            <v>63211.1146819594</v>
          </cell>
          <cell r="F140">
            <v>63783.2926215882</v>
          </cell>
          <cell r="G140">
            <v>64227.0631966802</v>
          </cell>
          <cell r="H140">
            <v>64459.6554104832</v>
          </cell>
          <cell r="I140">
            <v>64189.2390203593</v>
          </cell>
          <cell r="J140">
            <v>64087.9010346348</v>
          </cell>
          <cell r="K140">
            <v>64516.6679379317</v>
          </cell>
          <cell r="L140">
            <v>65696.8228497157</v>
          </cell>
          <cell r="M140">
            <v>67738.9043066739</v>
          </cell>
          <cell r="N140">
            <v>70757.0850424423</v>
          </cell>
          <cell r="O140">
            <v>74126.6820714709</v>
          </cell>
          <cell r="P140">
            <v>77370.6678578154</v>
          </cell>
          <cell r="Q140">
            <v>80169.4567950517</v>
          </cell>
          <cell r="R140">
            <v>82414.3284244887</v>
          </cell>
          <cell r="S140">
            <v>84250.7845718547</v>
          </cell>
        </row>
        <row r="141">
          <cell r="D141">
            <v>68887.9760249194</v>
          </cell>
          <cell r="E141">
            <v>71046.2762201048</v>
          </cell>
          <cell r="F141">
            <v>73193.8437767122</v>
          </cell>
          <cell r="G141">
            <v>75251.7698480603</v>
          </cell>
          <cell r="H141">
            <v>77212.6164166731</v>
          </cell>
          <cell r="I141">
            <v>79099.3299585144</v>
          </cell>
          <cell r="J141">
            <v>80926.4197938051</v>
          </cell>
          <cell r="K141">
            <v>82645.9386874161</v>
          </cell>
          <cell r="L141">
            <v>84243.7490142457</v>
          </cell>
          <cell r="M141">
            <v>85698.4553223306</v>
          </cell>
          <cell r="N141">
            <v>86822.0276482039</v>
          </cell>
          <cell r="O141">
            <v>88091.7247192759</v>
          </cell>
          <cell r="P141">
            <v>89739.7910798359</v>
          </cell>
          <cell r="Q141">
            <v>91902.86273185</v>
          </cell>
          <cell r="R141">
            <v>94615.3936854529</v>
          </cell>
          <cell r="S141">
            <v>97778.4175054201</v>
          </cell>
        </row>
      </sheetData>
      <sheetData sheetId="2"/>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35178.0328375</v>
          </cell>
        </row>
        <row r="70">
          <cell r="AI70">
            <v>42764.9087649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0.820564128</v>
          </cell>
        </row>
        <row r="37">
          <cell r="J37">
            <v>4.509</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v>
          </cell>
        </row>
        <row r="11">
          <cell r="A11" t="str">
            <v/>
          </cell>
          <cell r="D11" t="str">
            <v>IMIA</v>
          </cell>
          <cell r="J11">
            <v>0.993180581182697</v>
          </cell>
        </row>
        <row r="12">
          <cell r="A12" t="str">
            <v/>
          </cell>
          <cell r="D12" t="str">
            <v>IMIL</v>
          </cell>
          <cell r="J12">
            <v>1.44290622233195</v>
          </cell>
        </row>
        <row r="13">
          <cell r="A13" t="str">
            <v/>
          </cell>
          <cell r="D13" t="str">
            <v>IMIC</v>
          </cell>
          <cell r="J13">
            <v>17.3532402590831</v>
          </cell>
        </row>
        <row r="14">
          <cell r="A14" t="str">
            <v/>
          </cell>
          <cell r="D14" t="str">
            <v>IMIH</v>
          </cell>
          <cell r="J14">
            <v>7.69549985243705</v>
          </cell>
        </row>
        <row r="15">
          <cell r="A15" t="str">
            <v/>
          </cell>
          <cell r="D15" t="str">
            <v>IMIP</v>
          </cell>
          <cell r="J15">
            <v>15.2945172722485</v>
          </cell>
        </row>
        <row r="16">
          <cell r="A16" t="str">
            <v/>
          </cell>
          <cell r="D16" t="str">
            <v>IMIF</v>
          </cell>
          <cell r="J16">
            <v>5.88890634149207</v>
          </cell>
        </row>
        <row r="17">
          <cell r="A17" t="str">
            <v/>
          </cell>
          <cell r="D17" t="str">
            <v>IMIO</v>
          </cell>
          <cell r="J17">
            <v>28.8949768078483</v>
          </cell>
        </row>
        <row r="18">
          <cell r="A18" t="str">
            <v/>
          </cell>
          <cell r="D18" t="str">
            <v>IMIE</v>
          </cell>
          <cell r="J18">
            <v>0.186829635306388</v>
          </cell>
        </row>
        <row r="19">
          <cell r="D19">
            <v>0</v>
          </cell>
          <cell r="J19" t="str">
            <v/>
          </cell>
        </row>
        <row r="20">
          <cell r="A20" t="str">
            <v/>
          </cell>
          <cell r="D20" t="str">
            <v>IMIS</v>
          </cell>
          <cell r="J20">
            <v>20.27512296</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51.4885232177635</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0.556476631949618</v>
          </cell>
        </row>
        <row r="74">
          <cell r="A74" t="str">
            <v/>
          </cell>
          <cell r="D74" t="str">
            <v>ICPA</v>
          </cell>
          <cell r="J74">
            <v>0.208678736981107</v>
          </cell>
        </row>
        <row r="75">
          <cell r="A75" t="str">
            <v/>
          </cell>
          <cell r="D75" t="str">
            <v>ICPL</v>
          </cell>
          <cell r="J75">
            <v>0.333885979169771</v>
          </cell>
        </row>
        <row r="76">
          <cell r="A76" t="str">
            <v/>
          </cell>
          <cell r="D76" t="str">
            <v>ICPC</v>
          </cell>
          <cell r="J76">
            <v>2.78238315974809</v>
          </cell>
        </row>
        <row r="77">
          <cell r="A77" t="str">
            <v/>
          </cell>
          <cell r="D77" t="str">
            <v>ICPH</v>
          </cell>
          <cell r="J77">
            <v>0.500828968754656</v>
          </cell>
        </row>
        <row r="78">
          <cell r="A78" t="str">
            <v/>
          </cell>
          <cell r="D78" t="str">
            <v>ICPP</v>
          </cell>
          <cell r="J78">
            <v>7.79067284729465</v>
          </cell>
        </row>
        <row r="79">
          <cell r="A79" t="str">
            <v/>
          </cell>
          <cell r="D79" t="str">
            <v>ICPF</v>
          </cell>
          <cell r="J79">
            <v>1.78072522223878</v>
          </cell>
        </row>
        <row r="80">
          <cell r="A80" t="str">
            <v/>
          </cell>
          <cell r="D80" t="str">
            <v>ICPO</v>
          </cell>
          <cell r="J80">
            <v>4.45181305559694</v>
          </cell>
        </row>
        <row r="81">
          <cell r="A81" t="str">
            <v/>
          </cell>
          <cell r="D81" t="str">
            <v>ICPE</v>
          </cell>
          <cell r="J81">
            <v>1.69168896112684</v>
          </cell>
        </row>
        <row r="82">
          <cell r="D82" t="str">
            <v/>
          </cell>
          <cell r="J82" t="str">
            <v/>
          </cell>
        </row>
        <row r="83">
          <cell r="A83" t="str">
            <v/>
          </cell>
          <cell r="D83" t="str">
            <v>ICPS</v>
          </cell>
          <cell r="J83">
            <v>27.2881971201409</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v>
          </cell>
        </row>
        <row r="95">
          <cell r="A95" t="str">
            <v/>
          </cell>
          <cell r="D95" t="str">
            <v>INFA</v>
          </cell>
          <cell r="J95">
            <v>0</v>
          </cell>
        </row>
        <row r="96">
          <cell r="A96" t="str">
            <v/>
          </cell>
          <cell r="D96" t="str">
            <v>INFL</v>
          </cell>
          <cell r="J96">
            <v>0.200368764631049</v>
          </cell>
        </row>
        <row r="97">
          <cell r="A97" t="str">
            <v/>
          </cell>
          <cell r="D97" t="str">
            <v>INFC</v>
          </cell>
          <cell r="J97">
            <v>0</v>
          </cell>
        </row>
        <row r="98">
          <cell r="A98" t="str">
            <v/>
          </cell>
          <cell r="D98" t="str">
            <v>INFH</v>
          </cell>
          <cell r="J98">
            <v>0.601106293893148</v>
          </cell>
        </row>
        <row r="99">
          <cell r="A99" t="str">
            <v/>
          </cell>
          <cell r="D99" t="str">
            <v>INFP</v>
          </cell>
          <cell r="J99">
            <v>0</v>
          </cell>
        </row>
        <row r="100">
          <cell r="A100" t="str">
            <v/>
          </cell>
          <cell r="D100" t="str">
            <v>INFF</v>
          </cell>
          <cell r="J100">
            <v>0</v>
          </cell>
        </row>
        <row r="101">
          <cell r="A101" t="str">
            <v/>
          </cell>
          <cell r="D101" t="str">
            <v>INFO</v>
          </cell>
          <cell r="J101">
            <v>3.74021693977959</v>
          </cell>
        </row>
        <row r="102">
          <cell r="A102" t="str">
            <v/>
          </cell>
          <cell r="D102" t="str">
            <v>INFE</v>
          </cell>
          <cell r="J102">
            <v>45.6840783358792</v>
          </cell>
        </row>
        <row r="103">
          <cell r="D103" t="str">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1.11760716420174</v>
          </cell>
        </row>
        <row r="133">
          <cell r="A133" t="str">
            <v/>
          </cell>
          <cell r="D133" t="str">
            <v>IFBA</v>
          </cell>
          <cell r="J133">
            <v>0.0319316332629067</v>
          </cell>
        </row>
        <row r="134">
          <cell r="A134" t="str">
            <v/>
          </cell>
          <cell r="D134" t="str">
            <v>IFBL</v>
          </cell>
          <cell r="J134">
            <v>0.2394872494718</v>
          </cell>
        </row>
        <row r="135">
          <cell r="A135" t="str">
            <v/>
          </cell>
          <cell r="D135" t="str">
            <v>IFBC</v>
          </cell>
          <cell r="J135">
            <v>7.34427565046855</v>
          </cell>
        </row>
        <row r="136">
          <cell r="A136" t="str">
            <v/>
          </cell>
          <cell r="D136" t="str">
            <v>IFBH</v>
          </cell>
          <cell r="J136">
            <v>0.862154098098481</v>
          </cell>
        </row>
        <row r="137">
          <cell r="A137" t="str">
            <v/>
          </cell>
          <cell r="D137" t="str">
            <v>IFBP</v>
          </cell>
          <cell r="J137">
            <v>3.57634292544555</v>
          </cell>
        </row>
        <row r="138">
          <cell r="A138" t="str">
            <v/>
          </cell>
          <cell r="D138" t="str">
            <v>IFBF</v>
          </cell>
          <cell r="J138">
            <v>0.510906132206507</v>
          </cell>
        </row>
        <row r="139">
          <cell r="A139" t="str">
            <v/>
          </cell>
          <cell r="D139" t="str">
            <v>IFBO</v>
          </cell>
          <cell r="J139">
            <v>2.68225719408416</v>
          </cell>
        </row>
        <row r="140">
          <cell r="A140" t="str">
            <v/>
          </cell>
          <cell r="D140" t="str">
            <v>IFBE</v>
          </cell>
          <cell r="J140">
            <v>0</v>
          </cell>
        </row>
        <row r="141">
          <cell r="D141" t="str">
            <v/>
          </cell>
          <cell r="J141" t="str">
            <v/>
          </cell>
        </row>
        <row r="142">
          <cell r="A142" t="str">
            <v/>
          </cell>
          <cell r="D142" t="str">
            <v>IFBS</v>
          </cell>
          <cell r="J142">
            <v>20.4218620324183</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v>
          </cell>
        </row>
        <row r="173">
          <cell r="A173" t="str">
            <v/>
          </cell>
          <cell r="D173" t="str">
            <v>IOTA</v>
          </cell>
          <cell r="J173">
            <v>0.22789646617647</v>
          </cell>
        </row>
        <row r="174">
          <cell r="A174" t="str">
            <v/>
          </cell>
          <cell r="D174" t="str">
            <v>IOTL</v>
          </cell>
          <cell r="J174">
            <v>1.00958343021635</v>
          </cell>
        </row>
        <row r="175">
          <cell r="A175" t="str">
            <v/>
          </cell>
          <cell r="D175" t="str">
            <v>IOTC</v>
          </cell>
          <cell r="J175">
            <v>4.28687222743662</v>
          </cell>
        </row>
        <row r="176">
          <cell r="A176" t="str">
            <v/>
          </cell>
          <cell r="D176" t="str">
            <v>IOTH</v>
          </cell>
          <cell r="J176">
            <v>3.18638041729992</v>
          </cell>
        </row>
        <row r="177">
          <cell r="A177" t="str">
            <v/>
          </cell>
          <cell r="D177" t="str">
            <v>IOTP</v>
          </cell>
          <cell r="J177">
            <v>4.33691353748451</v>
          </cell>
        </row>
        <row r="178">
          <cell r="A178" t="str">
            <v/>
          </cell>
          <cell r="D178" t="str">
            <v>IOTF</v>
          </cell>
          <cell r="J178">
            <v>1.84652434076745</v>
          </cell>
        </row>
        <row r="179">
          <cell r="A179" t="str">
            <v/>
          </cell>
          <cell r="D179" t="str">
            <v>IOTO</v>
          </cell>
          <cell r="J179">
            <v>12.3044909233109</v>
          </cell>
        </row>
        <row r="180">
          <cell r="A180" t="str">
            <v/>
          </cell>
          <cell r="D180" t="str">
            <v>IOTE</v>
          </cell>
          <cell r="J180">
            <v>0.412640642654969</v>
          </cell>
        </row>
        <row r="181">
          <cell r="D181" t="str">
            <v/>
          </cell>
          <cell r="J181" t="str">
            <v/>
          </cell>
        </row>
        <row r="182">
          <cell r="A182" t="str">
            <v/>
          </cell>
          <cell r="D182" t="str">
            <v>IOTS</v>
          </cell>
          <cell r="J182">
            <v>73.6904872529995</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9.46856592467852</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v>
          </cell>
          <cell r="L8">
            <v>30.4259491706145</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v>
          </cell>
          <cell r="H18">
            <v>6.091</v>
          </cell>
          <cell r="I18">
            <v>6.23</v>
          </cell>
          <cell r="J18">
            <v>6.3</v>
          </cell>
          <cell r="K18">
            <v>6.12679748375827</v>
          </cell>
          <cell r="L18">
            <v>5.0030232389252</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8.40217462932455</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3.296</v>
          </cell>
          <cell r="K13">
            <v>4.559</v>
          </cell>
          <cell r="L13">
            <v>5.8221</v>
          </cell>
          <cell r="M13">
            <v>7.0851</v>
          </cell>
          <cell r="N13">
            <v>8.3482</v>
          </cell>
          <cell r="O13">
            <v>9.611178437</v>
          </cell>
        </row>
        <row r="14">
          <cell r="J14">
            <v>14.27</v>
          </cell>
          <cell r="K14">
            <v>14.368</v>
          </cell>
          <cell r="L14">
            <v>14.466</v>
          </cell>
          <cell r="M14">
            <v>14.564</v>
          </cell>
          <cell r="N14">
            <v>14.662</v>
          </cell>
          <cell r="O14">
            <v>14.7599608803003</v>
          </cell>
        </row>
        <row r="15">
          <cell r="J15">
            <v>1.27</v>
          </cell>
          <cell r="K15">
            <v>1.24848712</v>
          </cell>
          <cell r="L15">
            <v>1.22697424</v>
          </cell>
          <cell r="M15">
            <v>1.20546136</v>
          </cell>
          <cell r="N15">
            <v>1.18394848</v>
          </cell>
          <cell r="O15">
            <v>1.1624356</v>
          </cell>
        </row>
        <row r="16">
          <cell r="J16">
            <v>1.2</v>
          </cell>
          <cell r="K16">
            <v>1.17333333333333</v>
          </cell>
          <cell r="L16">
            <v>1.14666666666667</v>
          </cell>
          <cell r="M16">
            <v>1.12</v>
          </cell>
          <cell r="N16">
            <v>1.12</v>
          </cell>
          <cell r="O16">
            <v>1.35917164720367</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v>
          </cell>
        </row>
        <row r="9">
          <cell r="E9">
            <v>2.18006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v>
          </cell>
        </row>
        <row r="11">
          <cell r="J11">
            <v>7.8517549075019</v>
          </cell>
        </row>
        <row r="12">
          <cell r="J12">
            <v>9.89449975652976</v>
          </cell>
        </row>
        <row r="13">
          <cell r="J13">
            <v>121.540271905689</v>
          </cell>
        </row>
        <row r="14">
          <cell r="J14">
            <v>29.5663903737471</v>
          </cell>
        </row>
        <row r="15">
          <cell r="J15">
            <v>9.68310902307503</v>
          </cell>
        </row>
        <row r="16">
          <cell r="J16">
            <v>10.3005528737732</v>
          </cell>
        </row>
        <row r="17">
          <cell r="J17">
            <v>3.55935124875135</v>
          </cell>
        </row>
        <row r="18">
          <cell r="J18">
            <v>18.7601843570789</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v>
          </cell>
        </row>
      </sheetData>
      <sheetData sheetId="44"/>
      <sheetData sheetId="45"/>
      <sheetData sheetId="46">
        <row r="8">
          <cell r="I8">
            <v>132.81549</v>
          </cell>
          <cell r="J8">
            <v>134.007875</v>
          </cell>
          <cell r="K8">
            <v>135.598851</v>
          </cell>
          <cell r="L8">
            <v>136.994216</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22.8640752309456</v>
          </cell>
          <cell r="G22">
            <v>21.9551966725226</v>
          </cell>
          <cell r="H22">
            <v>20.4419260948655</v>
          </cell>
          <cell r="I22">
            <v>19.5676292046019</v>
          </cell>
        </row>
        <row r="23">
          <cell r="C23" t="str">
            <v>Middle Income</v>
          </cell>
          <cell r="E23">
            <v>16.9703644907838</v>
          </cell>
          <cell r="F23">
            <v>18.9828703733041</v>
          </cell>
          <cell r="G23">
            <v>21.9680762423334</v>
          </cell>
          <cell r="H23">
            <v>25.241391122052</v>
          </cell>
          <cell r="I23">
            <v>28.6419987923811</v>
          </cell>
        </row>
        <row r="24">
          <cell r="C24" t="str">
            <v>High Income</v>
          </cell>
          <cell r="E24">
            <v>12.6220245429155</v>
          </cell>
          <cell r="F24">
            <v>15.3158856957504</v>
          </cell>
          <cell r="G24">
            <v>18.883034605144</v>
          </cell>
          <cell r="H24">
            <v>22.9045532130824</v>
          </cell>
          <cell r="I24">
            <v>26.986581433017</v>
          </cell>
        </row>
      </sheetData>
      <sheetData sheetId="17" refreshError="1"/>
      <sheetData sheetId="18" refreshError="1"/>
      <sheetData sheetId="19"/>
      <sheetData sheetId="20">
        <row r="73">
          <cell r="AA73" t="str">
            <v>Corridor Freight</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s8.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s1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s14.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s15.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s16.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Relationships xmlns="http://schemas.openxmlformats.org/package/2006/relationships"><Relationship Id="rId1" Type="http://schemas.openxmlformats.org/officeDocument/2006/relationships/drawing" Target="../drawings/drawing1.xml" /></Relationships>
</file>

<file path=xl/worksheets/_rels/sheet8.xml.rels><?xml version="1.0" encoding="UTF-8" standalone="yes"?><Relationships xmlns="http://schemas.openxmlformats.org/package/2006/relationships"><Relationship Id="rId2" Type="http://schemas.microsoft.com/office/2017/10/relationships/threadedComment" Target="../threadedComments/threadedComments8.xml" /><Relationship Id="rId3" Type="http://schemas.openxmlformats.org/officeDocument/2006/relationships/vmlDrawing" Target="../drawings/vmlDrawing1.vml" /><Relationship Id="rId1" Type="http://schemas.openxmlformats.org/officeDocument/2006/relationships/comments" Target="../comments8.xml" /></Relationships>
</file>

<file path=xl/worksheets/_rels/sheet12.xml.rels><?xml version="1.0" encoding="UTF-8" standalone="yes"?><Relationships xmlns="http://schemas.openxmlformats.org/package/2006/relationships"><Relationship Id="rId4" Type="http://schemas.openxmlformats.org/officeDocument/2006/relationships/printerSettings" Target="../printerSettings/printerSettings1.bin" /><Relationship Id="rId2" Type="http://schemas.microsoft.com/office/2017/10/relationships/threadedComment" Target="../threadedComments/threadedComments12.xml" /><Relationship Id="rId3" Type="http://schemas.openxmlformats.org/officeDocument/2006/relationships/vmlDrawing" Target="../drawings/vmlDrawing2.vml" /><Relationship Id="rId1" Type="http://schemas.openxmlformats.org/officeDocument/2006/relationships/comments" Target="../comments12.xml" /></Relationships>
</file>

<file path=xl/worksheets/_rels/sheet13.xml.rels><?xml version="1.0" encoding="UTF-8" standalone="yes"?><Relationships xmlns="http://schemas.openxmlformats.org/package/2006/relationships"><Relationship Id="rId4" Type="http://schemas.openxmlformats.org/officeDocument/2006/relationships/printerSettings" Target="../printerSettings/printerSettings2.bin" /><Relationship Id="rId2" Type="http://schemas.openxmlformats.org/officeDocument/2006/relationships/drawing" Target="../drawings/drawing2.xml" /><Relationship Id="rId3" Type="http://schemas.openxmlformats.org/officeDocument/2006/relationships/vmlDrawing" Target="../drawings/vmlDrawing3.vml" /><Relationship Id="rId1" Type="http://schemas.openxmlformats.org/officeDocument/2006/relationships/comments" Target="../comments13.xml" /></Relationships>
</file>

<file path=xl/worksheets/_rels/sheet14.xml.rels><?xml version="1.0" encoding="UTF-8" standalone="yes"?><Relationships xmlns="http://schemas.openxmlformats.org/package/2006/relationships"><Relationship Id="rId5" Type="http://schemas.openxmlformats.org/officeDocument/2006/relationships/printerSettings" Target="../printerSettings/printerSettings3.bin" /><Relationship Id="rId4" Type="http://schemas.openxmlformats.org/officeDocument/2006/relationships/vmlDrawing" Target="../drawings/vmlDrawing4.vml" /><Relationship Id="rId2" Type="http://schemas.microsoft.com/office/2017/10/relationships/threadedComment" Target="../threadedComments/threadedComments14.xml" /><Relationship Id="rId3" Type="http://schemas.openxmlformats.org/officeDocument/2006/relationships/drawing" Target="../drawings/drawing3.xml" /><Relationship Id="rId1" Type="http://schemas.openxmlformats.org/officeDocument/2006/relationships/comments" Target="../comments14.xml" /></Relationships>
</file>

<file path=xl/worksheets/_rels/sheet15.xml.rels><?xml version="1.0" encoding="UTF-8" standalone="yes"?><Relationships xmlns="http://schemas.openxmlformats.org/package/2006/relationships"><Relationship Id="rId4" Type="http://schemas.openxmlformats.org/officeDocument/2006/relationships/vmlDrawing" Target="../drawings/vmlDrawing5.vml" /><Relationship Id="rId2" Type="http://schemas.microsoft.com/office/2017/10/relationships/threadedComment" Target="../threadedComments/threadedComments15.xml" /><Relationship Id="rId3" Type="http://schemas.openxmlformats.org/officeDocument/2006/relationships/drawing" Target="../drawings/drawing4.xml" /><Relationship Id="rId1" Type="http://schemas.openxmlformats.org/officeDocument/2006/relationships/comments" Target="../comments15.xml" /></Relationships>
</file>

<file path=xl/worksheets/_rels/sheet16.xml.rels><?xml version="1.0" encoding="UTF-8" standalone="yes"?><Relationships xmlns="http://schemas.openxmlformats.org/package/2006/relationships"><Relationship Id="rId3" Type="http://schemas.microsoft.com/office/2017/10/relationships/threadedComment" Target="../threadedComments/threadedComments16.xml" /><Relationship Id="rId4" Type="http://schemas.openxmlformats.org/officeDocument/2006/relationships/drawing" Target="../drawings/drawing5.xml" /><Relationship Id="rId2" Type="http://schemas.openxmlformats.org/officeDocument/2006/relationships/comments" Target="../comments16.xml" /><Relationship Id="rId1" Type="http://schemas.openxmlformats.org/officeDocument/2006/relationships/hyperlink" Target="https://dataportal.opendataforafrica.org/nbyenxf/afdb-socio-economic-database-1960-2021" TargetMode="External" /><Relationship Id="rId6" Type="http://schemas.openxmlformats.org/officeDocument/2006/relationships/printerSettings" Target="../printerSettings/printerSettings4.bin" /><Relationship Id="rId5" Type="http://schemas.openxmlformats.org/officeDocument/2006/relationships/vmlDrawing" Target="../drawings/vmlDrawing6.vml" /></Relationships>
</file>

<file path=xl/worksheets/_rels/sheet17.xml.rels><?xml version="1.0" encoding="UTF-8" standalone="yes"?><Relationships xmlns="http://schemas.openxmlformats.org/package/2006/relationships"><Relationship Id="rId4" Type="http://schemas.openxmlformats.org/officeDocument/2006/relationships/vmlDrawing" Target="../drawings/vmlDrawing7.vml" /><Relationship Id="rId2" Type="http://schemas.openxmlformats.org/officeDocument/2006/relationships/comments" Target="../comments17.xml" /><Relationship Id="rId3" Type="http://schemas.openxmlformats.org/officeDocument/2006/relationships/drawing" Target="../drawings/drawing6.xml" /><Relationship Id="rId1" Type="http://schemas.openxmlformats.org/officeDocument/2006/relationships/hyperlink" Target="https://dataportal.opendataforafrica.org/nbyenxf/afdb-socio-economic-database-1960-2021"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workbookViewId="0" topLeftCell="A13">
      <selection pane="topLeft" activeCell="B31" sqref="B31"/>
    </sheetView>
  </sheetViews>
  <sheetFormatPr defaultColWidth="8.85428571428571" defaultRowHeight="15"/>
  <cols>
    <col min="1" max="1" width="15.8571428571429" customWidth="1"/>
    <col min="2" max="2" width="64.4285714285714" customWidth="1"/>
    <col min="3" max="3" width="26.8571428571429" customWidth="1"/>
    <col min="4" max="4" width="23.4285714285714" customWidth="1"/>
  </cols>
  <sheetData>
    <row r="1" spans="1:4" ht="15">
      <c r="A1" s="71" t="s">
        <v>202</v>
      </c>
      <c r="B1" s="71" t="s">
        <v>28</v>
      </c>
      <c r="C1" s="71" t="s">
        <v>204</v>
      </c>
      <c r="D1" s="71" t="s">
        <v>200</v>
      </c>
    </row>
    <row r="2" spans="1:4" ht="15">
      <c r="A2" s="70">
        <v>41499</v>
      </c>
      <c r="B2" s="69" t="s">
        <v>203</v>
      </c>
      <c r="C2" s="69" t="s">
        <v>205</v>
      </c>
      <c r="D2" t="s">
        <v>201</v>
      </c>
    </row>
    <row r="3" spans="1:4" ht="15">
      <c r="A3" s="70">
        <v>41500</v>
      </c>
      <c r="B3" t="s">
        <v>208</v>
      </c>
      <c r="C3" t="s">
        <v>209</v>
      </c>
      <c r="D3" t="s">
        <v>201</v>
      </c>
    </row>
    <row r="4" spans="1:4" ht="15">
      <c r="A4" s="70">
        <v>41502</v>
      </c>
      <c r="B4" t="s">
        <v>210</v>
      </c>
      <c r="C4" t="s">
        <v>209</v>
      </c>
      <c r="D4" t="s">
        <v>201</v>
      </c>
    </row>
    <row r="5" spans="1:4" ht="15">
      <c r="A5" s="70">
        <v>41505</v>
      </c>
      <c r="B5" t="s">
        <v>212</v>
      </c>
      <c r="C5" t="s">
        <v>247</v>
      </c>
      <c r="D5" t="s">
        <v>211</v>
      </c>
    </row>
    <row r="7" spans="1:4" ht="15">
      <c r="A7" s="70">
        <v>41599</v>
      </c>
      <c r="B7" t="s">
        <v>252</v>
      </c>
      <c r="C7" t="s">
        <v>4</v>
      </c>
      <c r="D7" t="s">
        <v>211</v>
      </c>
    </row>
    <row r="9" spans="1:4" ht="15">
      <c r="A9" s="70" t="s">
        <v>391</v>
      </c>
      <c r="B9" t="s">
        <v>392</v>
      </c>
      <c r="D9" t="s">
        <v>393</v>
      </c>
    </row>
    <row r="11" spans="1:4" ht="15">
      <c r="A11" s="70">
        <v>42467</v>
      </c>
      <c r="B11" t="s">
        <v>414</v>
      </c>
      <c r="C11" t="s">
        <v>415</v>
      </c>
      <c r="D11" t="s">
        <v>416</v>
      </c>
    </row>
    <row r="13" spans="1:4" ht="15">
      <c r="A13" s="126">
        <v>42963</v>
      </c>
      <c r="B13" t="s">
        <v>431</v>
      </c>
      <c r="C13" t="s">
        <v>430</v>
      </c>
      <c r="D13" t="s">
        <v>211</v>
      </c>
    </row>
    <row r="14" spans="2:2" ht="15">
      <c r="B14" t="s">
        <v>432</v>
      </c>
    </row>
    <row r="15" spans="2:2" ht="15">
      <c r="B15" t="s">
        <v>433</v>
      </c>
    </row>
    <row r="17" spans="1:4" ht="15">
      <c r="A17" s="126">
        <v>43007</v>
      </c>
      <c r="B17" t="s">
        <v>484</v>
      </c>
      <c r="D17" t="s">
        <v>211</v>
      </c>
    </row>
    <row r="18" spans="2:2" ht="15">
      <c r="B18" t="s">
        <v>485</v>
      </c>
    </row>
    <row r="20" spans="1:4" ht="15">
      <c r="A20" s="126">
        <v>43039</v>
      </c>
      <c r="B20" t="s">
        <v>500</v>
      </c>
      <c r="C20" t="s">
        <v>501</v>
      </c>
      <c r="D20" t="s">
        <v>502</v>
      </c>
    </row>
    <row r="21" spans="2:4" ht="15">
      <c r="B21" t="s">
        <v>503</v>
      </c>
      <c r="C21" t="s">
        <v>4</v>
      </c>
      <c r="D21" t="s">
        <v>502</v>
      </c>
    </row>
    <row r="24" spans="1:4" ht="15">
      <c r="A24" s="184">
        <v>44007.756886921299</v>
      </c>
      <c r="B24" t="s">
        <v>583</v>
      </c>
      <c r="C24" t="s">
        <v>584</v>
      </c>
      <c r="D24" t="s">
        <v>585</v>
      </c>
    </row>
    <row r="26" spans="1:4" ht="15">
      <c r="A26" s="70">
        <v>44061</v>
      </c>
      <c r="B26" t="s">
        <v>629</v>
      </c>
      <c r="C26" t="s">
        <v>523</v>
      </c>
      <c r="D26" t="s">
        <v>393</v>
      </c>
    </row>
    <row r="27" spans="2:4" ht="15">
      <c r="B27" t="s">
        <v>630</v>
      </c>
      <c r="C27" t="s">
        <v>523</v>
      </c>
      <c r="D27" t="s">
        <v>393</v>
      </c>
    </row>
    <row r="28" spans="2:4" ht="15">
      <c r="B28" t="s">
        <v>631</v>
      </c>
      <c r="C28" t="s">
        <v>523</v>
      </c>
      <c r="D28" t="s">
        <v>393</v>
      </c>
    </row>
    <row r="30" spans="1:4" ht="15">
      <c r="A30" s="70">
        <v>44298</v>
      </c>
      <c r="B30" t="s">
        <v>679</v>
      </c>
      <c r="C30" t="s">
        <v>584</v>
      </c>
      <c r="D30" t="s">
        <v>585</v>
      </c>
    </row>
    <row r="38" spans="1:1" ht="15">
      <c r="A38" s="184">
        <f ca="1">NOW()</f>
        <v>45366.661667578825</v>
      </c>
    </row>
    <row r="39" spans="1:2" ht="15">
      <c r="A39" t="s">
        <v>488</v>
      </c>
      <c r="B39" t="s">
        <v>489</v>
      </c>
    </row>
    <row r="40" spans="2:2" ht="15">
      <c r="B40" t="s">
        <v>492</v>
      </c>
    </row>
    <row r="41" spans="2:2" ht="15">
      <c r="B41" t="s">
        <v>490</v>
      </c>
    </row>
    <row r="42" spans="2:2" ht="15">
      <c r="B42" t="s">
        <v>491</v>
      </c>
    </row>
  </sheetData>
  <pageMargins left="0.7" right="0.7" top="0.75" bottom="0.75" header="0.3" footer="0.3"/>
  <pageSetup orientation="portrait" paperSize="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topLeftCell="A1"/>
  </sheetViews>
  <sheetFormatPr defaultColWidth="9.14428571428571" defaultRowHeight="11.25"/>
  <cols>
    <col min="1" max="1" width="12.1428571428571" style="18" customWidth="1"/>
    <col min="2" max="2" width="42.4285714285714" style="18" customWidth="1"/>
    <col min="3" max="3" width="28.4285714285714" style="18" customWidth="1"/>
    <col min="4" max="4" width="21.8571428571429" style="18" customWidth="1"/>
    <col min="5" max="16384" width="9.14285714285714" style="18"/>
  </cols>
  <sheetData>
    <row r="1" spans="1:2" ht="11.25">
      <c r="A1" s="16" t="s">
        <v>26</v>
      </c>
      <c r="B1" s="18" t="s">
        <v>27</v>
      </c>
    </row>
  </sheetData>
  <pageMargins left="0.75" right="0.75" top="1" bottom="1" header="0.5" footer="0.5"/>
  <pageSetup horizontalDpi="1200" verticalDpi="1200" orientation="portrait" paperSize="9"/>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09996986389"/>
  </sheetPr>
  <dimension ref="B2:H29"/>
  <sheetViews>
    <sheetView workbookViewId="0" topLeftCell="A1">
      <selection pane="topLeft" activeCell="C7" sqref="C7"/>
    </sheetView>
  </sheetViews>
  <sheetFormatPr defaultColWidth="8.85428571428571" defaultRowHeight="15"/>
  <cols>
    <col min="2" max="2" width="31.4285714285714" customWidth="1"/>
    <col min="6" max="6" width="13.1428571428571" customWidth="1"/>
  </cols>
  <sheetData>
    <row r="2" spans="5:5" ht="15">
      <c r="E2" s="8"/>
    </row>
    <row r="3" spans="2:2" ht="18" thickBot="1">
      <c r="B3" s="33" t="s">
        <v>388</v>
      </c>
    </row>
    <row r="4" spans="2:2" ht="18.75" thickTop="1" thickBot="1">
      <c r="B4" s="33" t="s">
        <v>270</v>
      </c>
    </row>
    <row r="5" ht="15.75" thickTop="1"/>
    <row r="6" spans="2:2" ht="18" thickBot="1">
      <c r="B6" s="33" t="s">
        <v>271</v>
      </c>
    </row>
    <row r="7" spans="2:4" ht="15.75" thickTop="1">
      <c r="B7" t="s">
        <v>1</v>
      </c>
      <c r="C7" s="25">
        <v>1</v>
      </c>
      <c r="D7" s="8"/>
    </row>
    <row r="8" spans="2:4" ht="15">
      <c r="B8" t="s">
        <v>3</v>
      </c>
      <c r="C8" s="25">
        <v>1</v>
      </c>
      <c r="D8" s="8"/>
    </row>
    <row r="9" spans="2:4" ht="15">
      <c r="B9" t="s">
        <v>127</v>
      </c>
      <c r="C9" s="25">
        <v>1</v>
      </c>
      <c r="D9" s="8"/>
    </row>
    <row r="10" spans="2:4" ht="15">
      <c r="B10" t="s">
        <v>128</v>
      </c>
      <c r="C10" s="25">
        <v>1</v>
      </c>
      <c r="D10" s="8"/>
    </row>
    <row r="11" spans="2:4" ht="15">
      <c r="B11" t="s">
        <v>2</v>
      </c>
      <c r="C11" s="25">
        <v>1</v>
      </c>
      <c r="D11" s="8"/>
    </row>
    <row r="13" spans="2:2" ht="15">
      <c r="B13" s="8" t="s">
        <v>262</v>
      </c>
    </row>
    <row r="14" spans="2:2" ht="15">
      <c r="B14" t="s">
        <v>255</v>
      </c>
    </row>
    <row r="15" spans="2:2" ht="15">
      <c r="B15" t="s">
        <v>256</v>
      </c>
    </row>
    <row r="16" spans="2:2" ht="15">
      <c r="B16" t="s">
        <v>257</v>
      </c>
    </row>
    <row r="17" spans="2:7" ht="15">
      <c r="B17" t="s">
        <v>258</v>
      </c>
      <c r="G17" t="s">
        <v>456</v>
      </c>
    </row>
    <row r="18" spans="7:8" ht="15">
      <c r="G18" t="s">
        <v>455</v>
      </c>
      <c r="H18" t="s">
        <v>457</v>
      </c>
    </row>
    <row r="19" spans="2:8" ht="15">
      <c r="B19" t="s">
        <v>454</v>
      </c>
      <c r="C19" s="25">
        <v>1</v>
      </c>
      <c r="G19">
        <v>1</v>
      </c>
      <c r="H19" s="26">
        <v>0</v>
      </c>
    </row>
    <row r="20" spans="7:8" ht="15">
      <c r="G20">
        <v>2</v>
      </c>
      <c r="H20" s="26">
        <v>0.04</v>
      </c>
    </row>
    <row r="21" spans="7:8" ht="15">
      <c r="G21">
        <v>3</v>
      </c>
      <c r="H21" s="26">
        <v>0.06</v>
      </c>
    </row>
    <row r="22" spans="7:8" ht="15">
      <c r="G22">
        <v>4</v>
      </c>
      <c r="H22" s="26">
        <v>0.08</v>
      </c>
    </row>
    <row r="23" spans="7:8" ht="15">
      <c r="G23">
        <v>5</v>
      </c>
      <c r="H23" s="26">
        <v>0.10</v>
      </c>
    </row>
    <row r="29" spans="2:3" ht="15">
      <c r="B29" t="s">
        <v>114</v>
      </c>
      <c r="C29" s="27">
        <v>1E-08</v>
      </c>
    </row>
  </sheetData>
  <dataValidations count="2">
    <dataValidation type="whole" allowBlank="1" showInputMessage="1" showErrorMessage="1" sqref="C7:C11">
      <formula1>0</formula1>
      <formula2>1</formula2>
    </dataValidation>
    <dataValidation type="list" allowBlank="1" showInputMessage="1" showErrorMessage="1" sqref="C19">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topLeftCell="A1">
      <selection pane="topLeft" activeCell="A12" sqref="A12:E12"/>
    </sheetView>
  </sheetViews>
  <sheetFormatPr defaultColWidth="8.85428571428571" defaultRowHeight="15"/>
  <cols>
    <col min="2" max="2" width="14.1428571428571" customWidth="1"/>
    <col min="3" max="3" width="18.1428571428571" customWidth="1"/>
  </cols>
  <sheetData>
    <row r="6" spans="4:6" ht="15">
      <c r="D6" t="s">
        <v>287</v>
      </c>
      <c r="E6" t="s">
        <v>288</v>
      </c>
      <c r="F6" t="s">
        <v>394</v>
      </c>
    </row>
    <row r="7" spans="1:5" ht="15">
      <c r="A7" t="s">
        <v>286</v>
      </c>
      <c r="B7" t="s">
        <v>616</v>
      </c>
      <c r="C7" t="str">
        <f>"DriversGams!"&amp;ADDRESS(ROW(DriversGams!A5),COLUMN(DriversGams!A5),4)</f>
        <v>DriversGams!A5</v>
      </c>
      <c r="D7">
        <v>1</v>
      </c>
      <c r="E7">
        <v>1</v>
      </c>
    </row>
    <row r="8" spans="1:5" ht="15">
      <c r="A8" t="s">
        <v>286</v>
      </c>
      <c r="B8" t="s">
        <v>593</v>
      </c>
      <c r="C8" t="str">
        <f>"DriversGams!"&amp;ADDRESS(ROW(DriversGams!A43),COLUMN(DriversGams!A43),4)</f>
        <v>DriversGams!A43</v>
      </c>
      <c r="E8">
        <v>1</v>
      </c>
    </row>
    <row r="9" spans="1:5" ht="15">
      <c r="A9" t="s">
        <v>286</v>
      </c>
      <c r="B9" t="s">
        <v>617</v>
      </c>
      <c r="C9" t="str">
        <f>"DriversGams!"&amp;ADDRESS(ROW(DriversGams!A61),COLUMN(DriversGams!A61),4)</f>
        <v>DriversGams!A61</v>
      </c>
      <c r="D9">
        <v>1</v>
      </c>
      <c r="E9">
        <v>1</v>
      </c>
    </row>
    <row r="10" spans="1:5" ht="15">
      <c r="A10" t="s">
        <v>286</v>
      </c>
      <c r="B10" t="s">
        <v>493</v>
      </c>
      <c r="C10" t="str">
        <f>"DriversGams!"&amp;ADDRESS(ROW(DriversGams!A71),COLUMN(DriversGams!A71),4)</f>
        <v>DriversGams!A71</v>
      </c>
      <c r="E10">
        <v>1</v>
      </c>
    </row>
    <row r="11" spans="1:5" ht="15">
      <c r="A11" t="s">
        <v>486</v>
      </c>
      <c r="B11" t="s">
        <v>487</v>
      </c>
      <c r="C11" t="str">
        <f>"DriversGams!"&amp;ADDRESS(ROW(DriversGams!A102),COLUMN(DriversGams!A102),4)</f>
        <v>DriversGams!A102</v>
      </c>
      <c r="D11">
        <v>2</v>
      </c>
      <c r="E11">
        <v>1</v>
      </c>
    </row>
    <row r="12" spans="1:5" ht="15">
      <c r="A12" t="s">
        <v>286</v>
      </c>
      <c r="B12" t="s">
        <v>693</v>
      </c>
      <c r="C12" t="str">
        <f>"DriversGams!"&amp;ADDRESS(ROW(DriversGams!A130),COLUMN(DriversGams!A130),4)</f>
        <v>DriversGams!A130</v>
      </c>
      <c r="D12">
        <v>1</v>
      </c>
      <c r="E12">
        <v>1</v>
      </c>
    </row>
    <row r="13" spans="1:5" ht="15">
      <c r="A13" t="s">
        <v>286</v>
      </c>
      <c r="B13" t="s">
        <v>619</v>
      </c>
      <c r="C13" t="str">
        <f>"DriversGams!"&amp;ADDRESS(ROW(DriversGams!A163),COLUMN(DriversGams!A163),4)</f>
        <v>DriversGams!A163</v>
      </c>
      <c r="E13">
        <v>1</v>
      </c>
    </row>
  </sheetData>
  <pageMargins left="0.7" right="0.7" top="0.75" bottom="0.75" header="0.3" footer="0.3"/>
  <pageSetup orientation="portrait" paperSize="9"/>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topLeftCell="A1"/>
  </sheetViews>
  <sheetFormatPr defaultColWidth="8.85428571428571" defaultRowHeight="15"/>
  <cols>
    <col min="2" max="2" width="16.1428571428571" customWidth="1"/>
    <col min="3" max="3" width="14.1428571428571" customWidth="1"/>
  </cols>
  <sheetData>
    <row r="6" spans="4:5" ht="15">
      <c r="D6" t="s">
        <v>287</v>
      </c>
      <c r="E6" t="s">
        <v>288</v>
      </c>
    </row>
    <row r="7" spans="1:5" ht="15">
      <c r="A7" t="s">
        <v>286</v>
      </c>
      <c r="B7" t="s">
        <v>374</v>
      </c>
      <c r="C7" t="s">
        <v>373</v>
      </c>
      <c r="D7">
        <v>1</v>
      </c>
      <c r="E7">
        <v>1</v>
      </c>
    </row>
    <row r="14" spans="3:3" ht="15">
      <c r="C14" s="3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topLeftCell="A1"/>
  </sheetViews>
  <sheetFormatPr defaultColWidth="9.14428571428571" defaultRowHeight="15"/>
  <sheetData>
    <row r="1" spans="1:19" ht="15">
      <c r="A1" t="s">
        <v>453</v>
      </c>
      <c r="D1">
        <v>2002</v>
      </c>
      <c r="E1">
        <v>2003</v>
      </c>
      <c r="F1">
        <v>2004</v>
      </c>
      <c r="G1">
        <v>2005</v>
      </c>
      <c r="H1">
        <v>2006</v>
      </c>
      <c r="I1">
        <v>2007</v>
      </c>
      <c r="J1">
        <v>2008</v>
      </c>
      <c r="K1">
        <v>2009</v>
      </c>
      <c r="L1">
        <v>2010</v>
      </c>
      <c r="M1">
        <v>2011</v>
      </c>
      <c r="N1">
        <v>2012</v>
      </c>
      <c r="O1">
        <v>2013</v>
      </c>
      <c r="P1">
        <v>2014</v>
      </c>
      <c r="Q1">
        <v>2015</v>
      </c>
      <c r="R1">
        <v>2016</v>
      </c>
      <c r="S1">
        <v>2017</v>
      </c>
    </row>
    <row r="2" spans="2:31" ht="15">
      <c r="B2" t="s">
        <v>434</v>
      </c>
      <c r="C2" t="s">
        <v>435</v>
      </c>
      <c r="D2" s="11">
        <f>SUM([1]Sheet1!D6,[1]Sheet1!D40,[1]Sheet1!D74,[1]Sheet1!D108)</f>
        <v>2352836.9199662805</v>
      </c>
      <c r="E2" s="11">
        <f>SUM([1]Sheet1!E6,[1]Sheet1!E40,[1]Sheet1!E74,[1]Sheet1!E108)</f>
        <v>2353712.147201099</v>
      </c>
      <c r="F2" s="11">
        <f>SUM([1]Sheet1!F6,[1]Sheet1!F40,[1]Sheet1!F74,[1]Sheet1!F108)</f>
        <v>2384676.8126227078</v>
      </c>
      <c r="G2" s="11">
        <f>SUM([1]Sheet1!G6,[1]Sheet1!G40,[1]Sheet1!G74,[1]Sheet1!G108)</f>
        <v>2433637.7196340277</v>
      </c>
      <c r="H2" s="11">
        <f>SUM([1]Sheet1!H6,[1]Sheet1!H40,[1]Sheet1!H74,[1]Sheet1!H108)</f>
        <v>2514444.1056430391</v>
      </c>
      <c r="I2" s="11">
        <f>SUM([1]Sheet1!I6,[1]Sheet1!I40,[1]Sheet1!I74,[1]Sheet1!I108)</f>
        <v>2615310.223756765</v>
      </c>
      <c r="J2" s="11">
        <f>SUM([1]Sheet1!J6,[1]Sheet1!J40,[1]Sheet1!J74,[1]Sheet1!J108)</f>
        <v>2720677.3481308571</v>
      </c>
      <c r="K2" s="11">
        <f>SUM([1]Sheet1!K6,[1]Sheet1!K40,[1]Sheet1!K74,[1]Sheet1!K108)</f>
        <v>2798583.1997686154</v>
      </c>
      <c r="L2" s="11">
        <f>SUM([1]Sheet1!L6,[1]Sheet1!L40,[1]Sheet1!L74,[1]Sheet1!L108)</f>
        <v>2854890.3931614924</v>
      </c>
      <c r="M2" s="11">
        <f>SUM([1]Sheet1!M6,[1]Sheet1!M40,[1]Sheet1!M74,[1]Sheet1!M108)</f>
        <v>2890850.7370394794</v>
      </c>
      <c r="N2" s="11">
        <f>SUM([1]Sheet1!N6,[1]Sheet1!N40,[1]Sheet1!N74,[1]Sheet1!N108)</f>
        <v>2910205.4064366426</v>
      </c>
      <c r="O2" s="11">
        <f>SUM([1]Sheet1!O6,[1]Sheet1!O40,[1]Sheet1!O74,[1]Sheet1!O108)</f>
        <v>2922618.9342035516</v>
      </c>
      <c r="P2" s="11">
        <f>SUM([1]Sheet1!P6,[1]Sheet1!P40,[1]Sheet1!P74,[1]Sheet1!P108)</f>
        <v>2933005.314980343</v>
      </c>
      <c r="Q2" s="11">
        <f>SUM([1]Sheet1!Q6,[1]Sheet1!Q40,[1]Sheet1!Q74,[1]Sheet1!Q108)</f>
        <v>2941344.4336485667</v>
      </c>
      <c r="R2" s="11">
        <f>SUM([1]Sheet1!R6,[1]Sheet1!R40,[1]Sheet1!R74,[1]Sheet1!R108)</f>
        <v>2946654.5180383855</v>
      </c>
      <c r="S2" s="11">
        <f>SUM([1]Sheet1!S6,[1]Sheet1!S40,[1]Sheet1!S74,[1]Sheet1!S108)</f>
        <v>2946311.8348281747</v>
      </c>
      <c r="T2" s="11"/>
      <c r="U2" s="11"/>
      <c r="V2" s="11"/>
      <c r="W2" s="11"/>
      <c r="X2" s="11"/>
      <c r="Y2" s="11"/>
      <c r="Z2" s="11"/>
      <c r="AA2" s="11"/>
      <c r="AB2" s="11"/>
      <c r="AC2" s="11"/>
      <c r="AD2" s="11"/>
      <c r="AE2" s="11"/>
    </row>
    <row r="3" spans="2:31" ht="15">
      <c r="B3" t="s">
        <v>434</v>
      </c>
      <c r="C3" t="s">
        <v>436</v>
      </c>
      <c r="D3" s="11">
        <f>SUM([1]Sheet1!D7,[1]Sheet1!D41,[1]Sheet1!D75,[1]Sheet1!D109)</f>
        <v>2489008.6259477935</v>
      </c>
      <c r="E3" s="11">
        <f>SUM([1]Sheet1!E7,[1]Sheet1!E41,[1]Sheet1!E75,[1]Sheet1!E109)</f>
        <v>2445518.8424010836</v>
      </c>
      <c r="F3" s="11">
        <f>SUM([1]Sheet1!F7,[1]Sheet1!F41,[1]Sheet1!F75,[1]Sheet1!F109)</f>
        <v>2407557.7983711045</v>
      </c>
      <c r="G3" s="11">
        <f>SUM([1]Sheet1!G7,[1]Sheet1!G41,[1]Sheet1!G75,[1]Sheet1!G109)</f>
        <v>2378852.931197362</v>
      </c>
      <c r="H3" s="11">
        <f>SUM([1]Sheet1!H7,[1]Sheet1!H41,[1]Sheet1!H75,[1]Sheet1!H109)</f>
        <v>2346392.7334666871</v>
      </c>
      <c r="I3" s="11">
        <f>SUM([1]Sheet1!I7,[1]Sheet1!I41,[1]Sheet1!I75,[1]Sheet1!I109)</f>
        <v>2326969.4787796303</v>
      </c>
      <c r="J3" s="11">
        <f>SUM([1]Sheet1!J7,[1]Sheet1!J41,[1]Sheet1!J75,[1]Sheet1!J109)</f>
        <v>2320049.5271344027</v>
      </c>
      <c r="K3" s="11">
        <f>SUM([1]Sheet1!K7,[1]Sheet1!K41,[1]Sheet1!K75,[1]Sheet1!K109)</f>
        <v>2344311.0089102159</v>
      </c>
      <c r="L3" s="11">
        <f>SUM([1]Sheet1!L7,[1]Sheet1!L41,[1]Sheet1!L75,[1]Sheet1!L109)</f>
        <v>2387315.1724137729</v>
      </c>
      <c r="M3" s="11">
        <f>SUM([1]Sheet1!M7,[1]Sheet1!M41,[1]Sheet1!M75,[1]Sheet1!M109)</f>
        <v>2463070.8530652933</v>
      </c>
      <c r="N3" s="11">
        <f>SUM([1]Sheet1!N7,[1]Sheet1!N41,[1]Sheet1!N75,[1]Sheet1!N109)</f>
        <v>2561964.5599117531</v>
      </c>
      <c r="O3" s="11">
        <f>SUM([1]Sheet1!O7,[1]Sheet1!O41,[1]Sheet1!O75,[1]Sheet1!O109)</f>
        <v>2667630.8647058439</v>
      </c>
      <c r="P3" s="11">
        <f>SUM([1]Sheet1!P7,[1]Sheet1!P41,[1]Sheet1!P75,[1]Sheet1!P109)</f>
        <v>2751216.092122009</v>
      </c>
      <c r="Q3" s="11">
        <f>SUM([1]Sheet1!Q7,[1]Sheet1!Q41,[1]Sheet1!Q75,[1]Sheet1!Q109)</f>
        <v>2815988.9403248001</v>
      </c>
      <c r="R3" s="11">
        <f>SUM([1]Sheet1!R7,[1]Sheet1!R41,[1]Sheet1!R75,[1]Sheet1!R109)</f>
        <v>2860294.5716447118</v>
      </c>
      <c r="S3" s="11">
        <f>SUM([1]Sheet1!S7,[1]Sheet1!S41,[1]Sheet1!S75,[1]Sheet1!S109)</f>
        <v>2888924.8204291649</v>
      </c>
      <c r="T3" s="11"/>
      <c r="U3" s="11"/>
      <c r="V3" s="11"/>
      <c r="W3" s="11"/>
      <c r="X3" s="11"/>
      <c r="Y3" s="11"/>
      <c r="Z3" s="11"/>
      <c r="AA3" s="11"/>
      <c r="AB3" s="11"/>
      <c r="AC3" s="11"/>
      <c r="AD3" s="11"/>
      <c r="AE3" s="11"/>
    </row>
    <row r="4" spans="2:31" ht="15">
      <c r="B4" t="s">
        <v>434</v>
      </c>
      <c r="C4" t="s">
        <v>437</v>
      </c>
      <c r="D4" s="11">
        <f>SUM([1]Sheet1!D8,[1]Sheet1!D42,[1]Sheet1!D76,[1]Sheet1!D110)</f>
        <v>2644706.3713786257</v>
      </c>
      <c r="E4" s="11">
        <f>SUM([1]Sheet1!E8,[1]Sheet1!E42,[1]Sheet1!E76,[1]Sheet1!E110)</f>
        <v>2627413.1238008356</v>
      </c>
      <c r="F4" s="11">
        <f>SUM([1]Sheet1!F8,[1]Sheet1!F42,[1]Sheet1!F76,[1]Sheet1!F110)</f>
        <v>2600129.1513205837</v>
      </c>
      <c r="G4" s="11">
        <f>SUM([1]Sheet1!G8,[1]Sheet1!G42,[1]Sheet1!G76,[1]Sheet1!G110)</f>
        <v>2569707.4489742448</v>
      </c>
      <c r="H4" s="11">
        <f>SUM([1]Sheet1!H8,[1]Sheet1!H42,[1]Sheet1!H76,[1]Sheet1!H110)</f>
        <v>2537138.0284069749</v>
      </c>
      <c r="I4" s="11">
        <f>SUM([1]Sheet1!I8,[1]Sheet1!I42,[1]Sheet1!I76,[1]Sheet1!I110)</f>
        <v>2489918.5807916941</v>
      </c>
      <c r="J4" s="11">
        <f>SUM([1]Sheet1!J8,[1]Sheet1!J42,[1]Sheet1!J76,[1]Sheet1!J110)</f>
        <v>2436378.8484816295</v>
      </c>
      <c r="K4" s="11">
        <f>SUM([1]Sheet1!K8,[1]Sheet1!K42,[1]Sheet1!K76,[1]Sheet1!K110)</f>
        <v>2391383.901484747</v>
      </c>
      <c r="L4" s="11">
        <f>SUM([1]Sheet1!L8,[1]Sheet1!L42,[1]Sheet1!L76,[1]Sheet1!L110)</f>
        <v>2356825.7450504303</v>
      </c>
      <c r="M4" s="11">
        <f>SUM([1]Sheet1!M8,[1]Sheet1!M42,[1]Sheet1!M76,[1]Sheet1!M110)</f>
        <v>2320133.9461123557</v>
      </c>
      <c r="N4" s="11">
        <f>SUM([1]Sheet1!N8,[1]Sheet1!N42,[1]Sheet1!N76,[1]Sheet1!N110)</f>
        <v>2299533.3290045895</v>
      </c>
      <c r="O4" s="11">
        <f>SUM([1]Sheet1!O8,[1]Sheet1!O42,[1]Sheet1!O76,[1]Sheet1!O110)</f>
        <v>2293085.5217066738</v>
      </c>
      <c r="P4" s="11">
        <f>SUM([1]Sheet1!P8,[1]Sheet1!P42,[1]Sheet1!P76,[1]Sheet1!P110)</f>
        <v>2317907.3337784801</v>
      </c>
      <c r="Q4" s="11">
        <f>SUM([1]Sheet1!Q8,[1]Sheet1!Q42,[1]Sheet1!Q76,[1]Sheet1!Q110)</f>
        <v>2363491.5172683438</v>
      </c>
      <c r="R4" s="11">
        <f>SUM([1]Sheet1!R8,[1]Sheet1!R42,[1]Sheet1!R76,[1]Sheet1!R110)</f>
        <v>2443105.501267775</v>
      </c>
      <c r="S4" s="11">
        <f>SUM([1]Sheet1!S8,[1]Sheet1!S42,[1]Sheet1!S76,[1]Sheet1!S110)</f>
        <v>2547259.7489749761</v>
      </c>
      <c r="T4" s="11"/>
      <c r="U4" s="11"/>
      <c r="V4" s="11"/>
      <c r="W4" s="11"/>
      <c r="X4" s="11"/>
      <c r="Y4" s="11"/>
      <c r="Z4" s="11"/>
      <c r="AA4" s="11"/>
      <c r="AB4" s="11"/>
      <c r="AC4" s="11"/>
      <c r="AD4" s="11"/>
      <c r="AE4" s="11"/>
    </row>
    <row r="5" spans="2:31" ht="15">
      <c r="B5" t="s">
        <v>434</v>
      </c>
      <c r="C5" t="s">
        <v>438</v>
      </c>
      <c r="D5" s="11">
        <f>SUM([1]Sheet1!D9,[1]Sheet1!D43,[1]Sheet1!D77,[1]Sheet1!D111)</f>
        <v>2520302.2649507141</v>
      </c>
      <c r="E5" s="11">
        <f>SUM([1]Sheet1!E9,[1]Sheet1!E43,[1]Sheet1!E77,[1]Sheet1!E111)</f>
        <v>2578643.9096090756</v>
      </c>
      <c r="F5" s="11">
        <f>SUM([1]Sheet1!F9,[1]Sheet1!F43,[1]Sheet1!F77,[1]Sheet1!F111)</f>
        <v>2626714.2079775617</v>
      </c>
      <c r="G5" s="11">
        <f>SUM([1]Sheet1!G9,[1]Sheet1!G43,[1]Sheet1!G77,[1]Sheet1!G111)</f>
        <v>2659148.5764635401</v>
      </c>
      <c r="H5" s="11">
        <f>SUM([1]Sheet1!H9,[1]Sheet1!H43,[1]Sheet1!H77,[1]Sheet1!H111)</f>
        <v>2662113.9952124613</v>
      </c>
      <c r="I5" s="11">
        <f>SUM([1]Sheet1!I9,[1]Sheet1!I43,[1]Sheet1!I77,[1]Sheet1!I111)</f>
        <v>2648575.0496015353</v>
      </c>
      <c r="J5" s="11">
        <f>SUM([1]Sheet1!J9,[1]Sheet1!J43,[1]Sheet1!J77,[1]Sheet1!J111)</f>
        <v>2620916.1811288767</v>
      </c>
      <c r="K5" s="11">
        <f>SUM([1]Sheet1!K9,[1]Sheet1!K43,[1]Sheet1!K77,[1]Sheet1!K111)</f>
        <v>2586017.4673098233</v>
      </c>
      <c r="L5" s="11">
        <f>SUM([1]Sheet1!L9,[1]Sheet1!L43,[1]Sheet1!L77,[1]Sheet1!L111)</f>
        <v>2548931.6491507567</v>
      </c>
      <c r="M5" s="11">
        <f>SUM([1]Sheet1!M9,[1]Sheet1!M43,[1]Sheet1!M77,[1]Sheet1!M111)</f>
        <v>2511094.6131779482</v>
      </c>
      <c r="N5" s="11">
        <f>SUM([1]Sheet1!N9,[1]Sheet1!N43,[1]Sheet1!N77,[1]Sheet1!N111)</f>
        <v>2462275.0973497145</v>
      </c>
      <c r="O5" s="11">
        <f>SUM([1]Sheet1!O9,[1]Sheet1!O43,[1]Sheet1!O77,[1]Sheet1!O111)</f>
        <v>2409255.3952726843</v>
      </c>
      <c r="P5" s="11">
        <f>SUM([1]Sheet1!P9,[1]Sheet1!P43,[1]Sheet1!P77,[1]Sheet1!P111)</f>
        <v>2365330.5357868825</v>
      </c>
      <c r="Q5" s="11">
        <f>SUM([1]Sheet1!Q9,[1]Sheet1!Q43,[1]Sheet1!Q77,[1]Sheet1!Q111)</f>
        <v>2334090.5947119873</v>
      </c>
      <c r="R5" s="11">
        <f>SUM([1]Sheet1!R9,[1]Sheet1!R43,[1]Sheet1!R77,[1]Sheet1!R111)</f>
        <v>2302452.5545707736</v>
      </c>
      <c r="S5" s="11">
        <f>SUM([1]Sheet1!S9,[1]Sheet1!S43,[1]Sheet1!S77,[1]Sheet1!S111)</f>
        <v>2287717.3479764783</v>
      </c>
      <c r="T5" s="11"/>
      <c r="U5" s="11"/>
      <c r="V5" s="11"/>
      <c r="W5" s="11"/>
      <c r="X5" s="11"/>
      <c r="Y5" s="11"/>
      <c r="Z5" s="11"/>
      <c r="AA5" s="11"/>
      <c r="AB5" s="11"/>
      <c r="AC5" s="11"/>
      <c r="AD5" s="11"/>
      <c r="AE5" s="11"/>
    </row>
    <row r="6" spans="2:31" ht="15">
      <c r="B6" t="s">
        <v>434</v>
      </c>
      <c r="C6" t="s">
        <v>439</v>
      </c>
      <c r="D6" s="11">
        <f>SUM([1]Sheet1!D10,[1]Sheet1!D44,[1]Sheet1!D78,[1]Sheet1!D112)</f>
        <v>2139226.4998723599</v>
      </c>
      <c r="E6" s="11">
        <f>SUM([1]Sheet1!E10,[1]Sheet1!E44,[1]Sheet1!E78,[1]Sheet1!E112)</f>
        <v>2237100.0878210156</v>
      </c>
      <c r="F6" s="11">
        <f>SUM([1]Sheet1!F10,[1]Sheet1!F44,[1]Sheet1!F78,[1]Sheet1!F112)</f>
        <v>2336213.1319817491</v>
      </c>
      <c r="G6" s="11">
        <f>SUM([1]Sheet1!G10,[1]Sheet1!G44,[1]Sheet1!G78,[1]Sheet1!G112)</f>
        <v>2421903.5505309282</v>
      </c>
      <c r="H6" s="11">
        <f>SUM([1]Sheet1!H10,[1]Sheet1!H44,[1]Sheet1!H78,[1]Sheet1!H112)</f>
        <v>2493798.3755482039</v>
      </c>
      <c r="I6" s="11">
        <f>SUM([1]Sheet1!I10,[1]Sheet1!I44,[1]Sheet1!I78,[1]Sheet1!I112)</f>
        <v>2550927.7694840967</v>
      </c>
      <c r="J6" s="11">
        <f>SUM([1]Sheet1!J10,[1]Sheet1!J44,[1]Sheet1!J78,[1]Sheet1!J112)</f>
        <v>2603531.3506938731</v>
      </c>
      <c r="K6" s="11">
        <f>SUM([1]Sheet1!K10,[1]Sheet1!K44,[1]Sheet1!K78,[1]Sheet1!K112)</f>
        <v>2647505.7927609584</v>
      </c>
      <c r="L6" s="11">
        <f>SUM([1]Sheet1!L10,[1]Sheet1!L44,[1]Sheet1!L78,[1]Sheet1!L112)</f>
        <v>2675993.2338640899</v>
      </c>
      <c r="M6" s="11">
        <f>SUM([1]Sheet1!M10,[1]Sheet1!M44,[1]Sheet1!M78,[1]Sheet1!M112)</f>
        <v>2676236.0209871302</v>
      </c>
      <c r="N6" s="11">
        <f>SUM([1]Sheet1!N10,[1]Sheet1!N44,[1]Sheet1!N78,[1]Sheet1!N112)</f>
        <v>2663334.0612223041</v>
      </c>
      <c r="O6" s="11">
        <f>SUM([1]Sheet1!O10,[1]Sheet1!O44,[1]Sheet1!O78,[1]Sheet1!O112)</f>
        <v>2638625.0314984266</v>
      </c>
      <c r="P6" s="11">
        <f>SUM([1]Sheet1!P10,[1]Sheet1!P44,[1]Sheet1!P78,[1]Sheet1!P112)</f>
        <v>2607210.1034408645</v>
      </c>
      <c r="Q6" s="11">
        <f>SUM([1]Sheet1!Q10,[1]Sheet1!Q44,[1]Sheet1!Q78,[1]Sheet1!Q112)</f>
        <v>2575713.6433947044</v>
      </c>
      <c r="R6" s="11">
        <f>SUM([1]Sheet1!R10,[1]Sheet1!R44,[1]Sheet1!R78,[1]Sheet1!R112)</f>
        <v>2544954.794852538</v>
      </c>
      <c r="S6" s="11">
        <f>SUM([1]Sheet1!S10,[1]Sheet1!S44,[1]Sheet1!S78,[1]Sheet1!S112)</f>
        <v>2504333.590005443</v>
      </c>
      <c r="T6" s="11"/>
      <c r="U6" s="11"/>
      <c r="V6" s="11"/>
      <c r="W6" s="11"/>
      <c r="X6" s="11"/>
      <c r="Y6" s="11"/>
      <c r="Z6" s="11"/>
      <c r="AA6" s="11"/>
      <c r="AB6" s="11"/>
      <c r="AC6" s="11"/>
      <c r="AD6" s="11"/>
      <c r="AE6" s="11"/>
    </row>
    <row r="7" spans="2:31" ht="15">
      <c r="B7" t="s">
        <v>434</v>
      </c>
      <c r="C7" t="s">
        <v>440</v>
      </c>
      <c r="D7" s="11">
        <f>SUM([1]Sheet1!D11,[1]Sheet1!D45,[1]Sheet1!D79,[1]Sheet1!D113)</f>
        <v>1911823.4719063139</v>
      </c>
      <c r="E7" s="11">
        <f>SUM([1]Sheet1!E11,[1]Sheet1!E45,[1]Sheet1!E79,[1]Sheet1!E113)</f>
        <v>1933000.6591651316</v>
      </c>
      <c r="F7" s="11">
        <f>SUM([1]Sheet1!F11,[1]Sheet1!F45,[1]Sheet1!F79,[1]Sheet1!F113)</f>
        <v>1959689.7533296456</v>
      </c>
      <c r="G7" s="11">
        <f>SUM([1]Sheet1!G11,[1]Sheet1!G45,[1]Sheet1!G79,[1]Sheet1!G113)</f>
        <v>2005165.2932317839</v>
      </c>
      <c r="H7" s="11">
        <f>SUM([1]Sheet1!H11,[1]Sheet1!H45,[1]Sheet1!H79,[1]Sheet1!H113)</f>
        <v>2083197.2006844042</v>
      </c>
      <c r="I7" s="11">
        <f>SUM([1]Sheet1!I11,[1]Sheet1!I45,[1]Sheet1!I79,[1]Sheet1!I113)</f>
        <v>2176475.0223029535</v>
      </c>
      <c r="J7" s="11">
        <f>SUM([1]Sheet1!J11,[1]Sheet1!J45,[1]Sheet1!J79,[1]Sheet1!J113)</f>
        <v>2276176.6188803534</v>
      </c>
      <c r="K7" s="11">
        <f>SUM([1]Sheet1!K11,[1]Sheet1!K45,[1]Sheet1!K79,[1]Sheet1!K113)</f>
        <v>2376368.0106561426</v>
      </c>
      <c r="L7" s="11">
        <f>SUM([1]Sheet1!L11,[1]Sheet1!L45,[1]Sheet1!L79,[1]Sheet1!L113)</f>
        <v>2462761.1845392413</v>
      </c>
      <c r="M7" s="11">
        <f>SUM([1]Sheet1!M11,[1]Sheet1!M45,[1]Sheet1!M79,[1]Sheet1!M113)</f>
        <v>2536137.9586244654</v>
      </c>
      <c r="N7" s="11">
        <f>SUM([1]Sheet1!N11,[1]Sheet1!N45,[1]Sheet1!N79,[1]Sheet1!N113)</f>
        <v>2597156.9569996051</v>
      </c>
      <c r="O7" s="11">
        <f>SUM([1]Sheet1!O11,[1]Sheet1!O45,[1]Sheet1!O79,[1]Sheet1!O113)</f>
        <v>2655186.4618563671</v>
      </c>
      <c r="P7" s="11">
        <f>SUM([1]Sheet1!P11,[1]Sheet1!P45,[1]Sheet1!P79,[1]Sheet1!P113)</f>
        <v>2704802.5767264781</v>
      </c>
      <c r="Q7" s="11">
        <f>SUM([1]Sheet1!Q11,[1]Sheet1!Q45,[1]Sheet1!Q79,[1]Sheet1!Q113)</f>
        <v>2741254.031598201</v>
      </c>
      <c r="R7" s="11">
        <f>SUM([1]Sheet1!R11,[1]Sheet1!R45,[1]Sheet1!R79,[1]Sheet1!R113)</f>
        <v>2752096.2186051048</v>
      </c>
      <c r="S7" s="11">
        <f>SUM([1]Sheet1!S11,[1]Sheet1!S45,[1]Sheet1!S79,[1]Sheet1!S113)</f>
        <v>2751292.8489637822</v>
      </c>
      <c r="T7" s="11"/>
      <c r="U7" s="11"/>
      <c r="V7" s="11"/>
      <c r="W7" s="11"/>
      <c r="X7" s="11"/>
      <c r="Y7" s="11"/>
      <c r="Z7" s="11"/>
      <c r="AA7" s="11"/>
      <c r="AB7" s="11"/>
      <c r="AC7" s="11"/>
      <c r="AD7" s="11"/>
      <c r="AE7" s="11"/>
    </row>
    <row r="8" spans="2:31" ht="15">
      <c r="B8" t="s">
        <v>434</v>
      </c>
      <c r="C8" t="s">
        <v>441</v>
      </c>
      <c r="D8" s="11">
        <f>SUM([1]Sheet1!D12,[1]Sheet1!D46,[1]Sheet1!D80,[1]Sheet1!D114)</f>
        <v>1653732.8319631489</v>
      </c>
      <c r="E8" s="11">
        <f>SUM([1]Sheet1!E12,[1]Sheet1!E46,[1]Sheet1!E80,[1]Sheet1!E114)</f>
        <v>1716650.7033458417</v>
      </c>
      <c r="F8" s="11">
        <f>SUM([1]Sheet1!F12,[1]Sheet1!F46,[1]Sheet1!F80,[1]Sheet1!F114)</f>
        <v>1770963.6069462784</v>
      </c>
      <c r="G8" s="11">
        <f>SUM([1]Sheet1!G12,[1]Sheet1!G46,[1]Sheet1!G80,[1]Sheet1!G114)</f>
        <v>1819332.2828332344</v>
      </c>
      <c r="H8" s="11">
        <f>SUM([1]Sheet1!H12,[1]Sheet1!H46,[1]Sheet1!H80,[1]Sheet1!H114)</f>
        <v>1851042.2338490291</v>
      </c>
      <c r="I8" s="11">
        <f>SUM([1]Sheet1!I12,[1]Sheet1!I46,[1]Sheet1!I80,[1]Sheet1!I114)</f>
        <v>1874249.5671767292</v>
      </c>
      <c r="J8" s="11">
        <f>SUM([1]Sheet1!J12,[1]Sheet1!J46,[1]Sheet1!J80,[1]Sheet1!J114)</f>
        <v>1900679.4079160811</v>
      </c>
      <c r="K8" s="11">
        <f>SUM([1]Sheet1!K12,[1]Sheet1!K46,[1]Sheet1!K80,[1]Sheet1!K114)</f>
        <v>1934726.8962213369</v>
      </c>
      <c r="L8" s="11">
        <f>SUM([1]Sheet1!L12,[1]Sheet1!L46,[1]Sheet1!L80,[1]Sheet1!L114)</f>
        <v>1987808.4123348412</v>
      </c>
      <c r="M8" s="11">
        <f>SUM([1]Sheet1!M12,[1]Sheet1!M46,[1]Sheet1!M80,[1]Sheet1!M114)</f>
        <v>2072798.4034380985</v>
      </c>
      <c r="N8" s="11">
        <f>SUM([1]Sheet1!N12,[1]Sheet1!N46,[1]Sheet1!N80,[1]Sheet1!N114)</f>
        <v>2172623.3656895962</v>
      </c>
      <c r="O8" s="11">
        <f>SUM([1]Sheet1!O12,[1]Sheet1!O46,[1]Sheet1!O80,[1]Sheet1!O114)</f>
        <v>2278744.0749280117</v>
      </c>
      <c r="P8" s="11">
        <f>SUM([1]Sheet1!P12,[1]Sheet1!P46,[1]Sheet1!P80,[1]Sheet1!P114)</f>
        <v>2385369.0355849946</v>
      </c>
      <c r="Q8" s="11">
        <f>SUM([1]Sheet1!Q12,[1]Sheet1!Q46,[1]Sheet1!Q80,[1]Sheet1!Q114)</f>
        <v>2479554.3287178371</v>
      </c>
      <c r="R8" s="11">
        <f>SUM([1]Sheet1!R12,[1]Sheet1!R46,[1]Sheet1!R80,[1]Sheet1!R114)</f>
        <v>2562619.3937079464</v>
      </c>
      <c r="S8" s="11">
        <f>SUM([1]Sheet1!S12,[1]Sheet1!S46,[1]Sheet1!S80,[1]Sheet1!S114)</f>
        <v>2635256.5035758787</v>
      </c>
      <c r="T8" s="11"/>
      <c r="U8" s="11"/>
      <c r="V8" s="11"/>
      <c r="W8" s="11"/>
      <c r="X8" s="11"/>
      <c r="Y8" s="11"/>
      <c r="Z8" s="11"/>
      <c r="AA8" s="11"/>
      <c r="AB8" s="11"/>
      <c r="AC8" s="11"/>
      <c r="AD8" s="11"/>
      <c r="AE8" s="11"/>
    </row>
    <row r="9" spans="2:31" ht="15">
      <c r="B9" t="s">
        <v>434</v>
      </c>
      <c r="C9" t="s">
        <v>442</v>
      </c>
      <c r="D9" s="11">
        <f>SUM([1]Sheet1!D13,[1]Sheet1!D47,[1]Sheet1!D81,[1]Sheet1!D115)</f>
        <v>1414373.0044965751</v>
      </c>
      <c r="E9" s="11">
        <f>SUM([1]Sheet1!E13,[1]Sheet1!E47,[1]Sheet1!E81,[1]Sheet1!E115)</f>
        <v>1420869.207294649</v>
      </c>
      <c r="F9" s="11">
        <f>SUM([1]Sheet1!F13,[1]Sheet1!F47,[1]Sheet1!F81,[1]Sheet1!F115)</f>
        <v>1431903.9888607401</v>
      </c>
      <c r="G9" s="11">
        <f>SUM([1]Sheet1!G13,[1]Sheet1!G47,[1]Sheet1!G81,[1]Sheet1!G115)</f>
        <v>1452433.2463546963</v>
      </c>
      <c r="H9" s="11">
        <f>SUM([1]Sheet1!H13,[1]Sheet1!H47,[1]Sheet1!H81,[1]Sheet1!H115)</f>
        <v>1491473.1043499676</v>
      </c>
      <c r="I9" s="11">
        <f>SUM([1]Sheet1!I13,[1]Sheet1!I47,[1]Sheet1!I81,[1]Sheet1!I115)</f>
        <v>1546519.7175218621</v>
      </c>
      <c r="J9" s="11">
        <f>SUM([1]Sheet1!J13,[1]Sheet1!J47,[1]Sheet1!J81,[1]Sheet1!J115)</f>
        <v>1604720.7955164562</v>
      </c>
      <c r="K9" s="11">
        <f>SUM([1]Sheet1!K13,[1]Sheet1!K47,[1]Sheet1!K81,[1]Sheet1!K115)</f>
        <v>1659282.8079044982</v>
      </c>
      <c r="L9" s="11">
        <f>SUM([1]Sheet1!L13,[1]Sheet1!L47,[1]Sheet1!L81,[1]Sheet1!L115)</f>
        <v>1713707.1156736594</v>
      </c>
      <c r="M9" s="11">
        <f>SUM([1]Sheet1!M13,[1]Sheet1!M47,[1]Sheet1!M81,[1]Sheet1!M115)</f>
        <v>1757109.786923111</v>
      </c>
      <c r="N9" s="11">
        <f>SUM([1]Sheet1!N13,[1]Sheet1!N47,[1]Sheet1!N81,[1]Sheet1!N115)</f>
        <v>1794001.2462062661</v>
      </c>
      <c r="O9" s="11">
        <f>SUM([1]Sheet1!O13,[1]Sheet1!O47,[1]Sheet1!O81,[1]Sheet1!O115)</f>
        <v>1833509.1229587789</v>
      </c>
      <c r="P9" s="11">
        <f>SUM([1]Sheet1!P13,[1]Sheet1!P47,[1]Sheet1!P81,[1]Sheet1!P115)</f>
        <v>1878935.6546512193</v>
      </c>
      <c r="Q9" s="11">
        <f>SUM([1]Sheet1!Q13,[1]Sheet1!Q47,[1]Sheet1!Q81,[1]Sheet1!Q115)</f>
        <v>1941216.8112788375</v>
      </c>
      <c r="R9" s="11">
        <f>SUM([1]Sheet1!R13,[1]Sheet1!R47,[1]Sheet1!R81,[1]Sheet1!R115)</f>
        <v>2034400.3470311821</v>
      </c>
      <c r="S9" s="11">
        <f>SUM([1]Sheet1!S13,[1]Sheet1!S47,[1]Sheet1!S81,[1]Sheet1!S115)</f>
        <v>2142779.8164657583</v>
      </c>
      <c r="T9" s="11"/>
      <c r="U9" s="11"/>
      <c r="V9" s="11"/>
      <c r="W9" s="11"/>
      <c r="X9" s="11"/>
      <c r="Y9" s="11"/>
      <c r="Z9" s="11"/>
      <c r="AA9" s="11"/>
      <c r="AB9" s="11"/>
      <c r="AC9" s="11"/>
      <c r="AD9" s="11"/>
      <c r="AE9" s="11"/>
    </row>
    <row r="10" spans="2:31" ht="15">
      <c r="B10" t="s">
        <v>434</v>
      </c>
      <c r="C10" t="s">
        <v>443</v>
      </c>
      <c r="D10" s="11">
        <f>SUM([1]Sheet1!D14,[1]Sheet1!D48,[1]Sheet1!D82,[1]Sheet1!D116)</f>
        <v>1240313.9526767181</v>
      </c>
      <c r="E10" s="11">
        <f>SUM([1]Sheet1!E14,[1]Sheet1!E48,[1]Sheet1!E82,[1]Sheet1!E116)</f>
        <v>1259516.7114286968</v>
      </c>
      <c r="F10" s="11">
        <f>SUM([1]Sheet1!F14,[1]Sheet1!F48,[1]Sheet1!F82,[1]Sheet1!F116)</f>
        <v>1273228.246425712</v>
      </c>
      <c r="G10" s="11">
        <f>SUM([1]Sheet1!G14,[1]Sheet1!G48,[1]Sheet1!G82,[1]Sheet1!G116)</f>
        <v>1281361.3173492253</v>
      </c>
      <c r="H10" s="11">
        <f>SUM([1]Sheet1!H14,[1]Sheet1!H48,[1]Sheet1!H82,[1]Sheet1!H116)</f>
        <v>1283615.258581995</v>
      </c>
      <c r="I10" s="11">
        <f>SUM([1]Sheet1!I14,[1]Sheet1!I48,[1]Sheet1!I82,[1]Sheet1!I116)</f>
        <v>1284655.5730017077</v>
      </c>
      <c r="J10" s="11">
        <f>SUM([1]Sheet1!J14,[1]Sheet1!J48,[1]Sheet1!J82,[1]Sheet1!J116)</f>
        <v>1289852.627774749</v>
      </c>
      <c r="K10" s="11">
        <f>SUM([1]Sheet1!K14,[1]Sheet1!K48,[1]Sheet1!K82,[1]Sheet1!K116)</f>
        <v>1303083.4543068637</v>
      </c>
      <c r="L10" s="11">
        <f>SUM([1]Sheet1!L14,[1]Sheet1!L48,[1]Sheet1!L82,[1]Sheet1!L116)</f>
        <v>1329369.6342132085</v>
      </c>
      <c r="M10" s="11">
        <f>SUM([1]Sheet1!M14,[1]Sheet1!M48,[1]Sheet1!M82,[1]Sheet1!M116)</f>
        <v>1375987.7126456089</v>
      </c>
      <c r="N10" s="11">
        <f>SUM([1]Sheet1!N14,[1]Sheet1!N48,[1]Sheet1!N82,[1]Sheet1!N116)</f>
        <v>1438407.0719817232</v>
      </c>
      <c r="O10" s="11">
        <f>SUM([1]Sheet1!O14,[1]Sheet1!O48,[1]Sheet1!O82,[1]Sheet1!O116)</f>
        <v>1504598.5596316869</v>
      </c>
      <c r="P10" s="11">
        <f>SUM([1]Sheet1!P14,[1]Sheet1!P48,[1]Sheet1!P82,[1]Sheet1!P116)</f>
        <v>1567811.7179421091</v>
      </c>
      <c r="Q10" s="11">
        <f>SUM([1]Sheet1!Q14,[1]Sheet1!Q48,[1]Sheet1!Q82,[1]Sheet1!Q116)</f>
        <v>1629153.7237748331</v>
      </c>
      <c r="R10" s="11">
        <f>SUM([1]Sheet1!R14,[1]Sheet1!R48,[1]Sheet1!R82,[1]Sheet1!R116)</f>
        <v>1680008.2595614665</v>
      </c>
      <c r="S10" s="11">
        <f>SUM([1]Sheet1!S14,[1]Sheet1!S48,[1]Sheet1!S82,[1]Sheet1!S116)</f>
        <v>1725088.5749223577</v>
      </c>
      <c r="T10" s="11"/>
      <c r="U10" s="11"/>
      <c r="V10" s="11"/>
      <c r="W10" s="11"/>
      <c r="X10" s="11"/>
      <c r="Y10" s="11"/>
      <c r="Z10" s="11"/>
      <c r="AA10" s="11"/>
      <c r="AB10" s="11"/>
      <c r="AC10" s="11"/>
      <c r="AD10" s="11"/>
      <c r="AE10" s="11"/>
    </row>
    <row r="11" spans="2:31" ht="15">
      <c r="B11" t="s">
        <v>434</v>
      </c>
      <c r="C11" t="s">
        <v>444</v>
      </c>
      <c r="D11" s="11">
        <f>SUM([1]Sheet1!D15,[1]Sheet1!D49,[1]Sheet1!D83,[1]Sheet1!D117)</f>
        <v>1034210.4741306449</v>
      </c>
      <c r="E11" s="11">
        <f>SUM([1]Sheet1!E15,[1]Sheet1!E49,[1]Sheet1!E83,[1]Sheet1!E117)</f>
        <v>1053527.3239776588</v>
      </c>
      <c r="F11" s="11">
        <f>SUM([1]Sheet1!F15,[1]Sheet1!F49,[1]Sheet1!F83,[1]Sheet1!F117)</f>
        <v>1070185.7908790107</v>
      </c>
      <c r="G11" s="11">
        <f>SUM([1]Sheet1!G15,[1]Sheet1!G49,[1]Sheet1!G83,[1]Sheet1!G117)</f>
        <v>1085517.2708467168</v>
      </c>
      <c r="H11" s="11">
        <f>SUM([1]Sheet1!H15,[1]Sheet1!H49,[1]Sheet1!H83,[1]Sheet1!H117)</f>
        <v>1100598.0061934222</v>
      </c>
      <c r="I11" s="11">
        <f>SUM([1]Sheet1!I15,[1]Sheet1!I49,[1]Sheet1!I83,[1]Sheet1!I117)</f>
        <v>1116287.4734781999</v>
      </c>
      <c r="J11" s="11">
        <f>SUM([1]Sheet1!J15,[1]Sheet1!J49,[1]Sheet1!J83,[1]Sheet1!J117)</f>
        <v>1130975.0504669114</v>
      </c>
      <c r="K11" s="11">
        <f>SUM([1]Sheet1!K15,[1]Sheet1!K49,[1]Sheet1!K83,[1]Sheet1!K117)</f>
        <v>1144206.5526946667</v>
      </c>
      <c r="L11" s="11">
        <f>SUM([1]Sheet1!L15,[1]Sheet1!L49,[1]Sheet1!L83,[1]Sheet1!L117)</f>
        <v>1156280.2996445473</v>
      </c>
      <c r="M11" s="11">
        <f>SUM([1]Sheet1!M15,[1]Sheet1!M49,[1]Sheet1!M83,[1]Sheet1!M117)</f>
        <v>1166459.7196919948</v>
      </c>
      <c r="N11" s="11">
        <f>SUM([1]Sheet1!N15,[1]Sheet1!N49,[1]Sheet1!N83,[1]Sheet1!N117)</f>
        <v>1176172.6926462094</v>
      </c>
      <c r="O11" s="11">
        <f>SUM([1]Sheet1!O15,[1]Sheet1!O49,[1]Sheet1!O83,[1]Sheet1!O117)</f>
        <v>1189887.2034546121</v>
      </c>
      <c r="P11" s="11">
        <f>SUM([1]Sheet1!P15,[1]Sheet1!P49,[1]Sheet1!P83,[1]Sheet1!P117)</f>
        <v>1210780.7448623688</v>
      </c>
      <c r="Q11" s="11">
        <f>SUM([1]Sheet1!Q15,[1]Sheet1!Q49,[1]Sheet1!Q83,[1]Sheet1!Q117)</f>
        <v>1242088.1491068655</v>
      </c>
      <c r="R11" s="11">
        <f>SUM([1]Sheet1!R15,[1]Sheet1!R49,[1]Sheet1!R83,[1]Sheet1!R117)</f>
        <v>1291445.9617650257</v>
      </c>
      <c r="S11" s="11">
        <f>SUM([1]Sheet1!S15,[1]Sheet1!S49,[1]Sheet1!S83,[1]Sheet1!S117)</f>
        <v>1355592.2856924301</v>
      </c>
      <c r="T11" s="11"/>
      <c r="U11" s="11"/>
      <c r="V11" s="11"/>
      <c r="W11" s="11"/>
      <c r="X11" s="11"/>
      <c r="Y11" s="11"/>
      <c r="Z11" s="11"/>
      <c r="AA11" s="11"/>
      <c r="AB11" s="11"/>
      <c r="AC11" s="11"/>
      <c r="AD11" s="11"/>
      <c r="AE11" s="11"/>
    </row>
    <row r="12" spans="2:31" ht="15">
      <c r="B12" t="s">
        <v>434</v>
      </c>
      <c r="C12" t="s">
        <v>445</v>
      </c>
      <c r="D12" s="11">
        <f>SUM([1]Sheet1!D16,[1]Sheet1!D50,[1]Sheet1!D84,[1]Sheet1!D118)</f>
        <v>814752.50266034564</v>
      </c>
      <c r="E12" s="11">
        <f>SUM([1]Sheet1!E16,[1]Sheet1!E50,[1]Sheet1!E84,[1]Sheet1!E118)</f>
        <v>840532.35219451995</v>
      </c>
      <c r="F12" s="11">
        <f>SUM([1]Sheet1!F16,[1]Sheet1!F50,[1]Sheet1!F84,[1]Sheet1!F118)</f>
        <v>863703.01522529987</v>
      </c>
      <c r="G12" s="11">
        <f>SUM([1]Sheet1!G16,[1]Sheet1!G50,[1]Sheet1!G84,[1]Sheet1!G118)</f>
        <v>883757.98864610714</v>
      </c>
      <c r="H12" s="11">
        <f>SUM([1]Sheet1!H16,[1]Sheet1!H50,[1]Sheet1!H84,[1]Sheet1!H118)</f>
        <v>900547.68451594806</v>
      </c>
      <c r="I12" s="11">
        <f>SUM([1]Sheet1!I16,[1]Sheet1!I50,[1]Sheet1!I84,[1]Sheet1!I118)</f>
        <v>915632.36087067635</v>
      </c>
      <c r="J12" s="11">
        <f>SUM([1]Sheet1!J16,[1]Sheet1!J50,[1]Sheet1!J84,[1]Sheet1!J118)</f>
        <v>930931.59841727442</v>
      </c>
      <c r="K12" s="11">
        <f>SUM([1]Sheet1!K16,[1]Sheet1!K50,[1]Sheet1!K84,[1]Sheet1!K118)</f>
        <v>946787.92433152068</v>
      </c>
      <c r="L12" s="11">
        <f>SUM([1]Sheet1!L16,[1]Sheet1!L50,[1]Sheet1!L84,[1]Sheet1!L118)</f>
        <v>964316.37155695923</v>
      </c>
      <c r="M12" s="11">
        <f>SUM([1]Sheet1!M16,[1]Sheet1!M50,[1]Sheet1!M84,[1]Sheet1!M118)</f>
        <v>983945.29185842723</v>
      </c>
      <c r="N12" s="11">
        <f>SUM([1]Sheet1!N16,[1]Sheet1!N50,[1]Sheet1!N84,[1]Sheet1!N118)</f>
        <v>1004369.1540318726</v>
      </c>
      <c r="O12" s="11">
        <f>SUM([1]Sheet1!O16,[1]Sheet1!O50,[1]Sheet1!O84,[1]Sheet1!O118)</f>
        <v>1023548.6695208061</v>
      </c>
      <c r="P12" s="11">
        <f>SUM([1]Sheet1!P16,[1]Sheet1!P50,[1]Sheet1!P84,[1]Sheet1!P118)</f>
        <v>1041512.7087564992</v>
      </c>
      <c r="Q12" s="11">
        <f>SUM([1]Sheet1!Q16,[1]Sheet1!Q50,[1]Sheet1!Q84,[1]Sheet1!Q118)</f>
        <v>1057616.5442318988</v>
      </c>
      <c r="R12" s="11">
        <f>SUM([1]Sheet1!R16,[1]Sheet1!R50,[1]Sheet1!R84,[1]Sheet1!R118)</f>
        <v>1071527.0437071801</v>
      </c>
      <c r="S12" s="11">
        <f>SUM([1]Sheet1!S16,[1]Sheet1!S50,[1]Sheet1!S84,[1]Sheet1!S118)</f>
        <v>1085068.431349582</v>
      </c>
      <c r="T12" s="11"/>
      <c r="U12" s="11"/>
      <c r="V12" s="11"/>
      <c r="W12" s="11"/>
      <c r="X12" s="11"/>
      <c r="Y12" s="11"/>
      <c r="Z12" s="11"/>
      <c r="AA12" s="11"/>
      <c r="AB12" s="11"/>
      <c r="AC12" s="11"/>
      <c r="AD12" s="11"/>
      <c r="AE12" s="11"/>
    </row>
    <row r="13" spans="2:31" ht="15">
      <c r="B13" t="s">
        <v>434</v>
      </c>
      <c r="C13" t="s">
        <v>446</v>
      </c>
      <c r="D13" s="11">
        <f>SUM([1]Sheet1!D17,[1]Sheet1!D51,[1]Sheet1!D85,[1]Sheet1!D119)</f>
        <v>607102.76829578681</v>
      </c>
      <c r="E13" s="11">
        <f>SUM([1]Sheet1!E17,[1]Sheet1!E51,[1]Sheet1!E85,[1]Sheet1!E119)</f>
        <v>627727.52861173882</v>
      </c>
      <c r="F13" s="11">
        <f>SUM([1]Sheet1!F17,[1]Sheet1!F51,[1]Sheet1!F85,[1]Sheet1!F119)</f>
        <v>649083.56812729826</v>
      </c>
      <c r="G13" s="11">
        <f>SUM([1]Sheet1!G17,[1]Sheet1!G51,[1]Sheet1!G85,[1]Sheet1!G119)</f>
        <v>670677.90028681047</v>
      </c>
      <c r="H13" s="11">
        <f>SUM([1]Sheet1!H17,[1]Sheet1!H51,[1]Sheet1!H85,[1]Sheet1!H119)</f>
        <v>692475.68900708854</v>
      </c>
      <c r="I13" s="11">
        <f>SUM([1]Sheet1!I17,[1]Sheet1!I51,[1]Sheet1!I85,[1]Sheet1!I119)</f>
        <v>714689.06103030453</v>
      </c>
      <c r="J13" s="11">
        <f>SUM([1]Sheet1!J17,[1]Sheet1!J51,[1]Sheet1!J85,[1]Sheet1!J119)</f>
        <v>735419.66945885425</v>
      </c>
      <c r="K13" s="11">
        <f>SUM([1]Sheet1!K17,[1]Sheet1!K51,[1]Sheet1!K85,[1]Sheet1!K119)</f>
        <v>755623.23604148231</v>
      </c>
      <c r="L13" s="11">
        <f>SUM([1]Sheet1!L17,[1]Sheet1!L51,[1]Sheet1!L85,[1]Sheet1!L119)</f>
        <v>774975.46239606861</v>
      </c>
      <c r="M13" s="11">
        <f>SUM([1]Sheet1!M17,[1]Sheet1!M51,[1]Sheet1!M85,[1]Sheet1!M119)</f>
        <v>793115.16929893917</v>
      </c>
      <c r="N13" s="11">
        <f>SUM([1]Sheet1!N17,[1]Sheet1!N51,[1]Sheet1!N85,[1]Sheet1!N119)</f>
        <v>810119.69922582107</v>
      </c>
      <c r="O13" s="11">
        <f>SUM([1]Sheet1!O17,[1]Sheet1!O51,[1]Sheet1!O85,[1]Sheet1!O119)</f>
        <v>827259.60804414679</v>
      </c>
      <c r="P13" s="11">
        <f>SUM([1]Sheet1!P17,[1]Sheet1!P51,[1]Sheet1!P85,[1]Sheet1!P119)</f>
        <v>844872.12362755986</v>
      </c>
      <c r="Q13" s="11">
        <f>SUM([1]Sheet1!Q17,[1]Sheet1!Q51,[1]Sheet1!Q85,[1]Sheet1!Q119)</f>
        <v>863646.05529109505</v>
      </c>
      <c r="R13" s="11">
        <f>SUM([1]Sheet1!R17,[1]Sheet1!R51,[1]Sheet1!R85,[1]Sheet1!R119)</f>
        <v>884201.72648653353</v>
      </c>
      <c r="S13" s="11">
        <f>SUM([1]Sheet1!S17,[1]Sheet1!S51,[1]Sheet1!S85,[1]Sheet1!S119)</f>
        <v>905701.29966688051</v>
      </c>
      <c r="T13" s="11"/>
      <c r="U13" s="11"/>
      <c r="V13" s="11"/>
      <c r="W13" s="11"/>
      <c r="X13" s="11"/>
      <c r="Y13" s="11"/>
      <c r="Z13" s="11"/>
      <c r="AA13" s="11"/>
      <c r="AB13" s="11"/>
      <c r="AC13" s="11"/>
      <c r="AD13" s="11"/>
      <c r="AE13" s="11"/>
    </row>
    <row r="14" spans="2:31" ht="15">
      <c r="B14" t="s">
        <v>434</v>
      </c>
      <c r="C14" t="s">
        <v>447</v>
      </c>
      <c r="D14" s="11">
        <f>SUM([1]Sheet1!D18,[1]Sheet1!D52,[1]Sheet1!D86,[1]Sheet1!D120)</f>
        <v>470381.25242542464</v>
      </c>
      <c r="E14" s="11">
        <f>SUM([1]Sheet1!E18,[1]Sheet1!E52,[1]Sheet1!E86,[1]Sheet1!E120)</f>
        <v>475946.82618020265</v>
      </c>
      <c r="F14" s="11">
        <f>SUM([1]Sheet1!F18,[1]Sheet1!F52,[1]Sheet1!F86,[1]Sheet1!F120)</f>
        <v>482482.0511158632</v>
      </c>
      <c r="G14" s="11">
        <f>SUM([1]Sheet1!G18,[1]Sheet1!G52,[1]Sheet1!G86,[1]Sheet1!G120)</f>
        <v>491358.57001219783</v>
      </c>
      <c r="H14" s="11">
        <f>SUM([1]Sheet1!H18,[1]Sheet1!H52,[1]Sheet1!H86,[1]Sheet1!H120)</f>
        <v>502722.73685002403</v>
      </c>
      <c r="I14" s="11">
        <f>SUM([1]Sheet1!I18,[1]Sheet1!I52,[1]Sheet1!I86,[1]Sheet1!I120)</f>
        <v>515901.52955487173</v>
      </c>
      <c r="J14" s="11">
        <f>SUM([1]Sheet1!J18,[1]Sheet1!J52,[1]Sheet1!J86,[1]Sheet1!J120)</f>
        <v>532613.10446075629</v>
      </c>
      <c r="K14" s="11">
        <f>SUM([1]Sheet1!K18,[1]Sheet1!K52,[1]Sheet1!K86,[1]Sheet1!K120)</f>
        <v>550755.62211782567</v>
      </c>
      <c r="L14" s="11">
        <f>SUM([1]Sheet1!L18,[1]Sheet1!L52,[1]Sheet1!L86,[1]Sheet1!L120)</f>
        <v>569910.38640425692</v>
      </c>
      <c r="M14" s="11">
        <f>SUM([1]Sheet1!M18,[1]Sheet1!M52,[1]Sheet1!M86,[1]Sheet1!M120)</f>
        <v>589940.67807867972</v>
      </c>
      <c r="N14" s="11">
        <f>SUM([1]Sheet1!N18,[1]Sheet1!N52,[1]Sheet1!N86,[1]Sheet1!N120)</f>
        <v>610641.01699351438</v>
      </c>
      <c r="O14" s="11">
        <f>SUM([1]Sheet1!O18,[1]Sheet1!O52,[1]Sheet1!O86,[1]Sheet1!O120)</f>
        <v>630220.90901508636</v>
      </c>
      <c r="P14" s="11">
        <f>SUM([1]Sheet1!P18,[1]Sheet1!P52,[1]Sheet1!P86,[1]Sheet1!P120)</f>
        <v>649411.63698208588</v>
      </c>
      <c r="Q14" s="11">
        <f>SUM([1]Sheet1!Q18,[1]Sheet1!Q52,[1]Sheet1!Q86,[1]Sheet1!Q120)</f>
        <v>667922.34408631513</v>
      </c>
      <c r="R14" s="11">
        <f>SUM([1]Sheet1!R18,[1]Sheet1!R52,[1]Sheet1!R86,[1]Sheet1!R120)</f>
        <v>685621.0413195747</v>
      </c>
      <c r="S14" s="11">
        <f>SUM([1]Sheet1!S18,[1]Sheet1!S52,[1]Sheet1!S86,[1]Sheet1!S120)</f>
        <v>702659.76811327378</v>
      </c>
      <c r="T14" s="11"/>
      <c r="U14" s="11"/>
      <c r="V14" s="11"/>
      <c r="W14" s="11"/>
      <c r="X14" s="11"/>
      <c r="Y14" s="11"/>
      <c r="Z14" s="11"/>
      <c r="AA14" s="11"/>
      <c r="AB14" s="11"/>
      <c r="AC14" s="11"/>
      <c r="AD14" s="11"/>
      <c r="AE14" s="11"/>
    </row>
    <row r="15" spans="2:31" ht="15">
      <c r="B15" t="s">
        <v>434</v>
      </c>
      <c r="C15" t="s">
        <v>448</v>
      </c>
      <c r="D15" s="11">
        <f>SUM([1]Sheet1!D19,[1]Sheet1!D53,[1]Sheet1!D87,[1]Sheet1!D121)</f>
        <v>331636.7596527916</v>
      </c>
      <c r="E15" s="11">
        <f>SUM([1]Sheet1!E19,[1]Sheet1!E53,[1]Sheet1!E87,[1]Sheet1!E121)</f>
        <v>342334.90280453861</v>
      </c>
      <c r="F15" s="11">
        <f>SUM([1]Sheet1!F19,[1]Sheet1!F53,[1]Sheet1!F87,[1]Sheet1!F121)</f>
        <v>353657.41226394201</v>
      </c>
      <c r="G15" s="11">
        <f>SUM([1]Sheet1!G19,[1]Sheet1!G53,[1]Sheet1!G87,[1]Sheet1!G121)</f>
        <v>362753.38711743412</v>
      </c>
      <c r="H15" s="11">
        <f>SUM([1]Sheet1!H19,[1]Sheet1!H53,[1]Sheet1!H87,[1]Sheet1!H121)</f>
        <v>369356.75951917248</v>
      </c>
      <c r="I15" s="11">
        <f>SUM([1]Sheet1!I19,[1]Sheet1!I53,[1]Sheet1!I87,[1]Sheet1!I121)</f>
        <v>374556.55004564812</v>
      </c>
      <c r="J15" s="11">
        <f>SUM([1]Sheet1!J19,[1]Sheet1!J53,[1]Sheet1!J87,[1]Sheet1!J121)</f>
        <v>378910.929214428</v>
      </c>
      <c r="K15" s="11">
        <f>SUM([1]Sheet1!K19,[1]Sheet1!K53,[1]Sheet1!K87,[1]Sheet1!K121)</f>
        <v>384635.42484986538</v>
      </c>
      <c r="L15" s="11">
        <f>SUM([1]Sheet1!L19,[1]Sheet1!L53,[1]Sheet1!L87,[1]Sheet1!L121)</f>
        <v>392745.46620449022</v>
      </c>
      <c r="M15" s="11">
        <f>SUM([1]Sheet1!M19,[1]Sheet1!M53,[1]Sheet1!M87,[1]Sheet1!M121)</f>
        <v>403252.14266681328</v>
      </c>
      <c r="N15" s="11">
        <f>SUM([1]Sheet1!N19,[1]Sheet1!N53,[1]Sheet1!N87,[1]Sheet1!N121)</f>
        <v>415419.18422201817</v>
      </c>
      <c r="O15" s="11">
        <f>SUM([1]Sheet1!O19,[1]Sheet1!O53,[1]Sheet1!O87,[1]Sheet1!O121)</f>
        <v>430451.81233014073</v>
      </c>
      <c r="P15" s="11">
        <f>SUM([1]Sheet1!P19,[1]Sheet1!P53,[1]Sheet1!P87,[1]Sheet1!P121)</f>
        <v>446579.02097146166</v>
      </c>
      <c r="Q15" s="11">
        <f>SUM([1]Sheet1!Q19,[1]Sheet1!Q53,[1]Sheet1!Q87,[1]Sheet1!Q121)</f>
        <v>463508.81301529158</v>
      </c>
      <c r="R15" s="11">
        <f>SUM([1]Sheet1!R19,[1]Sheet1!R53,[1]Sheet1!R87,[1]Sheet1!R121)</f>
        <v>481257.75725747587</v>
      </c>
      <c r="S15" s="11">
        <f>SUM([1]Sheet1!S19,[1]Sheet1!S53,[1]Sheet1!S87,[1]Sheet1!S121)</f>
        <v>499711.09023569472</v>
      </c>
      <c r="T15" s="11"/>
      <c r="U15" s="11"/>
      <c r="V15" s="11"/>
      <c r="W15" s="11"/>
      <c r="X15" s="11"/>
      <c r="Y15" s="11"/>
      <c r="Z15" s="11"/>
      <c r="AA15" s="11"/>
      <c r="AB15" s="11"/>
      <c r="AC15" s="11"/>
      <c r="AD15" s="11"/>
      <c r="AE15" s="11"/>
    </row>
    <row r="16" spans="2:31" ht="15">
      <c r="B16" t="s">
        <v>434</v>
      </c>
      <c r="C16" t="s">
        <v>449</v>
      </c>
      <c r="D16" s="11">
        <f>SUM([1]Sheet1!D20,[1]Sheet1!D54,[1]Sheet1!D88,[1]Sheet1!D122)</f>
        <v>224877.10167049748</v>
      </c>
      <c r="E16" s="11">
        <f>SUM([1]Sheet1!E20,[1]Sheet1!E54,[1]Sheet1!E88,[1]Sheet1!E122)</f>
        <v>226187.92365083282</v>
      </c>
      <c r="F16" s="11">
        <f>SUM([1]Sheet1!F20,[1]Sheet1!F54,[1]Sheet1!F88,[1]Sheet1!F122)</f>
        <v>227083.55596033574</v>
      </c>
      <c r="G16" s="11">
        <f>SUM([1]Sheet1!G20,[1]Sheet1!G54,[1]Sheet1!G88,[1]Sheet1!G122)</f>
        <v>230022.38212844159</v>
      </c>
      <c r="H16" s="11">
        <f>SUM([1]Sheet1!H20,[1]Sheet1!H54,[1]Sheet1!H88,[1]Sheet1!H122)</f>
        <v>234909.79471916507</v>
      </c>
      <c r="I16" s="11">
        <f>SUM([1]Sheet1!I20,[1]Sheet1!I54,[1]Sheet1!I88,[1]Sheet1!I122)</f>
        <v>241754.62214847602</v>
      </c>
      <c r="J16" s="11">
        <f>SUM([1]Sheet1!J20,[1]Sheet1!J54,[1]Sheet1!J88,[1]Sheet1!J122)</f>
        <v>249767.4739568159</v>
      </c>
      <c r="K16" s="11">
        <f>SUM([1]Sheet1!K20,[1]Sheet1!K54,[1]Sheet1!K88,[1]Sheet1!K122)</f>
        <v>258393.25175279827</v>
      </c>
      <c r="L16" s="11">
        <f>SUM([1]Sheet1!L20,[1]Sheet1!L54,[1]Sheet1!L88,[1]Sheet1!L122)</f>
        <v>265760.40083917463</v>
      </c>
      <c r="M16" s="11">
        <f>SUM([1]Sheet1!M20,[1]Sheet1!M54,[1]Sheet1!M88,[1]Sheet1!M122)</f>
        <v>271635.18796018115</v>
      </c>
      <c r="N16" s="11">
        <f>SUM([1]Sheet1!N20,[1]Sheet1!N54,[1]Sheet1!N88,[1]Sheet1!N122)</f>
        <v>276711.6556605426</v>
      </c>
      <c r="O16" s="11">
        <f>SUM([1]Sheet1!O20,[1]Sheet1!O54,[1]Sheet1!O88,[1]Sheet1!O122)</f>
        <v>281313.58563671092</v>
      </c>
      <c r="P16" s="11">
        <f>SUM([1]Sheet1!P20,[1]Sheet1!P54,[1]Sheet1!P88,[1]Sheet1!P122)</f>
        <v>286971.56045053306</v>
      </c>
      <c r="Q16" s="11">
        <f>SUM([1]Sheet1!Q20,[1]Sheet1!Q54,[1]Sheet1!Q88,[1]Sheet1!Q122)</f>
        <v>294449.79902846803</v>
      </c>
      <c r="R16" s="11">
        <f>SUM([1]Sheet1!R20,[1]Sheet1!R54,[1]Sheet1!R88,[1]Sheet1!R122)</f>
        <v>303849.53934690199</v>
      </c>
      <c r="S16" s="11">
        <f>SUM([1]Sheet1!S20,[1]Sheet1!S54,[1]Sheet1!S88,[1]Sheet1!S122)</f>
        <v>314643.87020422006</v>
      </c>
      <c r="T16" s="11"/>
      <c r="U16" s="11"/>
      <c r="V16" s="11"/>
      <c r="W16" s="11"/>
      <c r="X16" s="11"/>
      <c r="Y16" s="11"/>
      <c r="Z16" s="11"/>
      <c r="AA16" s="11"/>
      <c r="AB16" s="11"/>
      <c r="AC16" s="11"/>
      <c r="AD16" s="11"/>
      <c r="AE16" s="11"/>
    </row>
    <row r="17" spans="2:31" ht="15">
      <c r="B17" t="s">
        <v>434</v>
      </c>
      <c r="C17" t="s">
        <v>450</v>
      </c>
      <c r="D17" s="11">
        <f>SUM([1]Sheet1!D21,[1]Sheet1!D55,[1]Sheet1!D89,[1]Sheet1!D123)</f>
        <v>136113.4104728552</v>
      </c>
      <c r="E17" s="11">
        <f>SUM([1]Sheet1!E21,[1]Sheet1!E55,[1]Sheet1!E89,[1]Sheet1!E123)</f>
        <v>137889.03151454378</v>
      </c>
      <c r="F17" s="11">
        <f>SUM([1]Sheet1!F21,[1]Sheet1!F55,[1]Sheet1!F89,[1]Sheet1!F123)</f>
        <v>139850.10492038805</v>
      </c>
      <c r="G17" s="11">
        <f>SUM([1]Sheet1!G21,[1]Sheet1!G55,[1]Sheet1!G89,[1]Sheet1!G123)</f>
        <v>141670.58791028691</v>
      </c>
      <c r="H17" s="11">
        <f>SUM([1]Sheet1!H21,[1]Sheet1!H55,[1]Sheet1!H89,[1]Sheet1!H123)</f>
        <v>143069.40738170879</v>
      </c>
      <c r="I17" s="11">
        <f>SUM([1]Sheet1!I21,[1]Sheet1!I55,[1]Sheet1!I89,[1]Sheet1!I123)</f>
        <v>144325.56363142567</v>
      </c>
      <c r="J17" s="11">
        <f>SUM([1]Sheet1!J21,[1]Sheet1!J55,[1]Sheet1!J89,[1]Sheet1!J123)</f>
        <v>145506.70857403628</v>
      </c>
      <c r="K17" s="11">
        <f>SUM([1]Sheet1!K21,[1]Sheet1!K55,[1]Sheet1!K89,[1]Sheet1!K123)</f>
        <v>146644.51519230643</v>
      </c>
      <c r="L17" s="11">
        <f>SUM([1]Sheet1!L21,[1]Sheet1!L55,[1]Sheet1!L89,[1]Sheet1!L123)</f>
        <v>149308.73729902843</v>
      </c>
      <c r="M17" s="11">
        <f>SUM([1]Sheet1!M21,[1]Sheet1!M55,[1]Sheet1!M89,[1]Sheet1!M123)</f>
        <v>153411.16205776285</v>
      </c>
      <c r="N17" s="11">
        <f>SUM([1]Sheet1!N21,[1]Sheet1!N55,[1]Sheet1!N89,[1]Sheet1!N123)</f>
        <v>158851.94076045995</v>
      </c>
      <c r="O17" s="11">
        <f>SUM([1]Sheet1!O21,[1]Sheet1!O55,[1]Sheet1!O89,[1]Sheet1!O123)</f>
        <v>165125.51247979302</v>
      </c>
      <c r="P17" s="11">
        <f>SUM([1]Sheet1!P21,[1]Sheet1!P55,[1]Sheet1!P89,[1]Sheet1!P123)</f>
        <v>171712.78044420498</v>
      </c>
      <c r="Q17" s="11">
        <f>SUM([1]Sheet1!Q21,[1]Sheet1!Q55,[1]Sheet1!Q89,[1]Sheet1!Q123)</f>
        <v>177526.8268325426</v>
      </c>
      <c r="R17" s="11">
        <f>SUM([1]Sheet1!R21,[1]Sheet1!R55,[1]Sheet1!R89,[1]Sheet1!R123)</f>
        <v>182495.24687006575</v>
      </c>
      <c r="S17" s="11">
        <f>SUM([1]Sheet1!S21,[1]Sheet1!S55,[1]Sheet1!S89,[1]Sheet1!S123)</f>
        <v>187084.46060608659</v>
      </c>
      <c r="T17" s="11"/>
      <c r="U17" s="11"/>
      <c r="V17" s="11"/>
      <c r="W17" s="11"/>
      <c r="X17" s="11"/>
      <c r="Y17" s="11"/>
      <c r="Z17" s="11"/>
      <c r="AA17" s="11"/>
      <c r="AB17" s="11"/>
      <c r="AC17" s="11"/>
      <c r="AD17" s="11"/>
      <c r="AE17" s="11"/>
    </row>
    <row r="18" spans="2:31" ht="15">
      <c r="B18" t="s">
        <v>434</v>
      </c>
      <c r="C18" t="s">
        <v>451</v>
      </c>
      <c r="D18" s="11">
        <f>SUM([1]Sheet1!D22,[1]Sheet1!D56,[1]Sheet1!D90,[1]Sheet1!D124)</f>
        <v>106228.95107064993</v>
      </c>
      <c r="E18" s="11">
        <f>SUM([1]Sheet1!E22,[1]Sheet1!E56,[1]Sheet1!E90,[1]Sheet1!E124)</f>
        <v>107716.99456097675</v>
      </c>
      <c r="F18" s="11">
        <f>SUM([1]Sheet1!F22,[1]Sheet1!F56,[1]Sheet1!F90,[1]Sheet1!F124)</f>
        <v>109064.07331907429</v>
      </c>
      <c r="G18" s="11">
        <f>SUM([1]Sheet1!G22,[1]Sheet1!G56,[1]Sheet1!G90,[1]Sheet1!G124)</f>
        <v>110344.67798154333</v>
      </c>
      <c r="H18" s="11">
        <f>SUM([1]Sheet1!H22,[1]Sheet1!H56,[1]Sheet1!H90,[1]Sheet1!H124)</f>
        <v>112108.22965897602</v>
      </c>
      <c r="I18" s="11">
        <f>SUM([1]Sheet1!I22,[1]Sheet1!I56,[1]Sheet1!I90,[1]Sheet1!I124)</f>
        <v>113866.35964732085</v>
      </c>
      <c r="J18" s="11">
        <f>SUM([1]Sheet1!J22,[1]Sheet1!J56,[1]Sheet1!J90,[1]Sheet1!J124)</f>
        <v>115740.72937423374</v>
      </c>
      <c r="K18" s="11">
        <f>SUM([1]Sheet1!K22,[1]Sheet1!K56,[1]Sheet1!K90,[1]Sheet1!K124)</f>
        <v>117780.48351091876</v>
      </c>
      <c r="L18" s="11">
        <f>SUM([1]Sheet1!L22,[1]Sheet1!L56,[1]Sheet1!L90,[1]Sheet1!L124)</f>
        <v>119842.54733242659</v>
      </c>
      <c r="M18" s="11">
        <f>SUM([1]Sheet1!M22,[1]Sheet1!M56,[1]Sheet1!M90,[1]Sheet1!M124)</f>
        <v>122047.45773750529</v>
      </c>
      <c r="N18" s="11">
        <f>SUM([1]Sheet1!N22,[1]Sheet1!N56,[1]Sheet1!N90,[1]Sheet1!N124)</f>
        <v>124196.593469157</v>
      </c>
      <c r="O18" s="11">
        <f>SUM([1]Sheet1!O22,[1]Sheet1!O56,[1]Sheet1!O90,[1]Sheet1!O124)</f>
        <v>126408.65320709298</v>
      </c>
      <c r="P18" s="11">
        <f>SUM([1]Sheet1!P22,[1]Sheet1!P56,[1]Sheet1!P90,[1]Sheet1!P124)</f>
        <v>128738.12313684805</v>
      </c>
      <c r="Q18" s="11">
        <f>SUM([1]Sheet1!Q22,[1]Sheet1!Q56,[1]Sheet1!Q90,[1]Sheet1!Q124)</f>
        <v>132008.80657211773</v>
      </c>
      <c r="R18" s="11">
        <f>SUM([1]Sheet1!R22,[1]Sheet1!R56,[1]Sheet1!R90,[1]Sheet1!R124)</f>
        <v>136233.55382356065</v>
      </c>
      <c r="S18" s="11">
        <f>SUM([1]Sheet1!S22,[1]Sheet1!S56,[1]Sheet1!S90,[1]Sheet1!S124)</f>
        <v>141215.32254973846</v>
      </c>
      <c r="T18" s="11"/>
      <c r="U18" s="11"/>
      <c r="V18" s="11"/>
      <c r="W18" s="11"/>
      <c r="X18" s="11"/>
      <c r="Y18" s="11"/>
      <c r="Z18" s="11"/>
      <c r="AA18" s="11"/>
      <c r="AB18" s="11"/>
      <c r="AC18" s="11"/>
      <c r="AD18" s="11"/>
      <c r="AE18" s="11"/>
    </row>
    <row r="19" spans="2:31" ht="15">
      <c r="B19" t="s">
        <v>452</v>
      </c>
      <c r="C19" t="s">
        <v>435</v>
      </c>
      <c r="D19" s="11">
        <f>SUM([1]Sheet1!D23,[1]Sheet1!D57,[1]Sheet1!D91,[1]Sheet1!D125)</f>
        <v>2344983.592274786</v>
      </c>
      <c r="E19" s="11">
        <f>SUM([1]Sheet1!E23,[1]Sheet1!E57,[1]Sheet1!E91,[1]Sheet1!E125)</f>
        <v>2344690.457654709</v>
      </c>
      <c r="F19" s="11">
        <f>SUM([1]Sheet1!F23,[1]Sheet1!F57,[1]Sheet1!F91,[1]Sheet1!F125)</f>
        <v>2375055.1503935298</v>
      </c>
      <c r="G19" s="11">
        <f>SUM([1]Sheet1!G23,[1]Sheet1!G57,[1]Sheet1!G91,[1]Sheet1!G125)</f>
        <v>2424333.6105767763</v>
      </c>
      <c r="H19" s="11">
        <f>SUM([1]Sheet1!H23,[1]Sheet1!H57,[1]Sheet1!H91,[1]Sheet1!H125)</f>
        <v>2506187.6427789088</v>
      </c>
      <c r="I19" s="11">
        <f>SUM([1]Sheet1!I23,[1]Sheet1!I57,[1]Sheet1!I91,[1]Sheet1!I125)</f>
        <v>2607498.3186374181</v>
      </c>
      <c r="J19" s="11">
        <f>SUM([1]Sheet1!J23,[1]Sheet1!J57,[1]Sheet1!J91,[1]Sheet1!J125)</f>
        <v>2712847.941849397</v>
      </c>
      <c r="K19" s="11">
        <f>SUM([1]Sheet1!K23,[1]Sheet1!K57,[1]Sheet1!K91,[1]Sheet1!K125)</f>
        <v>2790366.9492815044</v>
      </c>
      <c r="L19" s="11">
        <f>SUM([1]Sheet1!L23,[1]Sheet1!L57,[1]Sheet1!L91,[1]Sheet1!L125)</f>
        <v>2845136.4057310889</v>
      </c>
      <c r="M19" s="11">
        <f>SUM([1]Sheet1!M23,[1]Sheet1!M57,[1]Sheet1!M91,[1]Sheet1!M125)</f>
        <v>2878586.5940013411</v>
      </c>
      <c r="N19" s="11">
        <f>SUM([1]Sheet1!N23,[1]Sheet1!N57,[1]Sheet1!N91,[1]Sheet1!N125)</f>
        <v>2895522.4970890782</v>
      </c>
      <c r="O19" s="11">
        <f>SUM([1]Sheet1!O23,[1]Sheet1!O57,[1]Sheet1!O91,[1]Sheet1!O125)</f>
        <v>2905556.9705545758</v>
      </c>
      <c r="P19" s="11">
        <f>SUM([1]Sheet1!P23,[1]Sheet1!P57,[1]Sheet1!P91,[1]Sheet1!P125)</f>
        <v>2913545.6512265359</v>
      </c>
      <c r="Q19" s="11">
        <f>SUM([1]Sheet1!Q23,[1]Sheet1!Q57,[1]Sheet1!Q91,[1]Sheet1!Q125)</f>
        <v>2919750.0220190887</v>
      </c>
      <c r="R19" s="11">
        <f>SUM([1]Sheet1!R23,[1]Sheet1!R57,[1]Sheet1!R91,[1]Sheet1!R125)</f>
        <v>2922788.9812859669</v>
      </c>
      <c r="S19" s="11">
        <f>SUM([1]Sheet1!S23,[1]Sheet1!S57,[1]Sheet1!S91,[1]Sheet1!S125)</f>
        <v>2920261.427477228</v>
      </c>
      <c r="T19" s="11"/>
      <c r="U19" s="11"/>
      <c r="V19" s="11"/>
      <c r="W19" s="11"/>
      <c r="X19" s="11"/>
      <c r="Y19" s="11"/>
      <c r="Z19" s="11"/>
      <c r="AA19" s="11"/>
      <c r="AB19" s="11"/>
      <c r="AC19" s="11"/>
      <c r="AD19" s="11"/>
      <c r="AE19" s="11"/>
    </row>
    <row r="20" spans="2:31" ht="15">
      <c r="B20" t="s">
        <v>452</v>
      </c>
      <c r="C20" t="s">
        <v>436</v>
      </c>
      <c r="D20" s="11">
        <f>SUM([1]Sheet1!D24,[1]Sheet1!D58,[1]Sheet1!D92,[1]Sheet1!D126)</f>
        <v>2494403.1903595901</v>
      </c>
      <c r="E20" s="11">
        <f>SUM([1]Sheet1!E24,[1]Sheet1!E58,[1]Sheet1!E92,[1]Sheet1!E126)</f>
        <v>2446413.733452843</v>
      </c>
      <c r="F20" s="11">
        <f>SUM([1]Sheet1!F24,[1]Sheet1!F58,[1]Sheet1!F92,[1]Sheet1!F126)</f>
        <v>2406455.4791143383</v>
      </c>
      <c r="G20" s="11">
        <f>SUM([1]Sheet1!G24,[1]Sheet1!G58,[1]Sheet1!G92,[1]Sheet1!G126)</f>
        <v>2379071.4473119881</v>
      </c>
      <c r="H20" s="11">
        <f>SUM([1]Sheet1!H24,[1]Sheet1!H58,[1]Sheet1!H92,[1]Sheet1!H126)</f>
        <v>2348394.9061699272</v>
      </c>
      <c r="I20" s="11">
        <f>SUM([1]Sheet1!I24,[1]Sheet1!I58,[1]Sheet1!I92,[1]Sheet1!I126)</f>
        <v>2330300.4657405778</v>
      </c>
      <c r="J20" s="11">
        <f>SUM([1]Sheet1!J24,[1]Sheet1!J58,[1]Sheet1!J92,[1]Sheet1!J126)</f>
        <v>2323119.3441772256</v>
      </c>
      <c r="K20" s="11">
        <f>SUM([1]Sheet1!K24,[1]Sheet1!K58,[1]Sheet1!K92,[1]Sheet1!K126)</f>
        <v>2346840.8277398683</v>
      </c>
      <c r="L20" s="11">
        <f>SUM([1]Sheet1!L24,[1]Sheet1!L58,[1]Sheet1!L92,[1]Sheet1!L126)</f>
        <v>2388619.2998715923</v>
      </c>
      <c r="M20" s="11">
        <f>SUM([1]Sheet1!M24,[1]Sheet1!M58,[1]Sheet1!M92,[1]Sheet1!M126)</f>
        <v>2462278.0471763411</v>
      </c>
      <c r="N20" s="11">
        <f>SUM([1]Sheet1!N24,[1]Sheet1!N58,[1]Sheet1!N92,[1]Sheet1!N126)</f>
        <v>2559071.0308297612</v>
      </c>
      <c r="O20" s="11">
        <f>SUM([1]Sheet1!O24,[1]Sheet1!O58,[1]Sheet1!O92,[1]Sheet1!O126)</f>
        <v>2663090.7436998487</v>
      </c>
      <c r="P20" s="11">
        <f>SUM([1]Sheet1!P24,[1]Sheet1!P58,[1]Sheet1!P92,[1]Sheet1!P126)</f>
        <v>2744589.8870925913</v>
      </c>
      <c r="Q20" s="11">
        <f>SUM([1]Sheet1!Q24,[1]Sheet1!Q58,[1]Sheet1!Q92,[1]Sheet1!Q126)</f>
        <v>2806997.0754570416</v>
      </c>
      <c r="R20" s="11">
        <f>SUM([1]Sheet1!R24,[1]Sheet1!R58,[1]Sheet1!R92,[1]Sheet1!R126)</f>
        <v>2849053.7150437883</v>
      </c>
      <c r="S20" s="11">
        <f>SUM([1]Sheet1!S24,[1]Sheet1!S58,[1]Sheet1!S92,[1]Sheet1!S126)</f>
        <v>2875651.2742645699</v>
      </c>
      <c r="T20" s="11"/>
      <c r="U20" s="11"/>
      <c r="V20" s="11"/>
      <c r="W20" s="11"/>
      <c r="X20" s="11"/>
      <c r="Y20" s="11"/>
      <c r="Z20" s="11"/>
      <c r="AA20" s="11"/>
      <c r="AB20" s="11"/>
      <c r="AC20" s="11"/>
      <c r="AD20" s="11"/>
      <c r="AE20" s="11"/>
    </row>
    <row r="21" spans="2:31" ht="15">
      <c r="B21" t="s">
        <v>452</v>
      </c>
      <c r="C21" t="s">
        <v>437</v>
      </c>
      <c r="D21" s="11">
        <f>SUM([1]Sheet1!D25,[1]Sheet1!D59,[1]Sheet1!D93,[1]Sheet1!D127)</f>
        <v>2676264.6808006475</v>
      </c>
      <c r="E21" s="11">
        <f>SUM([1]Sheet1!E25,[1]Sheet1!E59,[1]Sheet1!E93,[1]Sheet1!E127)</f>
        <v>2656987.3523386801</v>
      </c>
      <c r="F21" s="11">
        <f>SUM([1]Sheet1!F25,[1]Sheet1!F59,[1]Sheet1!F93,[1]Sheet1!F127)</f>
        <v>2626854.8280352969</v>
      </c>
      <c r="G21" s="11">
        <f>SUM([1]Sheet1!G25,[1]Sheet1!G59,[1]Sheet1!G93,[1]Sheet1!G127)</f>
        <v>2592103.7697304739</v>
      </c>
      <c r="H21" s="11">
        <f>SUM([1]Sheet1!H25,[1]Sheet1!H59,[1]Sheet1!H93,[1]Sheet1!H127)</f>
        <v>2556288.2624215432</v>
      </c>
      <c r="I21" s="11">
        <f>SUM([1]Sheet1!I25,[1]Sheet1!I59,[1]Sheet1!I93,[1]Sheet1!I127)</f>
        <v>2505723.2000020081</v>
      </c>
      <c r="J21" s="11">
        <f>SUM([1]Sheet1!J25,[1]Sheet1!J59,[1]Sheet1!J93,[1]Sheet1!J127)</f>
        <v>2448571.4813848529</v>
      </c>
      <c r="K21" s="11">
        <f>SUM([1]Sheet1!K25,[1]Sheet1!K59,[1]Sheet1!K93,[1]Sheet1!K127)</f>
        <v>2401520.5223718863</v>
      </c>
      <c r="L21" s="11">
        <f>SUM([1]Sheet1!L25,[1]Sheet1!L59,[1]Sheet1!L93,[1]Sheet1!L127)</f>
        <v>2366665.0458610686</v>
      </c>
      <c r="M21" s="11">
        <f>SUM([1]Sheet1!M25,[1]Sheet1!M59,[1]Sheet1!M93,[1]Sheet1!M127)</f>
        <v>2328568.2940117186</v>
      </c>
      <c r="N21" s="11">
        <f>SUM([1]Sheet1!N25,[1]Sheet1!N59,[1]Sheet1!N93,[1]Sheet1!N127)</f>
        <v>2306656.2275958988</v>
      </c>
      <c r="O21" s="11">
        <f>SUM([1]Sheet1!O25,[1]Sheet1!O59,[1]Sheet1!O93,[1]Sheet1!O127)</f>
        <v>2298613.7034824556</v>
      </c>
      <c r="P21" s="11">
        <f>SUM([1]Sheet1!P25,[1]Sheet1!P59,[1]Sheet1!P93,[1]Sheet1!P127)</f>
        <v>2321841.3836357882</v>
      </c>
      <c r="Q21" s="11">
        <f>SUM([1]Sheet1!Q25,[1]Sheet1!Q59,[1]Sheet1!Q93,[1]Sheet1!Q127)</f>
        <v>2365788.0139642088</v>
      </c>
      <c r="R21" s="11">
        <f>SUM([1]Sheet1!R25,[1]Sheet1!R59,[1]Sheet1!R93,[1]Sheet1!R127)</f>
        <v>2443770.1253022337</v>
      </c>
      <c r="S21" s="11">
        <f>SUM([1]Sheet1!S25,[1]Sheet1!S59,[1]Sheet1!S93,[1]Sheet1!S127)</f>
        <v>2546421.6314461445</v>
      </c>
      <c r="T21" s="11"/>
      <c r="U21" s="11"/>
      <c r="V21" s="11"/>
      <c r="W21" s="11"/>
      <c r="X21" s="11"/>
      <c r="Y21" s="11"/>
      <c r="Z21" s="11"/>
      <c r="AA21" s="11"/>
      <c r="AB21" s="11"/>
      <c r="AC21" s="11"/>
      <c r="AD21" s="11"/>
      <c r="AE21" s="11"/>
    </row>
    <row r="22" spans="2:31" ht="15">
      <c r="B22" t="s">
        <v>452</v>
      </c>
      <c r="C22" t="s">
        <v>438</v>
      </c>
      <c r="D22" s="11">
        <f>SUM([1]Sheet1!D26,[1]Sheet1!D60,[1]Sheet1!D94,[1]Sheet1!D128)</f>
        <v>2556495.9277706016</v>
      </c>
      <c r="E22" s="11">
        <f>SUM([1]Sheet1!E26,[1]Sheet1!E60,[1]Sheet1!E94,[1]Sheet1!E128)</f>
        <v>2616821.0894819926</v>
      </c>
      <c r="F22" s="11">
        <f>SUM([1]Sheet1!F26,[1]Sheet1!F60,[1]Sheet1!F94,[1]Sheet1!F128)</f>
        <v>2666762.8603729331</v>
      </c>
      <c r="G22" s="11">
        <f>SUM([1]Sheet1!G26,[1]Sheet1!G60,[1]Sheet1!G94,[1]Sheet1!G128)</f>
        <v>2699094.2141649262</v>
      </c>
      <c r="H22" s="11">
        <f>SUM([1]Sheet1!H26,[1]Sheet1!H60,[1]Sheet1!H94,[1]Sheet1!H128)</f>
        <v>2706076.110501796</v>
      </c>
      <c r="I22" s="11">
        <f>SUM([1]Sheet1!I26,[1]Sheet1!I60,[1]Sheet1!I94,[1]Sheet1!I128)</f>
        <v>2694714.3366090902</v>
      </c>
      <c r="J22" s="11">
        <f>SUM([1]Sheet1!J26,[1]Sheet1!J60,[1]Sheet1!J94,[1]Sheet1!J128)</f>
        <v>2666665.0032345145</v>
      </c>
      <c r="K22" s="11">
        <f>SUM([1]Sheet1!K26,[1]Sheet1!K60,[1]Sheet1!K94,[1]Sheet1!K128)</f>
        <v>2629417.7124756877</v>
      </c>
      <c r="L22" s="11">
        <f>SUM([1]Sheet1!L26,[1]Sheet1!L60,[1]Sheet1!L94,[1]Sheet1!L128)</f>
        <v>2586712.5936848912</v>
      </c>
      <c r="M22" s="11">
        <f>SUM([1]Sheet1!M26,[1]Sheet1!M60,[1]Sheet1!M94,[1]Sheet1!M128)</f>
        <v>2542647.2393379807</v>
      </c>
      <c r="N22" s="11">
        <f>SUM([1]Sheet1!N26,[1]Sheet1!N60,[1]Sheet1!N94,[1]Sheet1!N128)</f>
        <v>2488061.8275276129</v>
      </c>
      <c r="O22" s="11">
        <f>SUM([1]Sheet1!O26,[1]Sheet1!O60,[1]Sheet1!O94,[1]Sheet1!O128)</f>
        <v>2430436.0507147359</v>
      </c>
      <c r="P22" s="11">
        <f>SUM([1]Sheet1!P26,[1]Sheet1!P60,[1]Sheet1!P94,[1]Sheet1!P128)</f>
        <v>2383631.0414106362</v>
      </c>
      <c r="Q22" s="11">
        <f>SUM([1]Sheet1!Q26,[1]Sheet1!Q60,[1]Sheet1!Q94,[1]Sheet1!Q128)</f>
        <v>2351936.197893024</v>
      </c>
      <c r="R22" s="11">
        <f>SUM([1]Sheet1!R26,[1]Sheet1!R60,[1]Sheet1!R94,[1]Sheet1!R128)</f>
        <v>2319575.0437826603</v>
      </c>
      <c r="S22" s="11">
        <f>SUM([1]Sheet1!S26,[1]Sheet1!S60,[1]Sheet1!S94,[1]Sheet1!S128)</f>
        <v>2304284.022136867</v>
      </c>
      <c r="T22" s="11"/>
      <c r="U22" s="11"/>
      <c r="V22" s="11"/>
      <c r="W22" s="11"/>
      <c r="X22" s="11"/>
      <c r="Y22" s="11"/>
      <c r="Z22" s="11"/>
      <c r="AA22" s="11"/>
      <c r="AB22" s="11"/>
      <c r="AC22" s="11"/>
      <c r="AD22" s="11"/>
      <c r="AE22" s="11"/>
    </row>
    <row r="23" spans="2:31" ht="15">
      <c r="B23" t="s">
        <v>452</v>
      </c>
      <c r="C23" t="s">
        <v>439</v>
      </c>
      <c r="D23" s="11">
        <f>SUM([1]Sheet1!D27,[1]Sheet1!D61,[1]Sheet1!D95,[1]Sheet1!D129)</f>
        <v>2178717.873150019</v>
      </c>
      <c r="E23" s="11">
        <f>SUM([1]Sheet1!E27,[1]Sheet1!E61,[1]Sheet1!E95,[1]Sheet1!E129)</f>
        <v>2271054.6536445562</v>
      </c>
      <c r="F23" s="11">
        <f>SUM([1]Sheet1!F27,[1]Sheet1!F61,[1]Sheet1!F95,[1]Sheet1!F129)</f>
        <v>2362127.3876364487</v>
      </c>
      <c r="G23" s="11">
        <f>SUM([1]Sheet1!G27,[1]Sheet1!G61,[1]Sheet1!G95,[1]Sheet1!G129)</f>
        <v>2451082.2373066633</v>
      </c>
      <c r="H23" s="11">
        <f>SUM([1]Sheet1!H27,[1]Sheet1!H61,[1]Sheet1!H95,[1]Sheet1!H129)</f>
        <v>2524454.3970235265</v>
      </c>
      <c r="I23" s="11">
        <f>SUM([1]Sheet1!I27,[1]Sheet1!I61,[1]Sheet1!I95,[1]Sheet1!I129)</f>
        <v>2585901.7843568334</v>
      </c>
      <c r="J23" s="11">
        <f>SUM([1]Sheet1!J27,[1]Sheet1!J61,[1]Sheet1!J95,[1]Sheet1!J129)</f>
        <v>2641762.7255985728</v>
      </c>
      <c r="K23" s="11">
        <f>SUM([1]Sheet1!K27,[1]Sheet1!K61,[1]Sheet1!K95,[1]Sheet1!K129)</f>
        <v>2688322.6169160991</v>
      </c>
      <c r="L23" s="11">
        <f>SUM([1]Sheet1!L27,[1]Sheet1!L61,[1]Sheet1!L95,[1]Sheet1!L129)</f>
        <v>2715827.6027244176</v>
      </c>
      <c r="M23" s="11">
        <f>SUM([1]Sheet1!M27,[1]Sheet1!M61,[1]Sheet1!M95,[1]Sheet1!M129)</f>
        <v>2717467.6265149429</v>
      </c>
      <c r="N23" s="11">
        <f>SUM([1]Sheet1!N27,[1]Sheet1!N61,[1]Sheet1!N95,[1]Sheet1!N129)</f>
        <v>2704653.5001201723</v>
      </c>
      <c r="O23" s="11">
        <f>SUM([1]Sheet1!O27,[1]Sheet1!O61,[1]Sheet1!O95,[1]Sheet1!O129)</f>
        <v>2678694.0630741576</v>
      </c>
      <c r="P23" s="11">
        <f>SUM([1]Sheet1!P27,[1]Sheet1!P61,[1]Sheet1!P95,[1]Sheet1!P129)</f>
        <v>2644262.5526147974</v>
      </c>
      <c r="Q23" s="11">
        <f>SUM([1]Sheet1!Q27,[1]Sheet1!Q61,[1]Sheet1!Q95,[1]Sheet1!Q129)</f>
        <v>2607467.7547453423</v>
      </c>
      <c r="R23" s="11">
        <f>SUM([1]Sheet1!R27,[1]Sheet1!R61,[1]Sheet1!R95,[1]Sheet1!R129)</f>
        <v>2571845.9367150408</v>
      </c>
      <c r="S23" s="11">
        <f>SUM([1]Sheet1!S27,[1]Sheet1!S61,[1]Sheet1!S95,[1]Sheet1!S129)</f>
        <v>2526937.2369979736</v>
      </c>
      <c r="T23" s="11"/>
      <c r="U23" s="11"/>
      <c r="V23" s="11"/>
      <c r="W23" s="11"/>
      <c r="X23" s="11"/>
      <c r="Y23" s="11"/>
      <c r="Z23" s="11"/>
      <c r="AA23" s="11"/>
      <c r="AB23" s="11"/>
      <c r="AC23" s="11"/>
      <c r="AD23" s="11"/>
      <c r="AE23" s="11"/>
    </row>
    <row r="24" spans="2:31" ht="15">
      <c r="B24" t="s">
        <v>452</v>
      </c>
      <c r="C24" t="s">
        <v>440</v>
      </c>
      <c r="D24" s="11">
        <f>SUM([1]Sheet1!D28,[1]Sheet1!D62,[1]Sheet1!D96,[1]Sheet1!D130)</f>
        <v>1918966.623176137</v>
      </c>
      <c r="E24" s="11">
        <f>SUM([1]Sheet1!E28,[1]Sheet1!E62,[1]Sheet1!E96,[1]Sheet1!E130)</f>
        <v>1936845.2591374526</v>
      </c>
      <c r="F24" s="11">
        <f>SUM([1]Sheet1!F28,[1]Sheet1!F62,[1]Sheet1!F96,[1]Sheet1!F130)</f>
        <v>1962772.853628119</v>
      </c>
      <c r="G24" s="11">
        <f>SUM([1]Sheet1!G28,[1]Sheet1!G62,[1]Sheet1!G96,[1]Sheet1!G130)</f>
        <v>2005892.0603399076</v>
      </c>
      <c r="H24" s="11">
        <f>SUM([1]Sheet1!H28,[1]Sheet1!H62,[1]Sheet1!H96,[1]Sheet1!H130)</f>
        <v>2083509.274600399</v>
      </c>
      <c r="I24" s="11">
        <f>SUM([1]Sheet1!I28,[1]Sheet1!I62,[1]Sheet1!I96,[1]Sheet1!I130)</f>
        <v>2176092.6744755078</v>
      </c>
      <c r="J24" s="11">
        <f>SUM([1]Sheet1!J28,[1]Sheet1!J62,[1]Sheet1!J96,[1]Sheet1!J130)</f>
        <v>2273059.0280612595</v>
      </c>
      <c r="K24" s="11">
        <f>SUM([1]Sheet1!K28,[1]Sheet1!K62,[1]Sheet1!K96,[1]Sheet1!K130)</f>
        <v>2368024.7514624381</v>
      </c>
      <c r="L24" s="11">
        <f>SUM([1]Sheet1!L28,[1]Sheet1!L62,[1]Sheet1!L96,[1]Sheet1!L130)</f>
        <v>2459304.5114334379</v>
      </c>
      <c r="M24" s="11">
        <f>SUM([1]Sheet1!M28,[1]Sheet1!M62,[1]Sheet1!M96,[1]Sheet1!M130)</f>
        <v>2534666.1892032623</v>
      </c>
      <c r="N24" s="11">
        <f>SUM([1]Sheet1!N28,[1]Sheet1!N62,[1]Sheet1!N96,[1]Sheet1!N130)</f>
        <v>2600507.0284008295</v>
      </c>
      <c r="O24" s="11">
        <f>SUM([1]Sheet1!O28,[1]Sheet1!O62,[1]Sheet1!O96,[1]Sheet1!O130)</f>
        <v>2662779.0364502994</v>
      </c>
      <c r="P24" s="11">
        <f>SUM([1]Sheet1!P28,[1]Sheet1!P62,[1]Sheet1!P96,[1]Sheet1!P130)</f>
        <v>2715430.3365264293</v>
      </c>
      <c r="Q24" s="11">
        <f>SUM([1]Sheet1!Q28,[1]Sheet1!Q62,[1]Sheet1!Q96,[1]Sheet1!Q130)</f>
        <v>2751872.7891952889</v>
      </c>
      <c r="R24" s="11">
        <f>SUM([1]Sheet1!R28,[1]Sheet1!R62,[1]Sheet1!R96,[1]Sheet1!R130)</f>
        <v>2765955.0211466621</v>
      </c>
      <c r="S24" s="11">
        <f>SUM([1]Sheet1!S28,[1]Sheet1!S62,[1]Sheet1!S96,[1]Sheet1!S130)</f>
        <v>2767011.8655370539</v>
      </c>
      <c r="T24" s="11"/>
      <c r="U24" s="11"/>
      <c r="V24" s="11"/>
      <c r="W24" s="11"/>
      <c r="X24" s="11"/>
      <c r="Y24" s="11"/>
      <c r="Z24" s="11"/>
      <c r="AA24" s="11"/>
      <c r="AB24" s="11"/>
      <c r="AC24" s="11"/>
      <c r="AD24" s="11"/>
      <c r="AE24" s="11"/>
    </row>
    <row r="25" spans="2:31" ht="15">
      <c r="B25" t="s">
        <v>452</v>
      </c>
      <c r="C25" t="s">
        <v>441</v>
      </c>
      <c r="D25" s="11">
        <f>SUM([1]Sheet1!D29,[1]Sheet1!D63,[1]Sheet1!D97,[1]Sheet1!D131)</f>
        <v>1779414.1308026379</v>
      </c>
      <c r="E25" s="11">
        <f>SUM([1]Sheet1!E29,[1]Sheet1!E63,[1]Sheet1!E97,[1]Sheet1!E131)</f>
        <v>1787017.7849738358</v>
      </c>
      <c r="F25" s="11">
        <f>SUM([1]Sheet1!F29,[1]Sheet1!F63,[1]Sheet1!F97,[1]Sheet1!F131)</f>
        <v>1797127.0742289522</v>
      </c>
      <c r="G25" s="11">
        <f>SUM([1]Sheet1!G29,[1]Sheet1!G63,[1]Sheet1!G97,[1]Sheet1!G131)</f>
        <v>1806383.8900453984</v>
      </c>
      <c r="H25" s="11">
        <f>SUM([1]Sheet1!H29,[1]Sheet1!H63,[1]Sheet1!H97,[1]Sheet1!H131)</f>
        <v>1817188.2010282462</v>
      </c>
      <c r="I25" s="11">
        <f>SUM([1]Sheet1!I29,[1]Sheet1!I63,[1]Sheet1!I97,[1]Sheet1!I131)</f>
        <v>1832439.1643527769</v>
      </c>
      <c r="J25" s="11">
        <f>SUM([1]Sheet1!J29,[1]Sheet1!J63,[1]Sheet1!J97,[1]Sheet1!J131)</f>
        <v>1856654.7403300458</v>
      </c>
      <c r="K25" s="11">
        <f>SUM([1]Sheet1!K29,[1]Sheet1!K63,[1]Sheet1!K97,[1]Sheet1!K131)</f>
        <v>1892144.2161354912</v>
      </c>
      <c r="L25" s="11">
        <f>SUM([1]Sheet1!L29,[1]Sheet1!L63,[1]Sheet1!L97,[1]Sheet1!L131)</f>
        <v>1946646.0880797522</v>
      </c>
      <c r="M25" s="11">
        <f>SUM([1]Sheet1!M29,[1]Sheet1!M63,[1]Sheet1!M97,[1]Sheet1!M131)</f>
        <v>2035731.8268357646</v>
      </c>
      <c r="N25" s="11">
        <f>SUM([1]Sheet1!N29,[1]Sheet1!N63,[1]Sheet1!N97,[1]Sheet1!N131)</f>
        <v>2138965.9563517058</v>
      </c>
      <c r="O25" s="11">
        <f>SUM([1]Sheet1!O29,[1]Sheet1!O63,[1]Sheet1!O97,[1]Sheet1!O131)</f>
        <v>2246129.3752120673</v>
      </c>
      <c r="P25" s="11">
        <f>SUM([1]Sheet1!P29,[1]Sheet1!P63,[1]Sheet1!P97,[1]Sheet1!P131)</f>
        <v>2351029.1590842325</v>
      </c>
      <c r="Q25" s="11">
        <f>SUM([1]Sheet1!Q29,[1]Sheet1!Q63,[1]Sheet1!Q97,[1]Sheet1!Q131)</f>
        <v>2452317.6107869586</v>
      </c>
      <c r="R25" s="11">
        <f>SUM([1]Sheet1!R29,[1]Sheet1!R63,[1]Sheet1!R97,[1]Sheet1!R131)</f>
        <v>2539363.2227157168</v>
      </c>
      <c r="S25" s="11">
        <f>SUM([1]Sheet1!S29,[1]Sheet1!S63,[1]Sheet1!S97,[1]Sheet1!S131)</f>
        <v>2618476.1925114365</v>
      </c>
      <c r="T25" s="11"/>
      <c r="U25" s="11"/>
      <c r="V25" s="11"/>
      <c r="W25" s="11"/>
      <c r="X25" s="11"/>
      <c r="Y25" s="11"/>
      <c r="Z25" s="11"/>
      <c r="AA25" s="11"/>
      <c r="AB25" s="11"/>
      <c r="AC25" s="11"/>
      <c r="AD25" s="11"/>
      <c r="AE25" s="11"/>
    </row>
    <row r="26" spans="2:31" ht="15">
      <c r="B26" t="s">
        <v>452</v>
      </c>
      <c r="C26" t="s">
        <v>442</v>
      </c>
      <c r="D26" s="11">
        <f>SUM([1]Sheet1!D30,[1]Sheet1!D64,[1]Sheet1!D98,[1]Sheet1!D132)</f>
        <v>1642096.031912691</v>
      </c>
      <c r="E26" s="11">
        <f>SUM([1]Sheet1!E30,[1]Sheet1!E64,[1]Sheet1!E98,[1]Sheet1!E132)</f>
        <v>1648393.6499930669</v>
      </c>
      <c r="F26" s="11">
        <f>SUM([1]Sheet1!F30,[1]Sheet1!F64,[1]Sheet1!F98,[1]Sheet1!F132)</f>
        <v>1647080.5279278476</v>
      </c>
      <c r="G26" s="11">
        <f>SUM([1]Sheet1!G30,[1]Sheet1!G64,[1]Sheet1!G98,[1]Sheet1!G132)</f>
        <v>1641368.606366728</v>
      </c>
      <c r="H26" s="11">
        <f>SUM([1]Sheet1!H30,[1]Sheet1!H64,[1]Sheet1!H98,[1]Sheet1!H132)</f>
        <v>1631613.6750165243</v>
      </c>
      <c r="I26" s="11">
        <f>SUM([1]Sheet1!I30,[1]Sheet1!I64,[1]Sheet1!I98,[1]Sheet1!I132)</f>
        <v>1628201.3243612803</v>
      </c>
      <c r="J26" s="11">
        <f>SUM([1]Sheet1!J30,[1]Sheet1!J64,[1]Sheet1!J98,[1]Sheet1!J132)</f>
        <v>1635076.4155470515</v>
      </c>
      <c r="K26" s="11">
        <f>SUM([1]Sheet1!K30,[1]Sheet1!K64,[1]Sheet1!K98,[1]Sheet1!K132)</f>
        <v>1650240.4194820654</v>
      </c>
      <c r="L26" s="11">
        <f>SUM([1]Sheet1!L30,[1]Sheet1!L64,[1]Sheet1!L98,[1]Sheet1!L132)</f>
        <v>1672263.0024591726</v>
      </c>
      <c r="M26" s="11">
        <f>SUM([1]Sheet1!M30,[1]Sheet1!M64,[1]Sheet1!M98,[1]Sheet1!M132)</f>
        <v>1701559.395333301</v>
      </c>
      <c r="N26" s="11">
        <f>SUM([1]Sheet1!N30,[1]Sheet1!N64,[1]Sheet1!N98,[1]Sheet1!N132)</f>
        <v>1734822.4567588102</v>
      </c>
      <c r="O26" s="11">
        <f>SUM([1]Sheet1!O30,[1]Sheet1!O64,[1]Sheet1!O98,[1]Sheet1!O132)</f>
        <v>1774881.7709789618</v>
      </c>
      <c r="P26" s="11">
        <f>SUM([1]Sheet1!P30,[1]Sheet1!P64,[1]Sheet1!P98,[1]Sheet1!P132)</f>
        <v>1824490.1330635822</v>
      </c>
      <c r="Q26" s="11">
        <f>SUM([1]Sheet1!Q30,[1]Sheet1!Q64,[1]Sheet1!Q98,[1]Sheet1!Q132)</f>
        <v>1889949.50095712</v>
      </c>
      <c r="R26" s="11">
        <f>SUM([1]Sheet1!R30,[1]Sheet1!R64,[1]Sheet1!R98,[1]Sheet1!R132)</f>
        <v>1988075.9628010583</v>
      </c>
      <c r="S26" s="11">
        <f>SUM([1]Sheet1!S30,[1]Sheet1!S64,[1]Sheet1!S98,[1]Sheet1!S132)</f>
        <v>2100757.0553932535</v>
      </c>
      <c r="T26" s="11"/>
      <c r="U26" s="11"/>
      <c r="V26" s="11"/>
      <c r="W26" s="11"/>
      <c r="X26" s="11"/>
      <c r="Y26" s="11"/>
      <c r="Z26" s="11"/>
      <c r="AA26" s="11"/>
      <c r="AB26" s="11"/>
      <c r="AC26" s="11"/>
      <c r="AD26" s="11"/>
      <c r="AE26" s="11"/>
    </row>
    <row r="27" spans="2:31" ht="15">
      <c r="B27" t="s">
        <v>452</v>
      </c>
      <c r="C27" t="s">
        <v>443</v>
      </c>
      <c r="D27" s="11">
        <f>SUM([1]Sheet1!D31,[1]Sheet1!D65,[1]Sheet1!D99,[1]Sheet1!D133)</f>
        <v>1402027.6533103916</v>
      </c>
      <c r="E27" s="11">
        <f>SUM([1]Sheet1!E31,[1]Sheet1!E65,[1]Sheet1!E99,[1]Sheet1!E133)</f>
        <v>1426047.7995350761</v>
      </c>
      <c r="F27" s="11">
        <f>SUM([1]Sheet1!F31,[1]Sheet1!F65,[1]Sheet1!F99,[1]Sheet1!F133)</f>
        <v>1446181.664236455</v>
      </c>
      <c r="G27" s="11">
        <f>SUM([1]Sheet1!G31,[1]Sheet1!G65,[1]Sheet1!G99,[1]Sheet1!G133)</f>
        <v>1462550.4670548351</v>
      </c>
      <c r="H27" s="11">
        <f>SUM([1]Sheet1!H31,[1]Sheet1!H65,[1]Sheet1!H99,[1]Sheet1!H133)</f>
        <v>1475326.5846899687</v>
      </c>
      <c r="I27" s="11">
        <f>SUM([1]Sheet1!I31,[1]Sheet1!I65,[1]Sheet1!I99,[1]Sheet1!I133)</f>
        <v>1480037.3834871415</v>
      </c>
      <c r="J27" s="11">
        <f>SUM([1]Sheet1!J31,[1]Sheet1!J65,[1]Sheet1!J99,[1]Sheet1!J133)</f>
        <v>1482362.1489303762</v>
      </c>
      <c r="K27" s="11">
        <f>SUM([1]Sheet1!K31,[1]Sheet1!K65,[1]Sheet1!K99,[1]Sheet1!K133)</f>
        <v>1482190.3740225646</v>
      </c>
      <c r="L27" s="11">
        <f>SUM([1]Sheet1!L31,[1]Sheet1!L65,[1]Sheet1!L99,[1]Sheet1!L133)</f>
        <v>1485350.6397509782</v>
      </c>
      <c r="M27" s="11">
        <f>SUM([1]Sheet1!M31,[1]Sheet1!M65,[1]Sheet1!M99,[1]Sheet1!M133)</f>
        <v>1491688.9758731921</v>
      </c>
      <c r="N27" s="11">
        <f>SUM([1]Sheet1!N31,[1]Sheet1!N65,[1]Sheet1!N99,[1]Sheet1!N133)</f>
        <v>1504514.6858033563</v>
      </c>
      <c r="O27" s="11">
        <f>SUM([1]Sheet1!O31,[1]Sheet1!O65,[1]Sheet1!O99,[1]Sheet1!O133)</f>
        <v>1526365.4917804021</v>
      </c>
      <c r="P27" s="11">
        <f>SUM([1]Sheet1!P31,[1]Sheet1!P65,[1]Sheet1!P99,[1]Sheet1!P133)</f>
        <v>1555757.5692762183</v>
      </c>
      <c r="Q27" s="11">
        <f>SUM([1]Sheet1!Q31,[1]Sheet1!Q65,[1]Sheet1!Q99,[1]Sheet1!Q133)</f>
        <v>1588360.6352088805</v>
      </c>
      <c r="R27" s="11">
        <f>SUM([1]Sheet1!R31,[1]Sheet1!R65,[1]Sheet1!R99,[1]Sheet1!R133)</f>
        <v>1625854.9578729607</v>
      </c>
      <c r="S27" s="11">
        <f>SUM([1]Sheet1!S31,[1]Sheet1!S65,[1]Sheet1!S99,[1]Sheet1!S133)</f>
        <v>1667342.4943241461</v>
      </c>
      <c r="T27" s="11"/>
      <c r="U27" s="11"/>
      <c r="V27" s="11"/>
      <c r="W27" s="11"/>
      <c r="X27" s="11"/>
      <c r="Y27" s="11"/>
      <c r="Z27" s="11"/>
      <c r="AA27" s="11"/>
      <c r="AB27" s="11"/>
      <c r="AC27" s="11"/>
      <c r="AD27" s="11"/>
      <c r="AE27" s="11"/>
    </row>
    <row r="28" spans="2:31" ht="15">
      <c r="B28" t="s">
        <v>452</v>
      </c>
      <c r="C28" t="s">
        <v>444</v>
      </c>
      <c r="D28" s="11">
        <f>SUM([1]Sheet1!D32,[1]Sheet1!D66,[1]Sheet1!D100,[1]Sheet1!D134)</f>
        <v>1185286.6686835045</v>
      </c>
      <c r="E28" s="11">
        <f>SUM([1]Sheet1!E32,[1]Sheet1!E66,[1]Sheet1!E100,[1]Sheet1!E134)</f>
        <v>1212180.0515144526</v>
      </c>
      <c r="F28" s="11">
        <f>SUM([1]Sheet1!F32,[1]Sheet1!F66,[1]Sheet1!F100,[1]Sheet1!F134)</f>
        <v>1229803.769838739</v>
      </c>
      <c r="G28" s="11">
        <f>SUM([1]Sheet1!G32,[1]Sheet1!G66,[1]Sheet1!G100,[1]Sheet1!G134)</f>
        <v>1244678.3021730741</v>
      </c>
      <c r="H28" s="11">
        <f>SUM([1]Sheet1!H32,[1]Sheet1!H66,[1]Sheet1!H100,[1]Sheet1!H134)</f>
        <v>1257151.534425169</v>
      </c>
      <c r="I28" s="11">
        <f>SUM([1]Sheet1!I32,[1]Sheet1!I66,[1]Sheet1!I100,[1]Sheet1!I134)</f>
        <v>1276536.1545844846</v>
      </c>
      <c r="J28" s="11">
        <f>SUM([1]Sheet1!J32,[1]Sheet1!J66,[1]Sheet1!J100,[1]Sheet1!J134)</f>
        <v>1295031.4997696062</v>
      </c>
      <c r="K28" s="11">
        <f>SUM([1]Sheet1!K32,[1]Sheet1!K66,[1]Sheet1!K100,[1]Sheet1!K134)</f>
        <v>1313293.3848658905</v>
      </c>
      <c r="L28" s="11">
        <f>SUM([1]Sheet1!L32,[1]Sheet1!L66,[1]Sheet1!L100,[1]Sheet1!L134)</f>
        <v>1332685.5720439132</v>
      </c>
      <c r="M28" s="11">
        <f>SUM([1]Sheet1!M32,[1]Sheet1!M66,[1]Sheet1!M100,[1]Sheet1!M134)</f>
        <v>1353404.6592401951</v>
      </c>
      <c r="N28" s="11">
        <f>SUM([1]Sheet1!N32,[1]Sheet1!N66,[1]Sheet1!N100,[1]Sheet1!N134)</f>
        <v>1367540.3781677301</v>
      </c>
      <c r="O28" s="11">
        <f>SUM([1]Sheet1!O32,[1]Sheet1!O66,[1]Sheet1!O100,[1]Sheet1!O134)</f>
        <v>1379252.9572288878</v>
      </c>
      <c r="P28" s="11">
        <f>SUM([1]Sheet1!P32,[1]Sheet1!P66,[1]Sheet1!P100,[1]Sheet1!P134)</f>
        <v>1389633.6552545701</v>
      </c>
      <c r="Q28" s="11">
        <f>SUM([1]Sheet1!Q32,[1]Sheet1!Q66,[1]Sheet1!Q100,[1]Sheet1!Q134)</f>
        <v>1400866.5597875519</v>
      </c>
      <c r="R28" s="11">
        <f>SUM([1]Sheet1!R32,[1]Sheet1!R66,[1]Sheet1!R100,[1]Sheet1!R134)</f>
        <v>1413409.8626961445</v>
      </c>
      <c r="S28" s="11">
        <f>SUM([1]Sheet1!S32,[1]Sheet1!S66,[1]Sheet1!S100,[1]Sheet1!S134)</f>
        <v>1431997.4800720515</v>
      </c>
      <c r="T28" s="11"/>
      <c r="U28" s="11"/>
      <c r="V28" s="11"/>
      <c r="W28" s="11"/>
      <c r="X28" s="11"/>
      <c r="Y28" s="11"/>
      <c r="Z28" s="11"/>
      <c r="AA28" s="11"/>
      <c r="AB28" s="11"/>
      <c r="AC28" s="11"/>
      <c r="AD28" s="11"/>
      <c r="AE28" s="11"/>
    </row>
    <row r="29" spans="2:31" ht="15">
      <c r="B29" t="s">
        <v>452</v>
      </c>
      <c r="C29" t="s">
        <v>445</v>
      </c>
      <c r="D29" s="11">
        <f>SUM([1]Sheet1!D33,[1]Sheet1!D67,[1]Sheet1!D101,[1]Sheet1!D135)</f>
        <v>949477.85179764661</v>
      </c>
      <c r="E29" s="11">
        <f>SUM([1]Sheet1!E33,[1]Sheet1!E67,[1]Sheet1!E101,[1]Sheet1!E135)</f>
        <v>976492.80186083983</v>
      </c>
      <c r="F29" s="11">
        <f>SUM([1]Sheet1!F33,[1]Sheet1!F67,[1]Sheet1!F101,[1]Sheet1!F135)</f>
        <v>1005786.1024701949</v>
      </c>
      <c r="G29" s="11">
        <f>SUM([1]Sheet1!G33,[1]Sheet1!G67,[1]Sheet1!G101,[1]Sheet1!G135)</f>
        <v>1031518.1793366236</v>
      </c>
      <c r="H29" s="11">
        <f>SUM([1]Sheet1!H33,[1]Sheet1!H67,[1]Sheet1!H101,[1]Sheet1!H135)</f>
        <v>1053524.1967533666</v>
      </c>
      <c r="I29" s="11">
        <f>SUM([1]Sheet1!I33,[1]Sheet1!I67,[1]Sheet1!I101,[1]Sheet1!I135)</f>
        <v>1073534.8238687983</v>
      </c>
      <c r="J29" s="11">
        <f>SUM([1]Sheet1!J33,[1]Sheet1!J67,[1]Sheet1!J101,[1]Sheet1!J135)</f>
        <v>1096342.3754344773</v>
      </c>
      <c r="K29" s="11">
        <f>SUM([1]Sheet1!K33,[1]Sheet1!K67,[1]Sheet1!K101,[1]Sheet1!K135)</f>
        <v>1113999.7931359566</v>
      </c>
      <c r="L29" s="11">
        <f>SUM([1]Sheet1!L33,[1]Sheet1!L67,[1]Sheet1!L101,[1]Sheet1!L135)</f>
        <v>1132558.8040899946</v>
      </c>
      <c r="M29" s="11">
        <f>SUM([1]Sheet1!M33,[1]Sheet1!M67,[1]Sheet1!M101,[1]Sheet1!M135)</f>
        <v>1151946.2506453579</v>
      </c>
      <c r="N29" s="11">
        <f>SUM([1]Sheet1!N33,[1]Sheet1!N67,[1]Sheet1!N101,[1]Sheet1!N135)</f>
        <v>1177523.7123978951</v>
      </c>
      <c r="O29" s="11">
        <f>SUM([1]Sheet1!O33,[1]Sheet1!O67,[1]Sheet1!O101,[1]Sheet1!O135)</f>
        <v>1201280.2350876804</v>
      </c>
      <c r="P29" s="11">
        <f>SUM([1]Sheet1!P33,[1]Sheet1!P67,[1]Sheet1!P101,[1]Sheet1!P135)</f>
        <v>1225141.2891459155</v>
      </c>
      <c r="Q29" s="11">
        <f>SUM([1]Sheet1!Q33,[1]Sheet1!Q67,[1]Sheet1!Q101,[1]Sheet1!Q135)</f>
        <v>1249018.712737343</v>
      </c>
      <c r="R29" s="11">
        <f>SUM([1]Sheet1!R33,[1]Sheet1!R67,[1]Sheet1!R101,[1]Sheet1!R135)</f>
        <v>1273231.8512455071</v>
      </c>
      <c r="S29" s="11">
        <f>SUM([1]Sheet1!S33,[1]Sheet1!S67,[1]Sheet1!S101,[1]Sheet1!S135)</f>
        <v>1291517.6332961717</v>
      </c>
      <c r="T29" s="11"/>
      <c r="U29" s="11"/>
      <c r="V29" s="11"/>
      <c r="W29" s="11"/>
      <c r="X29" s="11"/>
      <c r="Y29" s="11"/>
      <c r="Z29" s="11"/>
      <c r="AA29" s="11"/>
      <c r="AB29" s="11"/>
      <c r="AC29" s="11"/>
      <c r="AD29" s="11"/>
      <c r="AE29" s="11"/>
    </row>
    <row r="30" spans="2:31" ht="15">
      <c r="B30" t="s">
        <v>452</v>
      </c>
      <c r="C30" t="s">
        <v>446</v>
      </c>
      <c r="D30" s="11">
        <f>SUM([1]Sheet1!D34,[1]Sheet1!D68,[1]Sheet1!D102,[1]Sheet1!D136)</f>
        <v>722286.31152572448</v>
      </c>
      <c r="E30" s="11">
        <f>SUM([1]Sheet1!E34,[1]Sheet1!E68,[1]Sheet1!E102,[1]Sheet1!E136)</f>
        <v>751445.26964750758</v>
      </c>
      <c r="F30" s="11">
        <f>SUM([1]Sheet1!F34,[1]Sheet1!F68,[1]Sheet1!F102,[1]Sheet1!F136)</f>
        <v>780700.01735918468</v>
      </c>
      <c r="G30" s="11">
        <f>SUM([1]Sheet1!G34,[1]Sheet1!G68,[1]Sheet1!G102,[1]Sheet1!G136)</f>
        <v>808676.66620096681</v>
      </c>
      <c r="H30" s="11">
        <f>SUM([1]Sheet1!H34,[1]Sheet1!H68,[1]Sheet1!H102,[1]Sheet1!H136)</f>
        <v>835139.93541952036</v>
      </c>
      <c r="I30" s="11">
        <f>SUM([1]Sheet1!I34,[1]Sheet1!I68,[1]Sheet1!I102,[1]Sheet1!I136)</f>
        <v>860929.86577172263</v>
      </c>
      <c r="J30" s="11">
        <f>SUM([1]Sheet1!J34,[1]Sheet1!J68,[1]Sheet1!J102,[1]Sheet1!J136)</f>
        <v>884138.63359455403</v>
      </c>
      <c r="K30" s="11">
        <f>SUM([1]Sheet1!K34,[1]Sheet1!K68,[1]Sheet1!K102,[1]Sheet1!K136)</f>
        <v>911154.64417336159</v>
      </c>
      <c r="L30" s="11">
        <f>SUM([1]Sheet1!L34,[1]Sheet1!L68,[1]Sheet1!L102,[1]Sheet1!L136)</f>
        <v>937038.0034977179</v>
      </c>
      <c r="M30" s="11">
        <f>SUM([1]Sheet1!M34,[1]Sheet1!M68,[1]Sheet1!M102,[1]Sheet1!M136)</f>
        <v>961567.66880797932</v>
      </c>
      <c r="N30" s="11">
        <f>SUM([1]Sheet1!N34,[1]Sheet1!N68,[1]Sheet1!N102,[1]Sheet1!N136)</f>
        <v>984498.89171542041</v>
      </c>
      <c r="O30" s="11">
        <f>SUM([1]Sheet1!O34,[1]Sheet1!O68,[1]Sheet1!O102,[1]Sheet1!O136)</f>
        <v>1009743.0101484504</v>
      </c>
      <c r="P30" s="11">
        <f>SUM([1]Sheet1!P34,[1]Sheet1!P68,[1]Sheet1!P102,[1]Sheet1!P136)</f>
        <v>1030315.2787757869</v>
      </c>
      <c r="Q30" s="11">
        <f>SUM([1]Sheet1!Q34,[1]Sheet1!Q68,[1]Sheet1!Q102,[1]Sheet1!Q136)</f>
        <v>1051283.4096340453</v>
      </c>
      <c r="R30" s="11">
        <f>SUM([1]Sheet1!R34,[1]Sheet1!R68,[1]Sheet1!R102,[1]Sheet1!R136)</f>
        <v>1072703.8580674867</v>
      </c>
      <c r="S30" s="11">
        <f>SUM([1]Sheet1!S34,[1]Sheet1!S68,[1]Sheet1!S102,[1]Sheet1!S136)</f>
        <v>1100143.2667125042</v>
      </c>
      <c r="T30" s="11"/>
      <c r="U30" s="11"/>
      <c r="V30" s="11"/>
      <c r="W30" s="11"/>
      <c r="X30" s="11"/>
      <c r="Y30" s="11"/>
      <c r="Z30" s="11"/>
      <c r="AA30" s="11"/>
      <c r="AB30" s="11"/>
      <c r="AC30" s="11"/>
      <c r="AD30" s="11"/>
      <c r="AE30" s="11"/>
    </row>
    <row r="31" spans="2:31" ht="15">
      <c r="B31" t="s">
        <v>452</v>
      </c>
      <c r="C31" t="s">
        <v>447</v>
      </c>
      <c r="D31" s="11">
        <f>SUM([1]Sheet1!D35,[1]Sheet1!D69,[1]Sheet1!D103,[1]Sheet1!D137)</f>
        <v>579859.29014261253</v>
      </c>
      <c r="E31" s="11">
        <f>SUM([1]Sheet1!E35,[1]Sheet1!E69,[1]Sheet1!E103,[1]Sheet1!E137)</f>
        <v>586477.31331067183</v>
      </c>
      <c r="F31" s="11">
        <f>SUM([1]Sheet1!F35,[1]Sheet1!F69,[1]Sheet1!F103,[1]Sheet1!F137)</f>
        <v>595533.83680261578</v>
      </c>
      <c r="G31" s="11">
        <f>SUM([1]Sheet1!G35,[1]Sheet1!G69,[1]Sheet1!G103,[1]Sheet1!G137)</f>
        <v>608700.04422071308</v>
      </c>
      <c r="H31" s="11">
        <f>SUM([1]Sheet1!H35,[1]Sheet1!H69,[1]Sheet1!H103,[1]Sheet1!H137)</f>
        <v>626289.22538925719</v>
      </c>
      <c r="I31" s="11">
        <f>SUM([1]Sheet1!I35,[1]Sheet1!I69,[1]Sheet1!I103,[1]Sheet1!I137)</f>
        <v>647565.07854951231</v>
      </c>
      <c r="J31" s="11">
        <f>SUM([1]Sheet1!J35,[1]Sheet1!J69,[1]Sheet1!J103,[1]Sheet1!J137)</f>
        <v>672946.84471890435</v>
      </c>
      <c r="K31" s="11">
        <f>SUM([1]Sheet1!K35,[1]Sheet1!K69,[1]Sheet1!K103,[1]Sheet1!K137)</f>
        <v>699478.09910990612</v>
      </c>
      <c r="L31" s="11">
        <f>SUM([1]Sheet1!L35,[1]Sheet1!L69,[1]Sheet1!L103,[1]Sheet1!L137)</f>
        <v>725921.38743100991</v>
      </c>
      <c r="M31" s="11">
        <f>SUM([1]Sheet1!M35,[1]Sheet1!M69,[1]Sheet1!M103,[1]Sheet1!M137)</f>
        <v>752044.31814723636</v>
      </c>
      <c r="N31" s="11">
        <f>SUM([1]Sheet1!N35,[1]Sheet1!N69,[1]Sheet1!N103,[1]Sheet1!N137)</f>
        <v>777887.54297075502</v>
      </c>
      <c r="O31" s="11">
        <f>SUM([1]Sheet1!O35,[1]Sheet1!O69,[1]Sheet1!O103,[1]Sheet1!O137)</f>
        <v>801253.22127470921</v>
      </c>
      <c r="P31" s="11">
        <f>SUM([1]Sheet1!P35,[1]Sheet1!P69,[1]Sheet1!P103,[1]Sheet1!P137)</f>
        <v>828062.99635831267</v>
      </c>
      <c r="Q31" s="11">
        <f>SUM([1]Sheet1!Q35,[1]Sheet1!Q69,[1]Sheet1!Q103,[1]Sheet1!Q137)</f>
        <v>853879.26115851325</v>
      </c>
      <c r="R31" s="11">
        <f>SUM([1]Sheet1!R35,[1]Sheet1!R69,[1]Sheet1!R103,[1]Sheet1!R137)</f>
        <v>878542.47269662272</v>
      </c>
      <c r="S31" s="11">
        <f>SUM([1]Sheet1!S35,[1]Sheet1!S69,[1]Sheet1!S103,[1]Sheet1!S137)</f>
        <v>902078.93905384874</v>
      </c>
      <c r="T31" s="11"/>
      <c r="U31" s="11"/>
      <c r="V31" s="11"/>
      <c r="W31" s="11"/>
      <c r="X31" s="11"/>
      <c r="Y31" s="11"/>
      <c r="Z31" s="11"/>
      <c r="AA31" s="11"/>
      <c r="AB31" s="11"/>
      <c r="AC31" s="11"/>
      <c r="AD31" s="11"/>
      <c r="AE31" s="11"/>
    </row>
    <row r="32" spans="2:31" ht="15">
      <c r="B32" t="s">
        <v>452</v>
      </c>
      <c r="C32" t="s">
        <v>448</v>
      </c>
      <c r="D32" s="11">
        <f>SUM([1]Sheet1!D36,[1]Sheet1!D70,[1]Sheet1!D104,[1]Sheet1!D138)</f>
        <v>474393.7267580537</v>
      </c>
      <c r="E32" s="11">
        <f>SUM([1]Sheet1!E36,[1]Sheet1!E70,[1]Sheet1!E104,[1]Sheet1!E138)</f>
        <v>481697.5782976193</v>
      </c>
      <c r="F32" s="11">
        <f>SUM([1]Sheet1!F36,[1]Sheet1!F70,[1]Sheet1!F104,[1]Sheet1!F138)</f>
        <v>489029.48482408409</v>
      </c>
      <c r="G32" s="11">
        <f>SUM([1]Sheet1!G36,[1]Sheet1!G70,[1]Sheet1!G104,[1]Sheet1!G138)</f>
        <v>495387.364034909</v>
      </c>
      <c r="H32" s="11">
        <f>SUM([1]Sheet1!H36,[1]Sheet1!H70,[1]Sheet1!H104,[1]Sheet1!H138)</f>
        <v>500270.85879412695</v>
      </c>
      <c r="I32" s="11">
        <f>SUM([1]Sheet1!I36,[1]Sheet1!I70,[1]Sheet1!I104,[1]Sheet1!I138)</f>
        <v>505209.03593906143</v>
      </c>
      <c r="J32" s="11">
        <f>SUM([1]Sheet1!J36,[1]Sheet1!J70,[1]Sheet1!J104,[1]Sheet1!J138)</f>
        <v>510586.15628505149</v>
      </c>
      <c r="K32" s="11">
        <f>SUM([1]Sheet1!K36,[1]Sheet1!K70,[1]Sheet1!K104,[1]Sheet1!K138)</f>
        <v>518760.87387394276</v>
      </c>
      <c r="L32" s="11">
        <f>SUM([1]Sheet1!L36,[1]Sheet1!L70,[1]Sheet1!L104,[1]Sheet1!L138)</f>
        <v>531047.17987147905</v>
      </c>
      <c r="M32" s="11">
        <f>SUM([1]Sheet1!M36,[1]Sheet1!M70,[1]Sheet1!M104,[1]Sheet1!M138)</f>
        <v>547708.14483689261</v>
      </c>
      <c r="N32" s="11">
        <f>SUM([1]Sheet1!N36,[1]Sheet1!N70,[1]Sheet1!N104,[1]Sheet1!N138)</f>
        <v>567858.43879863666</v>
      </c>
      <c r="O32" s="11">
        <f>SUM([1]Sheet1!O36,[1]Sheet1!O70,[1]Sheet1!O104,[1]Sheet1!O138)</f>
        <v>591642.34661036427</v>
      </c>
      <c r="P32" s="11">
        <f>SUM([1]Sheet1!P36,[1]Sheet1!P70,[1]Sheet1!P104,[1]Sheet1!P138)</f>
        <v>616439.74896170804</v>
      </c>
      <c r="Q32" s="11">
        <f>SUM([1]Sheet1!Q36,[1]Sheet1!Q70,[1]Sheet1!Q104,[1]Sheet1!Q138)</f>
        <v>641350.96363445302</v>
      </c>
      <c r="R32" s="11">
        <f>SUM([1]Sheet1!R36,[1]Sheet1!R70,[1]Sheet1!R104,[1]Sheet1!R138)</f>
        <v>666207.04724138137</v>
      </c>
      <c r="S32" s="11">
        <f>SUM([1]Sheet1!S36,[1]Sheet1!S70,[1]Sheet1!S104,[1]Sheet1!S138)</f>
        <v>691114.03464364854</v>
      </c>
      <c r="T32" s="11"/>
      <c r="U32" s="11"/>
      <c r="V32" s="11"/>
      <c r="W32" s="11"/>
      <c r="X32" s="11"/>
      <c r="Y32" s="11"/>
      <c r="Z32" s="11"/>
      <c r="AA32" s="11"/>
      <c r="AB32" s="11"/>
      <c r="AC32" s="11"/>
      <c r="AD32" s="11"/>
      <c r="AE32" s="11"/>
    </row>
    <row r="33" spans="2:31" ht="15">
      <c r="B33" t="s">
        <v>452</v>
      </c>
      <c r="C33" t="s">
        <v>449</v>
      </c>
      <c r="D33" s="11">
        <f>SUM([1]Sheet1!D37,[1]Sheet1!D71,[1]Sheet1!D105,[1]Sheet1!D139)</f>
        <v>371655.21540191147</v>
      </c>
      <c r="E33" s="11">
        <f>SUM([1]Sheet1!E37,[1]Sheet1!E71,[1]Sheet1!E105,[1]Sheet1!E139)</f>
        <v>374262.55318544898</v>
      </c>
      <c r="F33" s="11">
        <f>SUM([1]Sheet1!F37,[1]Sheet1!F71,[1]Sheet1!F105,[1]Sheet1!F139)</f>
        <v>377635.51464126806</v>
      </c>
      <c r="G33" s="11">
        <f>SUM([1]Sheet1!G37,[1]Sheet1!G71,[1]Sheet1!G105,[1]Sheet1!G139)</f>
        <v>381662.81915635173</v>
      </c>
      <c r="H33" s="11">
        <f>SUM([1]Sheet1!H37,[1]Sheet1!H71,[1]Sheet1!H105,[1]Sheet1!H139)</f>
        <v>386126.63213597971</v>
      </c>
      <c r="I33" s="11">
        <f>SUM([1]Sheet1!I37,[1]Sheet1!I71,[1]Sheet1!I105,[1]Sheet1!I139)</f>
        <v>390986.28367846878</v>
      </c>
      <c r="J33" s="11">
        <f>SUM([1]Sheet1!J37,[1]Sheet1!J71,[1]Sheet1!J105,[1]Sheet1!J139)</f>
        <v>397112.55605826969</v>
      </c>
      <c r="K33" s="11">
        <f>SUM([1]Sheet1!K37,[1]Sheet1!K71,[1]Sheet1!K105,[1]Sheet1!K139)</f>
        <v>403599.78575393843</v>
      </c>
      <c r="L33" s="11">
        <f>SUM([1]Sheet1!L37,[1]Sheet1!L71,[1]Sheet1!L105,[1]Sheet1!L139)</f>
        <v>409495.85077769216</v>
      </c>
      <c r="M33" s="11">
        <f>SUM([1]Sheet1!M37,[1]Sheet1!M71,[1]Sheet1!M105,[1]Sheet1!M139)</f>
        <v>414417.79793791147</v>
      </c>
      <c r="N33" s="11">
        <f>SUM([1]Sheet1!N37,[1]Sheet1!N71,[1]Sheet1!N105,[1]Sheet1!N139)</f>
        <v>419591.22075584391</v>
      </c>
      <c r="O33" s="11">
        <f>SUM([1]Sheet1!O37,[1]Sheet1!O71,[1]Sheet1!O105,[1]Sheet1!O139)</f>
        <v>425242.68091680569</v>
      </c>
      <c r="P33" s="11">
        <f>SUM([1]Sheet1!P37,[1]Sheet1!P71,[1]Sheet1!P105,[1]Sheet1!P139)</f>
        <v>433225.90586201445</v>
      </c>
      <c r="Q33" s="11">
        <f>SUM([1]Sheet1!Q37,[1]Sheet1!Q71,[1]Sheet1!Q105,[1]Sheet1!Q139)</f>
        <v>444868.43200232484</v>
      </c>
      <c r="R33" s="11">
        <f>SUM([1]Sheet1!R37,[1]Sheet1!R71,[1]Sheet1!R105,[1]Sheet1!R139)</f>
        <v>460368.13310133823</v>
      </c>
      <c r="S33" s="11">
        <f>SUM([1]Sheet1!S37,[1]Sheet1!S71,[1]Sheet1!S105,[1]Sheet1!S139)</f>
        <v>478972.09715614846</v>
      </c>
      <c r="T33" s="11"/>
      <c r="U33" s="11"/>
      <c r="V33" s="11"/>
      <c r="W33" s="11"/>
      <c r="X33" s="11"/>
      <c r="Y33" s="11"/>
      <c r="Z33" s="11"/>
      <c r="AA33" s="11"/>
      <c r="AB33" s="11"/>
      <c r="AC33" s="11"/>
      <c r="AD33" s="11"/>
      <c r="AE33" s="11"/>
    </row>
    <row r="34" spans="2:31" ht="15">
      <c r="B34" t="s">
        <v>452</v>
      </c>
      <c r="C34" t="s">
        <v>450</v>
      </c>
      <c r="D34" s="11">
        <f>SUM([1]Sheet1!D38,[1]Sheet1!D72,[1]Sheet1!D106,[1]Sheet1!D140)</f>
        <v>273180.08970414108</v>
      </c>
      <c r="E34" s="11">
        <f>SUM([1]Sheet1!E38,[1]Sheet1!E72,[1]Sheet1!E106,[1]Sheet1!E140)</f>
        <v>274237.92090230802</v>
      </c>
      <c r="F34" s="11">
        <f>SUM([1]Sheet1!F38,[1]Sheet1!F72,[1]Sheet1!F106,[1]Sheet1!F140)</f>
        <v>275250.01956567995</v>
      </c>
      <c r="G34" s="11">
        <f>SUM([1]Sheet1!G38,[1]Sheet1!G72,[1]Sheet1!G106,[1]Sheet1!G140)</f>
        <v>276531.01584473468</v>
      </c>
      <c r="H34" s="11">
        <f>SUM([1]Sheet1!H38,[1]Sheet1!H72,[1]Sheet1!H106,[1]Sheet1!H140)</f>
        <v>278983.34139685013</v>
      </c>
      <c r="I34" s="11">
        <f>SUM([1]Sheet1!I38,[1]Sheet1!I72,[1]Sheet1!I106,[1]Sheet1!I140)</f>
        <v>280838.12280753377</v>
      </c>
      <c r="J34" s="11">
        <f>SUM([1]Sheet1!J38,[1]Sheet1!J72,[1]Sheet1!J106,[1]Sheet1!J140)</f>
        <v>282987.5980975742</v>
      </c>
      <c r="K34" s="11">
        <f>SUM([1]Sheet1!K38,[1]Sheet1!K72,[1]Sheet1!K106,[1]Sheet1!K140)</f>
        <v>285919.2350515186</v>
      </c>
      <c r="L34" s="11">
        <f>SUM([1]Sheet1!L38,[1]Sheet1!L72,[1]Sheet1!L106,[1]Sheet1!L140)</f>
        <v>289540.11717371986</v>
      </c>
      <c r="M34" s="11">
        <f>SUM([1]Sheet1!M38,[1]Sheet1!M72,[1]Sheet1!M106,[1]Sheet1!M140)</f>
        <v>293762.26792329375</v>
      </c>
      <c r="N34" s="11">
        <f>SUM([1]Sheet1!N38,[1]Sheet1!N72,[1]Sheet1!N106,[1]Sheet1!N140)</f>
        <v>298556.00785643171</v>
      </c>
      <c r="O34" s="11">
        <f>SUM([1]Sheet1!O38,[1]Sheet1!O72,[1]Sheet1!O106,[1]Sheet1!O140)</f>
        <v>304423.30081951967</v>
      </c>
      <c r="P34" s="11">
        <f>SUM([1]Sheet1!P38,[1]Sheet1!P72,[1]Sheet1!P106,[1]Sheet1!P140)</f>
        <v>310506.6375825085</v>
      </c>
      <c r="Q34" s="11">
        <f>SUM([1]Sheet1!Q38,[1]Sheet1!Q72,[1]Sheet1!Q106,[1]Sheet1!Q140)</f>
        <v>316277.61357724422</v>
      </c>
      <c r="R34" s="11">
        <f>SUM([1]Sheet1!R38,[1]Sheet1!R72,[1]Sheet1!R106,[1]Sheet1!R140)</f>
        <v>321439.12865788402</v>
      </c>
      <c r="S34" s="11">
        <f>SUM([1]Sheet1!S38,[1]Sheet1!S72,[1]Sheet1!S106,[1]Sheet1!S140)</f>
        <v>326870.72170895571</v>
      </c>
      <c r="T34" s="11"/>
      <c r="U34" s="11"/>
      <c r="V34" s="11"/>
      <c r="W34" s="11"/>
      <c r="X34" s="11"/>
      <c r="Y34" s="11"/>
      <c r="Z34" s="11"/>
      <c r="AA34" s="11"/>
      <c r="AB34" s="11"/>
      <c r="AC34" s="11"/>
      <c r="AD34" s="11"/>
      <c r="AE34" s="11"/>
    </row>
    <row r="35" spans="2:31" ht="15">
      <c r="B35" t="s">
        <v>452</v>
      </c>
      <c r="C35" t="s">
        <v>451</v>
      </c>
      <c r="D35" s="11">
        <f>SUM([1]Sheet1!D39,[1]Sheet1!D73,[1]Sheet1!D107,[1]Sheet1!D141)</f>
        <v>279694.58470269787</v>
      </c>
      <c r="E35" s="11">
        <f>SUM([1]Sheet1!E39,[1]Sheet1!E73,[1]Sheet1!E107,[1]Sheet1!E141)</f>
        <v>285227.91579977871</v>
      </c>
      <c r="F35" s="11">
        <f>SUM([1]Sheet1!F39,[1]Sheet1!F73,[1]Sheet1!F107,[1]Sheet1!F141)</f>
        <v>290369.8776623311</v>
      </c>
      <c r="G35" s="11">
        <f>SUM([1]Sheet1!G39,[1]Sheet1!G73,[1]Sheet1!G107,[1]Sheet1!G141)</f>
        <v>295228.9225389277</v>
      </c>
      <c r="H35" s="11">
        <f>SUM([1]Sheet1!H39,[1]Sheet1!H73,[1]Sheet1!H107,[1]Sheet1!H141)</f>
        <v>299361.22032538091</v>
      </c>
      <c r="I35" s="11">
        <f>SUM([1]Sheet1!I39,[1]Sheet1!I73,[1]Sheet1!I107,[1]Sheet1!I141)</f>
        <v>303288.75716719741</v>
      </c>
      <c r="J35" s="11">
        <f>SUM([1]Sheet1!J39,[1]Sheet1!J73,[1]Sheet1!J107,[1]Sheet1!J141)</f>
        <v>307157.49394098722</v>
      </c>
      <c r="K35" s="11">
        <f>SUM([1]Sheet1!K39,[1]Sheet1!K73,[1]Sheet1!K107,[1]Sheet1!K141)</f>
        <v>310937.4036083002</v>
      </c>
      <c r="L35" s="11">
        <f>SUM([1]Sheet1!L39,[1]Sheet1!L73,[1]Sheet1!L107,[1]Sheet1!L141)</f>
        <v>314828.56950708921</v>
      </c>
      <c r="M35" s="11">
        <f>SUM([1]Sheet1!M39,[1]Sheet1!M73,[1]Sheet1!M107,[1]Sheet1!M141)</f>
        <v>319165.17952786206</v>
      </c>
      <c r="N35" s="11">
        <f>SUM([1]Sheet1!N39,[1]Sheet1!N73,[1]Sheet1!N107,[1]Sheet1!N141)</f>
        <v>323218.44711834978</v>
      </c>
      <c r="O35" s="11">
        <f>SUM([1]Sheet1!O39,[1]Sheet1!O73,[1]Sheet1!O107,[1]Sheet1!O141)</f>
        <v>327531.57993903873</v>
      </c>
      <c r="P35" s="11">
        <f>SUM([1]Sheet1!P39,[1]Sheet1!P73,[1]Sheet1!P107,[1]Sheet1!P141)</f>
        <v>332295.40131270362</v>
      </c>
      <c r="Q35" s="11">
        <f>SUM([1]Sheet1!Q39,[1]Sheet1!Q73,[1]Sheet1!Q107,[1]Sheet1!Q141)</f>
        <v>337931.54167997214</v>
      </c>
      <c r="R35" s="11">
        <f>SUM([1]Sheet1!R39,[1]Sheet1!R73,[1]Sheet1!R107,[1]Sheet1!R141)</f>
        <v>344537.11959620623</v>
      </c>
      <c r="S35" s="11">
        <f>SUM([1]Sheet1!S39,[1]Sheet1!S73,[1]Sheet1!S107,[1]Sheet1!S141)</f>
        <v>351469.05435617664</v>
      </c>
      <c r="T35" s="11"/>
      <c r="U35" s="11"/>
      <c r="V35" s="11"/>
      <c r="W35" s="11"/>
      <c r="X35" s="11"/>
      <c r="Y35" s="11"/>
      <c r="Z35" s="11"/>
      <c r="AA35" s="11"/>
      <c r="AB35" s="11"/>
      <c r="AC35" s="11"/>
      <c r="AD35" s="11"/>
      <c r="AE35" s="11"/>
    </row>
    <row r="36" spans="2:31" ht="15">
      <c r="B36" t="s">
        <v>224</v>
      </c>
      <c r="C36" t="s">
        <v>435</v>
      </c>
      <c r="D36" s="11">
        <f t="shared" si="0" ref="D36:D52">SUM(D2,D19)</f>
        <v>4697820.5122410664</v>
      </c>
      <c r="E36" s="11">
        <f t="shared" si="1" ref="E36:S51">SUM(E2,E19)</f>
        <v>4698402.6048558075</v>
      </c>
      <c r="F36" s="11">
        <f t="shared" si="1"/>
        <v>4759731.9630162381</v>
      </c>
      <c r="G36" s="11">
        <f t="shared" si="1"/>
        <v>4857971.330210804</v>
      </c>
      <c r="H36" s="11">
        <f t="shared" si="1"/>
        <v>5020631.7484219484</v>
      </c>
      <c r="I36" s="11">
        <f t="shared" si="1"/>
        <v>5222808.5423941836</v>
      </c>
      <c r="J36" s="11">
        <f t="shared" si="1"/>
        <v>5433525.2899802541</v>
      </c>
      <c r="K36" s="11">
        <f t="shared" si="1"/>
        <v>5588950.1490501203</v>
      </c>
      <c r="L36" s="11">
        <f t="shared" si="1"/>
        <v>5700026.7988925818</v>
      </c>
      <c r="M36" s="11">
        <f t="shared" si="1"/>
        <v>5769437.3310408201</v>
      </c>
      <c r="N36" s="11">
        <f t="shared" si="1"/>
        <v>5805727.9035257213</v>
      </c>
      <c r="O36" s="11">
        <f t="shared" si="1"/>
        <v>5828175.9047581274</v>
      </c>
      <c r="P36" s="11">
        <f t="shared" si="1"/>
        <v>5846550.9662068784</v>
      </c>
      <c r="Q36" s="11">
        <f t="shared" si="1"/>
        <v>5861094.4556676559</v>
      </c>
      <c r="R36" s="11">
        <f t="shared" si="1"/>
        <v>5869443.4993243525</v>
      </c>
      <c r="S36" s="11">
        <f t="shared" si="1"/>
        <v>5866573.2623054031</v>
      </c>
      <c r="T36" s="11"/>
      <c r="U36" s="11"/>
      <c r="V36" s="11"/>
      <c r="W36" s="11"/>
      <c r="X36" s="11"/>
      <c r="Y36" s="11"/>
      <c r="Z36" s="11"/>
      <c r="AA36" s="11"/>
      <c r="AB36" s="11"/>
      <c r="AC36" s="11"/>
      <c r="AD36" s="11"/>
      <c r="AE36" s="11"/>
    </row>
    <row r="37" spans="2:31" ht="15">
      <c r="B37" t="s">
        <v>224</v>
      </c>
      <c r="C37" t="s">
        <v>436</v>
      </c>
      <c r="D37" s="11">
        <f t="shared" si="0"/>
        <v>4983411.8163073836</v>
      </c>
      <c r="E37" s="11">
        <f t="shared" si="2" ref="E37:S37">SUM(E3,E20)</f>
        <v>4891932.5758539271</v>
      </c>
      <c r="F37" s="11">
        <f t="shared" si="2"/>
        <v>4814013.2774854433</v>
      </c>
      <c r="G37" s="11">
        <f t="shared" si="2"/>
        <v>4757924.3785093501</v>
      </c>
      <c r="H37" s="11">
        <f t="shared" si="2"/>
        <v>4694787.6396366144</v>
      </c>
      <c r="I37" s="11">
        <f t="shared" si="2"/>
        <v>4657269.9445202081</v>
      </c>
      <c r="J37" s="11">
        <f t="shared" si="2"/>
        <v>4643168.8713116283</v>
      </c>
      <c r="K37" s="11">
        <f t="shared" si="2"/>
        <v>4691151.8366500847</v>
      </c>
      <c r="L37" s="11">
        <f t="shared" si="2"/>
        <v>4775934.4722853657</v>
      </c>
      <c r="M37" s="11">
        <f t="shared" si="2"/>
        <v>4925348.9002416339</v>
      </c>
      <c r="N37" s="11">
        <f t="shared" si="2"/>
        <v>5121035.5907415142</v>
      </c>
      <c r="O37" s="11">
        <f t="shared" si="2"/>
        <v>5330721.6084056925</v>
      </c>
      <c r="P37" s="11">
        <f t="shared" si="2"/>
        <v>5495805.9792146003</v>
      </c>
      <c r="Q37" s="11">
        <f t="shared" si="2"/>
        <v>5622986.0157818422</v>
      </c>
      <c r="R37" s="11">
        <f t="shared" si="2"/>
        <v>5709348.2866885001</v>
      </c>
      <c r="S37" s="11">
        <f t="shared" si="2"/>
        <v>5764576.0946937352</v>
      </c>
      <c r="T37" s="11"/>
      <c r="U37" s="11"/>
      <c r="V37" s="11"/>
      <c r="W37" s="11"/>
      <c r="X37" s="11"/>
      <c r="Y37" s="11"/>
      <c r="Z37" s="11"/>
      <c r="AA37" s="11"/>
      <c r="AB37" s="11"/>
      <c r="AC37" s="11"/>
      <c r="AD37" s="11"/>
      <c r="AE37" s="11"/>
    </row>
    <row r="38" spans="2:31" ht="15">
      <c r="B38" t="s">
        <v>224</v>
      </c>
      <c r="C38" t="s">
        <v>437</v>
      </c>
      <c r="D38" s="11">
        <f t="shared" si="0"/>
        <v>5320971.0521792732</v>
      </c>
      <c r="E38" s="11">
        <f t="shared" si="1"/>
        <v>5284400.4761395156</v>
      </c>
      <c r="F38" s="11">
        <f t="shared" si="1"/>
        <v>5226983.979355881</v>
      </c>
      <c r="G38" s="11">
        <f t="shared" si="1"/>
        <v>5161811.2187047191</v>
      </c>
      <c r="H38" s="11">
        <f t="shared" si="1"/>
        <v>5093426.2908285186</v>
      </c>
      <c r="I38" s="11">
        <f t="shared" si="1"/>
        <v>4995641.7807937022</v>
      </c>
      <c r="J38" s="11">
        <f t="shared" si="1"/>
        <v>4884950.3298664819</v>
      </c>
      <c r="K38" s="11">
        <f t="shared" si="1"/>
        <v>4792904.4238566328</v>
      </c>
      <c r="L38" s="11">
        <f t="shared" si="1"/>
        <v>4723490.7909114994</v>
      </c>
      <c r="M38" s="11">
        <f t="shared" si="1"/>
        <v>4648702.2401240747</v>
      </c>
      <c r="N38" s="11">
        <f t="shared" si="1"/>
        <v>4606189.5566004887</v>
      </c>
      <c r="O38" s="11">
        <f t="shared" si="1"/>
        <v>4591699.2251891289</v>
      </c>
      <c r="P38" s="11">
        <f t="shared" si="1"/>
        <v>4639748.7174142683</v>
      </c>
      <c r="Q38" s="11">
        <f t="shared" si="1"/>
        <v>4729279.5312325526</v>
      </c>
      <c r="R38" s="11">
        <f t="shared" si="1"/>
        <v>4886875.6265700087</v>
      </c>
      <c r="S38" s="11">
        <f t="shared" si="1"/>
        <v>5093681.3804211207</v>
      </c>
      <c r="T38" s="11"/>
      <c r="U38" s="11"/>
      <c r="V38" s="11"/>
      <c r="W38" s="11"/>
      <c r="X38" s="11"/>
      <c r="Y38" s="11"/>
      <c r="Z38" s="11"/>
      <c r="AA38" s="11"/>
      <c r="AB38" s="11"/>
      <c r="AC38" s="11"/>
      <c r="AD38" s="11"/>
      <c r="AE38" s="11"/>
    </row>
    <row r="39" spans="2:31" ht="15">
      <c r="B39" t="s">
        <v>224</v>
      </c>
      <c r="C39" t="s">
        <v>438</v>
      </c>
      <c r="D39" s="11">
        <f t="shared" si="0"/>
        <v>5076798.1927213157</v>
      </c>
      <c r="E39" s="11">
        <f t="shared" si="1"/>
        <v>5195464.9990910683</v>
      </c>
      <c r="F39" s="11">
        <f t="shared" si="1"/>
        <v>5293477.0683504948</v>
      </c>
      <c r="G39" s="11">
        <f t="shared" si="1"/>
        <v>5358242.7906284668</v>
      </c>
      <c r="H39" s="11">
        <f t="shared" si="1"/>
        <v>5368190.1057142578</v>
      </c>
      <c r="I39" s="11">
        <f t="shared" si="1"/>
        <v>5343289.386210626</v>
      </c>
      <c r="J39" s="11">
        <f t="shared" si="1"/>
        <v>5287581.1843633913</v>
      </c>
      <c r="K39" s="11">
        <f t="shared" si="1"/>
        <v>5215435.1797855105</v>
      </c>
      <c r="L39" s="11">
        <f t="shared" si="1"/>
        <v>5135644.2428356484</v>
      </c>
      <c r="M39" s="11">
        <f t="shared" si="1"/>
        <v>5053741.8525159284</v>
      </c>
      <c r="N39" s="11">
        <f t="shared" si="1"/>
        <v>4950336.9248773269</v>
      </c>
      <c r="O39" s="11">
        <f t="shared" si="1"/>
        <v>4839691.4459874202</v>
      </c>
      <c r="P39" s="11">
        <f t="shared" si="1"/>
        <v>4748961.5771975182</v>
      </c>
      <c r="Q39" s="11">
        <f t="shared" si="1"/>
        <v>4686026.7926050108</v>
      </c>
      <c r="R39" s="11">
        <f t="shared" si="1"/>
        <v>4622027.5983534344</v>
      </c>
      <c r="S39" s="11">
        <f t="shared" si="1"/>
        <v>4592001.3701133449</v>
      </c>
      <c r="T39" s="11"/>
      <c r="U39" s="11"/>
      <c r="V39" s="11"/>
      <c r="W39" s="11"/>
      <c r="X39" s="11"/>
      <c r="Y39" s="11"/>
      <c r="Z39" s="11"/>
      <c r="AA39" s="11"/>
      <c r="AB39" s="11"/>
      <c r="AC39" s="11"/>
      <c r="AD39" s="11"/>
      <c r="AE39" s="11"/>
    </row>
    <row r="40" spans="2:31" ht="15">
      <c r="B40" t="s">
        <v>224</v>
      </c>
      <c r="C40" t="s">
        <v>439</v>
      </c>
      <c r="D40" s="11">
        <f t="shared" si="0"/>
        <v>4317944.3730223794</v>
      </c>
      <c r="E40" s="11">
        <f t="shared" si="1"/>
        <v>4508154.7414655723</v>
      </c>
      <c r="F40" s="11">
        <f t="shared" si="1"/>
        <v>4698340.5196181983</v>
      </c>
      <c r="G40" s="11">
        <f t="shared" si="1"/>
        <v>4872985.787837591</v>
      </c>
      <c r="H40" s="11">
        <f t="shared" si="1"/>
        <v>5018252.7725717304</v>
      </c>
      <c r="I40" s="11">
        <f t="shared" si="1"/>
        <v>5136829.5538409296</v>
      </c>
      <c r="J40" s="11">
        <f t="shared" si="1"/>
        <v>5245294.0762924459</v>
      </c>
      <c r="K40" s="11">
        <f t="shared" si="1"/>
        <v>5335828.4096770575</v>
      </c>
      <c r="L40" s="11">
        <f t="shared" si="1"/>
        <v>5391820.8365885075</v>
      </c>
      <c r="M40" s="11">
        <f t="shared" si="1"/>
        <v>5393703.6475020731</v>
      </c>
      <c r="N40" s="11">
        <f t="shared" si="1"/>
        <v>5367987.5613424759</v>
      </c>
      <c r="O40" s="11">
        <f t="shared" si="1"/>
        <v>5317319.0945725841</v>
      </c>
      <c r="P40" s="11">
        <f t="shared" si="1"/>
        <v>5251472.6560556618</v>
      </c>
      <c r="Q40" s="11">
        <f t="shared" si="1"/>
        <v>5183181.3981400467</v>
      </c>
      <c r="R40" s="11">
        <f t="shared" si="1"/>
        <v>5116800.7315675784</v>
      </c>
      <c r="S40" s="11">
        <f t="shared" si="1"/>
        <v>5031270.8270034166</v>
      </c>
      <c r="T40" s="11"/>
      <c r="U40" s="11"/>
      <c r="V40" s="11"/>
      <c r="W40" s="11"/>
      <c r="X40" s="11"/>
      <c r="Y40" s="11"/>
      <c r="Z40" s="11"/>
      <c r="AA40" s="11"/>
      <c r="AB40" s="11"/>
      <c r="AC40" s="11"/>
      <c r="AD40" s="11"/>
      <c r="AE40" s="11"/>
    </row>
    <row r="41" spans="2:31" ht="15">
      <c r="B41" t="s">
        <v>224</v>
      </c>
      <c r="C41" t="s">
        <v>440</v>
      </c>
      <c r="D41" s="11">
        <f t="shared" si="0"/>
        <v>3830790.0950824507</v>
      </c>
      <c r="E41" s="11">
        <f t="shared" si="1"/>
        <v>3869845.9183025844</v>
      </c>
      <c r="F41" s="11">
        <f t="shared" si="1"/>
        <v>3922462.6069577644</v>
      </c>
      <c r="G41" s="11">
        <f t="shared" si="1"/>
        <v>4011057.3535716916</v>
      </c>
      <c r="H41" s="11">
        <f t="shared" si="1"/>
        <v>4166706.4752848032</v>
      </c>
      <c r="I41" s="11">
        <f t="shared" si="1"/>
        <v>4352567.6967784613</v>
      </c>
      <c r="J41" s="11">
        <f t="shared" si="1"/>
        <v>4549235.6469416134</v>
      </c>
      <c r="K41" s="11">
        <f t="shared" si="1"/>
        <v>4744392.7621185808</v>
      </c>
      <c r="L41" s="11">
        <f t="shared" si="1"/>
        <v>4922065.6959726792</v>
      </c>
      <c r="M41" s="11">
        <f t="shared" si="1"/>
        <v>5070804.1478277277</v>
      </c>
      <c r="N41" s="11">
        <f t="shared" si="1"/>
        <v>5197663.9854004346</v>
      </c>
      <c r="O41" s="11">
        <f t="shared" si="1"/>
        <v>5317965.4983066665</v>
      </c>
      <c r="P41" s="11">
        <f t="shared" si="1"/>
        <v>5420232.9132529069</v>
      </c>
      <c r="Q41" s="11">
        <f t="shared" si="1"/>
        <v>5493126.8207934899</v>
      </c>
      <c r="R41" s="11">
        <f t="shared" si="1"/>
        <v>5518051.2397517674</v>
      </c>
      <c r="S41" s="11">
        <f t="shared" si="1"/>
        <v>5518304.7145008361</v>
      </c>
      <c r="T41" s="11"/>
      <c r="U41" s="11"/>
      <c r="V41" s="11"/>
      <c r="W41" s="11"/>
      <c r="X41" s="11"/>
      <c r="Y41" s="11"/>
      <c r="Z41" s="11"/>
      <c r="AA41" s="11"/>
      <c r="AB41" s="11"/>
      <c r="AC41" s="11"/>
      <c r="AD41" s="11"/>
      <c r="AE41" s="11"/>
    </row>
    <row r="42" spans="2:31" ht="15">
      <c r="B42" t="s">
        <v>224</v>
      </c>
      <c r="C42" t="s">
        <v>441</v>
      </c>
      <c r="D42" s="11">
        <f t="shared" si="0"/>
        <v>3433146.9627657868</v>
      </c>
      <c r="E42" s="11">
        <f t="shared" si="1"/>
        <v>3503668.4883196773</v>
      </c>
      <c r="F42" s="11">
        <f t="shared" si="1"/>
        <v>3568090.6811752305</v>
      </c>
      <c r="G42" s="11">
        <f t="shared" si="1"/>
        <v>3625716.1728786328</v>
      </c>
      <c r="H42" s="11">
        <f t="shared" si="1"/>
        <v>3668230.4348772755</v>
      </c>
      <c r="I42" s="11">
        <f t="shared" si="1"/>
        <v>3706688.7315295059</v>
      </c>
      <c r="J42" s="11">
        <f t="shared" si="1"/>
        <v>3757334.1482461272</v>
      </c>
      <c r="K42" s="11">
        <f t="shared" si="1"/>
        <v>3826871.1123568281</v>
      </c>
      <c r="L42" s="11">
        <f t="shared" si="1"/>
        <v>3934454.5004145931</v>
      </c>
      <c r="M42" s="11">
        <f t="shared" si="1"/>
        <v>4108530.2302738633</v>
      </c>
      <c r="N42" s="11">
        <f t="shared" si="1"/>
        <v>4311589.322041302</v>
      </c>
      <c r="O42" s="11">
        <f t="shared" si="1"/>
        <v>4524873.4501400795</v>
      </c>
      <c r="P42" s="11">
        <f t="shared" si="1"/>
        <v>4736398.1946692271</v>
      </c>
      <c r="Q42" s="11">
        <f t="shared" si="1"/>
        <v>4931871.9395047957</v>
      </c>
      <c r="R42" s="11">
        <f t="shared" si="1"/>
        <v>5101982.6164236628</v>
      </c>
      <c r="S42" s="11">
        <f t="shared" si="1"/>
        <v>5253732.6960873157</v>
      </c>
      <c r="T42" s="11"/>
      <c r="U42" s="11"/>
      <c r="V42" s="11"/>
      <c r="W42" s="11"/>
      <c r="X42" s="11"/>
      <c r="Y42" s="11"/>
      <c r="Z42" s="11"/>
      <c r="AA42" s="11"/>
      <c r="AB42" s="11"/>
      <c r="AC42" s="11"/>
      <c r="AD42" s="11"/>
      <c r="AE42" s="11"/>
    </row>
    <row r="43" spans="2:31" ht="15">
      <c r="B43" t="s">
        <v>224</v>
      </c>
      <c r="C43" t="s">
        <v>442</v>
      </c>
      <c r="D43" s="11">
        <f t="shared" si="0"/>
        <v>3056469.0364092663</v>
      </c>
      <c r="E43" s="11">
        <f t="shared" si="1"/>
        <v>3069262.8572877161</v>
      </c>
      <c r="F43" s="11">
        <f t="shared" si="1"/>
        <v>3078984.5167885879</v>
      </c>
      <c r="G43" s="11">
        <f t="shared" si="1"/>
        <v>3093801.8527214243</v>
      </c>
      <c r="H43" s="11">
        <f t="shared" si="1"/>
        <v>3123086.7793664918</v>
      </c>
      <c r="I43" s="11">
        <f t="shared" si="1"/>
        <v>3174721.0418831427</v>
      </c>
      <c r="J43" s="11">
        <f t="shared" si="1"/>
        <v>3239797.2110635079</v>
      </c>
      <c r="K43" s="11">
        <f t="shared" si="1"/>
        <v>3309523.2273865636</v>
      </c>
      <c r="L43" s="11">
        <f t="shared" si="1"/>
        <v>3385970.118132832</v>
      </c>
      <c r="M43" s="11">
        <f t="shared" si="1"/>
        <v>3458669.1822564118</v>
      </c>
      <c r="N43" s="11">
        <f t="shared" si="1"/>
        <v>3528823.7029650761</v>
      </c>
      <c r="O43" s="11">
        <f t="shared" si="1"/>
        <v>3608390.8939377405</v>
      </c>
      <c r="P43" s="11">
        <f t="shared" si="1"/>
        <v>3703425.7877148017</v>
      </c>
      <c r="Q43" s="11">
        <f t="shared" si="1"/>
        <v>3831166.3122359575</v>
      </c>
      <c r="R43" s="11">
        <f t="shared" si="1"/>
        <v>4022476.3098322405</v>
      </c>
      <c r="S43" s="11">
        <f t="shared" si="1"/>
        <v>4243536.8718590122</v>
      </c>
      <c r="T43" s="11"/>
      <c r="U43" s="11"/>
      <c r="V43" s="11"/>
      <c r="W43" s="11"/>
      <c r="X43" s="11"/>
      <c r="Y43" s="11"/>
      <c r="Z43" s="11"/>
      <c r="AA43" s="11"/>
      <c r="AB43" s="11"/>
      <c r="AC43" s="11"/>
      <c r="AD43" s="11"/>
      <c r="AE43" s="11"/>
    </row>
    <row r="44" spans="2:31" ht="15">
      <c r="B44" t="s">
        <v>224</v>
      </c>
      <c r="C44" t="s">
        <v>443</v>
      </c>
      <c r="D44" s="11">
        <f t="shared" si="0"/>
        <v>2642341.6059871097</v>
      </c>
      <c r="E44" s="11">
        <f t="shared" si="1"/>
        <v>2685564.5109637729</v>
      </c>
      <c r="F44" s="11">
        <f t="shared" si="1"/>
        <v>2719409.9106621668</v>
      </c>
      <c r="G44" s="11">
        <f t="shared" si="1"/>
        <v>2743911.7844040603</v>
      </c>
      <c r="H44" s="11">
        <f t="shared" si="1"/>
        <v>2758941.8432719638</v>
      </c>
      <c r="I44" s="11">
        <f t="shared" si="1"/>
        <v>2764692.9564888491</v>
      </c>
      <c r="J44" s="11">
        <f t="shared" si="1"/>
        <v>2772214.7767051253</v>
      </c>
      <c r="K44" s="11">
        <f t="shared" si="1"/>
        <v>2785273.8283294281</v>
      </c>
      <c r="L44" s="11">
        <f t="shared" si="1"/>
        <v>2814720.2739641867</v>
      </c>
      <c r="M44" s="11">
        <f t="shared" si="1"/>
        <v>2867676.6885188008</v>
      </c>
      <c r="N44" s="11">
        <f t="shared" si="1"/>
        <v>2942921.7577850795</v>
      </c>
      <c r="O44" s="11">
        <f t="shared" si="1"/>
        <v>3030964.0514120888</v>
      </c>
      <c r="P44" s="11">
        <f t="shared" si="1"/>
        <v>3123569.2872183276</v>
      </c>
      <c r="Q44" s="11">
        <f t="shared" si="1"/>
        <v>3217514.3589837137</v>
      </c>
      <c r="R44" s="11">
        <f t="shared" si="1"/>
        <v>3305863.2174344272</v>
      </c>
      <c r="S44" s="11">
        <f t="shared" si="1"/>
        <v>3392431.0692465035</v>
      </c>
      <c r="T44" s="11"/>
      <c r="U44" s="11"/>
      <c r="V44" s="11"/>
      <c r="W44" s="11"/>
      <c r="X44" s="11"/>
      <c r="Y44" s="11"/>
      <c r="Z44" s="11"/>
      <c r="AA44" s="11"/>
      <c r="AB44" s="11"/>
      <c r="AC44" s="11"/>
      <c r="AD44" s="11"/>
      <c r="AE44" s="11"/>
    </row>
    <row r="45" spans="2:31" ht="15">
      <c r="B45" t="s">
        <v>224</v>
      </c>
      <c r="C45" t="s">
        <v>444</v>
      </c>
      <c r="D45" s="11">
        <f t="shared" si="0"/>
        <v>2219497.1428141491</v>
      </c>
      <c r="E45" s="11">
        <f t="shared" si="1"/>
        <v>2265707.3754921113</v>
      </c>
      <c r="F45" s="11">
        <f t="shared" si="1"/>
        <v>2299989.5607177494</v>
      </c>
      <c r="G45" s="11">
        <f t="shared" si="1"/>
        <v>2330195.5730197909</v>
      </c>
      <c r="H45" s="11">
        <f t="shared" si="1"/>
        <v>2357749.540618591</v>
      </c>
      <c r="I45" s="11">
        <f t="shared" si="1"/>
        <v>2392823.6280626846</v>
      </c>
      <c r="J45" s="11">
        <f t="shared" si="1"/>
        <v>2426006.5502365176</v>
      </c>
      <c r="K45" s="11">
        <f t="shared" si="1"/>
        <v>2457499.9375605574</v>
      </c>
      <c r="L45" s="11">
        <f t="shared" si="1"/>
        <v>2488965.8716884605</v>
      </c>
      <c r="M45" s="11">
        <f t="shared" si="1"/>
        <v>2519864.3789321901</v>
      </c>
      <c r="N45" s="11">
        <f t="shared" si="1"/>
        <v>2543713.0708139394</v>
      </c>
      <c r="O45" s="11">
        <f t="shared" si="1"/>
        <v>2569140.1606834996</v>
      </c>
      <c r="P45" s="11">
        <f t="shared" si="1"/>
        <v>2600414.4001169391</v>
      </c>
      <c r="Q45" s="11">
        <f t="shared" si="1"/>
        <v>2642954.7088944176</v>
      </c>
      <c r="R45" s="11">
        <f t="shared" si="1"/>
        <v>2704855.8244611705</v>
      </c>
      <c r="S45" s="11">
        <f t="shared" si="1"/>
        <v>2787589.7657644814</v>
      </c>
      <c r="T45" s="11"/>
      <c r="U45" s="11"/>
      <c r="V45" s="11"/>
      <c r="W45" s="11"/>
      <c r="X45" s="11"/>
      <c r="Y45" s="11"/>
      <c r="Z45" s="11"/>
      <c r="AA45" s="11"/>
      <c r="AB45" s="11"/>
      <c r="AC45" s="11"/>
      <c r="AD45" s="11"/>
      <c r="AE45" s="11"/>
    </row>
    <row r="46" spans="2:31" ht="15">
      <c r="B46" t="s">
        <v>224</v>
      </c>
      <c r="C46" t="s">
        <v>445</v>
      </c>
      <c r="D46" s="11">
        <f t="shared" si="0"/>
        <v>1764230.3544579921</v>
      </c>
      <c r="E46" s="11">
        <f t="shared" si="1"/>
        <v>1817025.1540553598</v>
      </c>
      <c r="F46" s="11">
        <f t="shared" si="1"/>
        <v>1869489.1176954948</v>
      </c>
      <c r="G46" s="11">
        <f t="shared" si="1"/>
        <v>1915276.1679827308</v>
      </c>
      <c r="H46" s="11">
        <f t="shared" si="1"/>
        <v>1954071.8812693148</v>
      </c>
      <c r="I46" s="11">
        <f t="shared" si="1"/>
        <v>1989167.1847394747</v>
      </c>
      <c r="J46" s="11">
        <f t="shared" si="1"/>
        <v>2027273.9738517518</v>
      </c>
      <c r="K46" s="11">
        <f t="shared" si="1"/>
        <v>2060787.7174674773</v>
      </c>
      <c r="L46" s="11">
        <f t="shared" si="1"/>
        <v>2096875.1756469538</v>
      </c>
      <c r="M46" s="11">
        <f t="shared" si="1"/>
        <v>2135891.5425037853</v>
      </c>
      <c r="N46" s="11">
        <f t="shared" si="1"/>
        <v>2181892.8664297676</v>
      </c>
      <c r="O46" s="11">
        <f t="shared" si="1"/>
        <v>2224828.9046084862</v>
      </c>
      <c r="P46" s="11">
        <f t="shared" si="1"/>
        <v>2266653.9979024148</v>
      </c>
      <c r="Q46" s="11">
        <f t="shared" si="1"/>
        <v>2306635.2569692419</v>
      </c>
      <c r="R46" s="11">
        <f t="shared" si="1"/>
        <v>2344758.8949526874</v>
      </c>
      <c r="S46" s="11">
        <f t="shared" si="1"/>
        <v>2376586.0646457537</v>
      </c>
      <c r="T46" s="11"/>
      <c r="U46" s="11"/>
      <c r="V46" s="11"/>
      <c r="W46" s="11"/>
      <c r="X46" s="11"/>
      <c r="Y46" s="11"/>
      <c r="Z46" s="11"/>
      <c r="AA46" s="11"/>
      <c r="AB46" s="11"/>
      <c r="AC46" s="11"/>
      <c r="AD46" s="11"/>
      <c r="AE46" s="11"/>
    </row>
    <row r="47" spans="2:31" ht="15">
      <c r="B47" t="s">
        <v>224</v>
      </c>
      <c r="C47" t="s">
        <v>446</v>
      </c>
      <c r="D47" s="11">
        <f t="shared" si="0"/>
        <v>1329389.0798215112</v>
      </c>
      <c r="E47" s="11">
        <f t="shared" si="1"/>
        <v>1379172.7982592464</v>
      </c>
      <c r="F47" s="11">
        <f t="shared" si="1"/>
        <v>1429783.5854864828</v>
      </c>
      <c r="G47" s="11">
        <f t="shared" si="1"/>
        <v>1479354.5664877773</v>
      </c>
      <c r="H47" s="11">
        <f t="shared" si="1"/>
        <v>1527615.6244266089</v>
      </c>
      <c r="I47" s="11">
        <f t="shared" si="1"/>
        <v>1575618.926802027</v>
      </c>
      <c r="J47" s="11">
        <f t="shared" si="1"/>
        <v>1619558.3030534084</v>
      </c>
      <c r="K47" s="11">
        <f t="shared" si="1"/>
        <v>1666777.8802148439</v>
      </c>
      <c r="L47" s="11">
        <f t="shared" si="1"/>
        <v>1712013.4658937864</v>
      </c>
      <c r="M47" s="11">
        <f t="shared" si="1"/>
        <v>1754682.8381069186</v>
      </c>
      <c r="N47" s="11">
        <f t="shared" si="1"/>
        <v>1794618.5909412415</v>
      </c>
      <c r="O47" s="11">
        <f t="shared" si="1"/>
        <v>1837002.6181925973</v>
      </c>
      <c r="P47" s="11">
        <f t="shared" si="1"/>
        <v>1875187.4024033467</v>
      </c>
      <c r="Q47" s="11">
        <f t="shared" si="1"/>
        <v>1914929.4649251404</v>
      </c>
      <c r="R47" s="11">
        <f t="shared" si="1"/>
        <v>1956905.5845540203</v>
      </c>
      <c r="S47" s="11">
        <f t="shared" si="1"/>
        <v>2005844.5663793846</v>
      </c>
      <c r="T47" s="11"/>
      <c r="U47" s="11"/>
      <c r="V47" s="11"/>
      <c r="W47" s="11"/>
      <c r="X47" s="11"/>
      <c r="Y47" s="11"/>
      <c r="Z47" s="11"/>
      <c r="AA47" s="11"/>
      <c r="AB47" s="11"/>
      <c r="AC47" s="11"/>
      <c r="AD47" s="11"/>
      <c r="AE47" s="11"/>
    </row>
    <row r="48" spans="2:31" ht="15">
      <c r="B48" t="s">
        <v>224</v>
      </c>
      <c r="C48" t="s">
        <v>447</v>
      </c>
      <c r="D48" s="11">
        <f t="shared" si="0"/>
        <v>1050240.5425680373</v>
      </c>
      <c r="E48" s="11">
        <f t="shared" si="1"/>
        <v>1062424.1394908745</v>
      </c>
      <c r="F48" s="11">
        <f t="shared" si="1"/>
        <v>1078015.887918479</v>
      </c>
      <c r="G48" s="11">
        <f t="shared" si="1"/>
        <v>1100058.6142329108</v>
      </c>
      <c r="H48" s="11">
        <f t="shared" si="1"/>
        <v>1129011.9622392813</v>
      </c>
      <c r="I48" s="11">
        <f t="shared" si="1"/>
        <v>1163466.608104384</v>
      </c>
      <c r="J48" s="11">
        <f t="shared" si="1"/>
        <v>1205559.9491796605</v>
      </c>
      <c r="K48" s="11">
        <f t="shared" si="1"/>
        <v>1250233.7212277318</v>
      </c>
      <c r="L48" s="11">
        <f t="shared" si="1"/>
        <v>1295831.7738352669</v>
      </c>
      <c r="M48" s="11">
        <f t="shared" si="1"/>
        <v>1341984.9962259161</v>
      </c>
      <c r="N48" s="11">
        <f t="shared" si="1"/>
        <v>1388528.5599642694</v>
      </c>
      <c r="O48" s="11">
        <f t="shared" si="1"/>
        <v>1431474.1302897956</v>
      </c>
      <c r="P48" s="11">
        <f t="shared" si="1"/>
        <v>1477474.6333403985</v>
      </c>
      <c r="Q48" s="11">
        <f t="shared" si="1"/>
        <v>1521801.6052448284</v>
      </c>
      <c r="R48" s="11">
        <f t="shared" si="1"/>
        <v>1564163.5140161975</v>
      </c>
      <c r="S48" s="11">
        <f t="shared" si="1"/>
        <v>1604738.7071671225</v>
      </c>
      <c r="T48" s="11"/>
      <c r="U48" s="11"/>
      <c r="V48" s="11"/>
      <c r="W48" s="11"/>
      <c r="X48" s="11"/>
      <c r="Y48" s="11"/>
      <c r="Z48" s="11"/>
      <c r="AA48" s="11"/>
      <c r="AB48" s="11"/>
      <c r="AC48" s="11"/>
      <c r="AD48" s="11"/>
      <c r="AE48" s="11"/>
    </row>
    <row r="49" spans="2:31" ht="15">
      <c r="B49" t="s">
        <v>224</v>
      </c>
      <c r="C49" t="s">
        <v>448</v>
      </c>
      <c r="D49" s="11">
        <f t="shared" si="0"/>
        <v>806030.4864108453</v>
      </c>
      <c r="E49" s="11">
        <f t="shared" si="1"/>
        <v>824032.48110215785</v>
      </c>
      <c r="F49" s="11">
        <f t="shared" si="1"/>
        <v>842686.89708802616</v>
      </c>
      <c r="G49" s="11">
        <f t="shared" si="1"/>
        <v>858140.75115234312</v>
      </c>
      <c r="H49" s="11">
        <f t="shared" si="1"/>
        <v>869627.61831329949</v>
      </c>
      <c r="I49" s="11">
        <f t="shared" si="1"/>
        <v>879765.58598470956</v>
      </c>
      <c r="J49" s="11">
        <f t="shared" si="1"/>
        <v>889497.08549947944</v>
      </c>
      <c r="K49" s="11">
        <f t="shared" si="1"/>
        <v>903396.29872380814</v>
      </c>
      <c r="L49" s="11">
        <f t="shared" si="1"/>
        <v>923792.64607596933</v>
      </c>
      <c r="M49" s="11">
        <f t="shared" si="1"/>
        <v>950960.28750370583</v>
      </c>
      <c r="N49" s="11">
        <f t="shared" si="1"/>
        <v>983277.62302065478</v>
      </c>
      <c r="O49" s="11">
        <f t="shared" si="1"/>
        <v>1022094.158940505</v>
      </c>
      <c r="P49" s="11">
        <f t="shared" si="1"/>
        <v>1063018.7699331697</v>
      </c>
      <c r="Q49" s="11">
        <f t="shared" si="1"/>
        <v>1104859.7766497447</v>
      </c>
      <c r="R49" s="11">
        <f t="shared" si="1"/>
        <v>1147464.8044988574</v>
      </c>
      <c r="S49" s="11">
        <f t="shared" si="1"/>
        <v>1190825.1248793432</v>
      </c>
      <c r="T49" s="11"/>
      <c r="U49" s="11"/>
      <c r="V49" s="11"/>
      <c r="W49" s="11"/>
      <c r="X49" s="11"/>
      <c r="Y49" s="11"/>
      <c r="Z49" s="11"/>
      <c r="AA49" s="11"/>
      <c r="AB49" s="11"/>
      <c r="AC49" s="11"/>
      <c r="AD49" s="11"/>
      <c r="AE49" s="11"/>
    </row>
    <row r="50" spans="2:31" ht="15">
      <c r="B50" t="s">
        <v>224</v>
      </c>
      <c r="C50" t="s">
        <v>449</v>
      </c>
      <c r="D50" s="11">
        <f t="shared" si="0"/>
        <v>596532.31707240897</v>
      </c>
      <c r="E50" s="11">
        <f t="shared" si="1"/>
        <v>600450.47683628183</v>
      </c>
      <c r="F50" s="11">
        <f t="shared" si="1"/>
        <v>604719.07060160383</v>
      </c>
      <c r="G50" s="11">
        <f t="shared" si="1"/>
        <v>611685.20128479332</v>
      </c>
      <c r="H50" s="11">
        <f t="shared" si="1"/>
        <v>621036.42685514479</v>
      </c>
      <c r="I50" s="11">
        <f t="shared" si="1"/>
        <v>632740.90582694486</v>
      </c>
      <c r="J50" s="11">
        <f t="shared" si="1"/>
        <v>646880.03001508559</v>
      </c>
      <c r="K50" s="11">
        <f t="shared" si="1"/>
        <v>661993.0375067367</v>
      </c>
      <c r="L50" s="11">
        <f t="shared" si="1"/>
        <v>675256.25161686679</v>
      </c>
      <c r="M50" s="11">
        <f t="shared" si="1"/>
        <v>686052.98589809262</v>
      </c>
      <c r="N50" s="11">
        <f t="shared" si="1"/>
        <v>696302.87641638657</v>
      </c>
      <c r="O50" s="11">
        <f t="shared" si="1"/>
        <v>706556.26655351662</v>
      </c>
      <c r="P50" s="11">
        <f t="shared" si="1"/>
        <v>720197.46631254745</v>
      </c>
      <c r="Q50" s="11">
        <f t="shared" si="1"/>
        <v>739318.23103079293</v>
      </c>
      <c r="R50" s="11">
        <f t="shared" si="1"/>
        <v>764217.67244824022</v>
      </c>
      <c r="S50" s="11">
        <f t="shared" si="1"/>
        <v>793615.96736036846</v>
      </c>
      <c r="T50" s="11"/>
      <c r="U50" s="11"/>
      <c r="V50" s="11"/>
      <c r="W50" s="11"/>
      <c r="X50" s="11"/>
      <c r="Y50" s="11"/>
      <c r="Z50" s="11"/>
      <c r="AA50" s="11"/>
      <c r="AB50" s="11"/>
      <c r="AC50" s="11"/>
      <c r="AD50" s="11"/>
      <c r="AE50" s="11"/>
    </row>
    <row r="51" spans="2:31" ht="15">
      <c r="B51" t="s">
        <v>224</v>
      </c>
      <c r="C51" t="s">
        <v>450</v>
      </c>
      <c r="D51" s="11">
        <f t="shared" si="0"/>
        <v>409293.50017699628</v>
      </c>
      <c r="E51" s="11">
        <f t="shared" si="1"/>
        <v>412126.95241685177</v>
      </c>
      <c r="F51" s="11">
        <f t="shared" si="1"/>
        <v>415100.12448606803</v>
      </c>
      <c r="G51" s="11">
        <f t="shared" si="1"/>
        <v>418201.60375502158</v>
      </c>
      <c r="H51" s="11">
        <f t="shared" si="1"/>
        <v>422052.74877855892</v>
      </c>
      <c r="I51" s="11">
        <f t="shared" si="1"/>
        <v>425163.68643895944</v>
      </c>
      <c r="J51" s="11">
        <f t="shared" si="1"/>
        <v>428494.30667161045</v>
      </c>
      <c r="K51" s="11">
        <f t="shared" si="1"/>
        <v>432563.75024382502</v>
      </c>
      <c r="L51" s="11">
        <f t="shared" si="1"/>
        <v>438848.85447274829</v>
      </c>
      <c r="M51" s="11">
        <f t="shared" si="1"/>
        <v>447173.4299810566</v>
      </c>
      <c r="N51" s="11">
        <f t="shared" si="1"/>
        <v>457407.94861689163</v>
      </c>
      <c r="O51" s="11">
        <f t="shared" si="1"/>
        <v>469548.81329931272</v>
      </c>
      <c r="P51" s="11">
        <f t="shared" si="1"/>
        <v>482219.41802671348</v>
      </c>
      <c r="Q51" s="11">
        <f t="shared" si="1"/>
        <v>493804.44040978682</v>
      </c>
      <c r="R51" s="11">
        <f t="shared" si="1"/>
        <v>503934.37552794977</v>
      </c>
      <c r="S51" s="11">
        <f t="shared" si="1"/>
        <v>513955.1823150423</v>
      </c>
      <c r="T51" s="11"/>
      <c r="U51" s="11"/>
      <c r="V51" s="11"/>
      <c r="W51" s="11"/>
      <c r="X51" s="11"/>
      <c r="Y51" s="11"/>
      <c r="Z51" s="11"/>
      <c r="AA51" s="11"/>
      <c r="AB51" s="11"/>
      <c r="AC51" s="11"/>
      <c r="AD51" s="11"/>
      <c r="AE51" s="11"/>
    </row>
    <row r="52" spans="2:31" ht="15">
      <c r="B52" t="s">
        <v>224</v>
      </c>
      <c r="C52" t="s">
        <v>451</v>
      </c>
      <c r="D52" s="11">
        <f t="shared" si="0"/>
        <v>385923.53577334783</v>
      </c>
      <c r="E52" s="11">
        <f t="shared" si="3" ref="E52:S52">SUM(E18,E35)</f>
        <v>392944.91036075546</v>
      </c>
      <c r="F52" s="11">
        <f t="shared" si="3"/>
        <v>399433.95098140539</v>
      </c>
      <c r="G52" s="11">
        <f t="shared" si="3"/>
        <v>405573.60052047099</v>
      </c>
      <c r="H52" s="11">
        <f t="shared" si="3"/>
        <v>411469.44998435694</v>
      </c>
      <c r="I52" s="11">
        <f t="shared" si="3"/>
        <v>417155.11681451823</v>
      </c>
      <c r="J52" s="11">
        <f t="shared" si="3"/>
        <v>422898.22331522097</v>
      </c>
      <c r="K52" s="11">
        <f t="shared" si="3"/>
        <v>428717.88711921894</v>
      </c>
      <c r="L52" s="11">
        <f t="shared" si="3"/>
        <v>434671.1168395158</v>
      </c>
      <c r="M52" s="11">
        <f t="shared" si="3"/>
        <v>441212.63726536732</v>
      </c>
      <c r="N52" s="11">
        <f t="shared" si="3"/>
        <v>447415.04058750678</v>
      </c>
      <c r="O52" s="11">
        <f t="shared" si="3"/>
        <v>453940.23314613174</v>
      </c>
      <c r="P52" s="11">
        <f t="shared" si="3"/>
        <v>461033.52444955165</v>
      </c>
      <c r="Q52" s="11">
        <f t="shared" si="3"/>
        <v>469940.34825208987</v>
      </c>
      <c r="R52" s="11">
        <f t="shared" si="3"/>
        <v>480770.67341976688</v>
      </c>
      <c r="S52" s="11">
        <f t="shared" si="3"/>
        <v>492684.37690591509</v>
      </c>
      <c r="T52" s="11"/>
      <c r="U52" s="11"/>
      <c r="V52" s="11"/>
      <c r="W52" s="11"/>
      <c r="X52" s="11"/>
      <c r="Y52" s="11"/>
      <c r="Z52" s="11"/>
      <c r="AA52" s="11"/>
      <c r="AB52" s="11"/>
      <c r="AC52" s="11"/>
      <c r="AD52" s="11"/>
      <c r="AE52" s="11"/>
    </row>
    <row r="53" spans="2:31" ht="15">
      <c r="B53" t="s">
        <v>224</v>
      </c>
      <c r="C53" t="s">
        <v>389</v>
      </c>
      <c r="D53" s="11">
        <f>SUM(D36:D52)</f>
        <v>45920830.605811313</v>
      </c>
      <c r="E53" s="11">
        <f t="shared" si="4" ref="E53:S53">SUM(E36:E52)</f>
        <v>46460581.460293271</v>
      </c>
      <c r="F53" s="11">
        <f t="shared" si="4"/>
        <v>47020712.718385324</v>
      </c>
      <c r="G53" s="11">
        <f t="shared" si="4"/>
        <v>47601908.747902572</v>
      </c>
      <c r="H53" s="11">
        <f t="shared" si="4"/>
        <v>48204889.342458762</v>
      </c>
      <c r="I53" s="11">
        <f t="shared" si="4"/>
        <v>48830411.277213313</v>
      </c>
      <c r="J53" s="11">
        <f t="shared" si="4"/>
        <v>49479269.95659332</v>
      </c>
      <c r="K53" s="11">
        <f t="shared" si="4"/>
        <v>50152301.159275025</v>
      </c>
      <c r="L53" s="11">
        <f t="shared" si="4"/>
        <v>50850382.886067457</v>
      </c>
      <c r="M53" s="11">
        <f t="shared" si="4"/>
        <v>51574437.31671837</v>
      </c>
      <c r="N53" s="11">
        <f t="shared" si="4"/>
        <v>52325432.882070079</v>
      </c>
      <c r="O53" s="11">
        <f t="shared" si="4"/>
        <v>53104386.458423361</v>
      </c>
      <c r="P53" s="11">
        <f t="shared" si="4"/>
        <v>53912365.691429272</v>
      </c>
      <c r="Q53" s="11">
        <f t="shared" si="4"/>
        <v>54750491.457321107</v>
      </c>
      <c r="R53" s="11">
        <f t="shared" si="4"/>
        <v>55619940.469824858</v>
      </c>
      <c r="S53" s="11">
        <f t="shared" si="4"/>
        <v>56521948.041648105</v>
      </c>
      <c r="T53" s="11"/>
      <c r="U53" s="11"/>
      <c r="V53" s="11"/>
      <c r="W53" s="11"/>
      <c r="X53" s="11"/>
      <c r="Y53" s="11"/>
      <c r="Z53" s="11"/>
      <c r="AA53" s="11"/>
      <c r="AB53" s="11"/>
      <c r="AC53" s="11"/>
      <c r="AD53" s="11"/>
      <c r="AE53" s="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tabSelected="1" workbookViewId="0" topLeftCell="A141">
      <selection pane="topLeft" activeCell="D164" sqref="D164"/>
    </sheetView>
  </sheetViews>
  <sheetFormatPr defaultColWidth="8.71428571428571" defaultRowHeight="15"/>
  <sheetData>
    <row r="1" spans="2:53" ht="15">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1" ht="15">
      <c r="A4" t="s">
        <v>589</v>
      </c>
    </row>
    <row r="5" spans="2:53" ht="15">
      <c r="B5" s="31" t="s">
        <v>550</v>
      </c>
      <c r="C5" s="31" t="s">
        <v>538</v>
      </c>
      <c r="D5" s="31" t="s">
        <v>551</v>
      </c>
      <c r="E5" s="31" t="s">
        <v>552</v>
      </c>
      <c r="F5" s="31" t="s">
        <v>553</v>
      </c>
      <c r="G5" s="31" t="s">
        <v>554</v>
      </c>
      <c r="H5" s="31" t="s">
        <v>539</v>
      </c>
      <c r="I5" s="31" t="s">
        <v>555</v>
      </c>
      <c r="J5" s="31" t="s">
        <v>556</v>
      </c>
      <c r="K5" s="31" t="s">
        <v>557</v>
      </c>
      <c r="L5" s="31" t="s">
        <v>558</v>
      </c>
      <c r="M5" s="31" t="s">
        <v>540</v>
      </c>
      <c r="N5" s="31" t="s">
        <v>559</v>
      </c>
      <c r="O5" s="31" t="s">
        <v>560</v>
      </c>
      <c r="P5" s="31" t="s">
        <v>561</v>
      </c>
      <c r="Q5" s="31" t="s">
        <v>562</v>
      </c>
      <c r="R5" s="31" t="s">
        <v>541</v>
      </c>
      <c r="S5" s="31" t="s">
        <v>563</v>
      </c>
      <c r="T5" s="31" t="s">
        <v>564</v>
      </c>
      <c r="U5" s="31" t="s">
        <v>565</v>
      </c>
      <c r="V5" s="31" t="s">
        <v>566</v>
      </c>
      <c r="W5" s="31" t="s">
        <v>542</v>
      </c>
      <c r="X5" s="31" t="s">
        <v>567</v>
      </c>
      <c r="Y5" s="31" t="s">
        <v>568</v>
      </c>
      <c r="Z5" s="31" t="s">
        <v>569</v>
      </c>
      <c r="AA5" s="31" t="s">
        <v>570</v>
      </c>
      <c r="AB5" s="31" t="s">
        <v>543</v>
      </c>
      <c r="AC5" s="31" t="s">
        <v>571</v>
      </c>
      <c r="AD5" s="31" t="s">
        <v>572</v>
      </c>
      <c r="AE5" s="31" t="s">
        <v>573</v>
      </c>
      <c r="AF5" s="31" t="s">
        <v>574</v>
      </c>
      <c r="AG5" s="31" t="s">
        <v>544</v>
      </c>
      <c r="AH5" s="31" t="s">
        <v>702</v>
      </c>
      <c r="AI5" s="31" t="s">
        <v>703</v>
      </c>
      <c r="AJ5" s="31" t="s">
        <v>704</v>
      </c>
      <c r="AK5" s="31" t="s">
        <v>705</v>
      </c>
      <c r="AL5" s="31" t="s">
        <v>706</v>
      </c>
      <c r="AM5" s="31" t="s">
        <v>707</v>
      </c>
      <c r="AN5" s="31" t="s">
        <v>708</v>
      </c>
      <c r="AO5" s="31" t="s">
        <v>709</v>
      </c>
      <c r="AP5" s="31" t="s">
        <v>710</v>
      </c>
      <c r="AQ5" s="31" t="s">
        <v>711</v>
      </c>
      <c r="AR5" s="31" t="s">
        <v>712</v>
      </c>
      <c r="AS5" s="31" t="s">
        <v>713</v>
      </c>
      <c r="AT5" s="31" t="s">
        <v>714</v>
      </c>
      <c r="AU5" s="31" t="s">
        <v>715</v>
      </c>
      <c r="AV5" s="31" t="s">
        <v>716</v>
      </c>
      <c r="AW5" s="31" t="s">
        <v>717</v>
      </c>
      <c r="AX5" s="31" t="s">
        <v>718</v>
      </c>
      <c r="AY5" s="31" t="s">
        <v>719</v>
      </c>
      <c r="AZ5" s="31" t="s">
        <v>720</v>
      </c>
      <c r="BA5" s="31" t="s">
        <v>721</v>
      </c>
    </row>
    <row r="6" spans="1:53" ht="15">
      <c r="A6" s="31" t="s">
        <v>4</v>
      </c>
      <c r="B6">
        <v>2742.3903804389338</v>
      </c>
      <c r="C6">
        <v>2635.7586283782512</v>
      </c>
      <c r="D6">
        <v>2728.6120209893857</v>
      </c>
      <c r="E6">
        <v>2831.4475487609634</v>
      </c>
      <c r="F6">
        <v>2864.7092300740151</v>
      </c>
      <c r="G6">
        <v>2912.2719349551439</v>
      </c>
      <c r="H6">
        <v>2960.3985887070226</v>
      </c>
      <c r="I6">
        <v>3017.6039201091162</v>
      </c>
      <c r="J6">
        <v>3093.5051401211085</v>
      </c>
      <c r="K6">
        <v>3179.7457482327104</v>
      </c>
      <c r="L6">
        <v>3280.1025758261671</v>
      </c>
      <c r="M6">
        <v>3393.2465101213174</v>
      </c>
      <c r="N6">
        <v>3516.773192778458</v>
      </c>
      <c r="O6">
        <v>3647.2957777909205</v>
      </c>
      <c r="P6">
        <v>3784.3706868609679</v>
      </c>
      <c r="Q6">
        <v>3924.7630460823557</v>
      </c>
      <c r="R6">
        <v>4067.0704072049903</v>
      </c>
      <c r="S6">
        <v>4210.4064279118738</v>
      </c>
      <c r="T6">
        <v>4359.862279145188</v>
      </c>
      <c r="U6">
        <v>4515.8000778550222</v>
      </c>
      <c r="V6">
        <v>4681.6835296189183</v>
      </c>
      <c r="W6">
        <v>4853.8274862958588</v>
      </c>
      <c r="X6">
        <v>5023.6894014209638</v>
      </c>
      <c r="Y6">
        <v>5204.008773155887</v>
      </c>
      <c r="Z6">
        <v>5385.5064151978268</v>
      </c>
      <c r="AA6">
        <v>5565.553377863911</v>
      </c>
      <c r="AB6">
        <v>5743.9688674517902</v>
      </c>
      <c r="AC6">
        <v>5933.3050297890277</v>
      </c>
      <c r="AD6">
        <v>6120.4689170066667</v>
      </c>
      <c r="AE6">
        <v>6308.0041202181128</v>
      </c>
      <c r="AF6">
        <v>6503.2979218848632</v>
      </c>
      <c r="AG6">
        <v>6671.2585382981297</v>
      </c>
      <c r="AH6">
        <v>6855.6750569468004</v>
      </c>
      <c r="AI6">
        <v>7060.4288831742915</v>
      </c>
      <c r="AJ6">
        <v>7275.1543841767025</v>
      </c>
      <c r="AK6">
        <v>7500.654809205128</v>
      </c>
      <c r="AL6">
        <v>7746.977854291019</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ht="15">
      <c r="A7" s="31" t="s">
        <v>618</v>
      </c>
      <c r="B7">
        <v>102.81301388133485</v>
      </c>
      <c r="C7">
        <v>106.8983132927723</v>
      </c>
      <c r="D7">
        <v>114.16036742797075</v>
      </c>
      <c r="E7">
        <v>110.42226572387352</v>
      </c>
      <c r="F7">
        <v>107.99675033845062</v>
      </c>
      <c r="G7">
        <v>107.01338631376144</v>
      </c>
      <c r="H7">
        <v>109.04647464326628</v>
      </c>
      <c r="I7">
        <v>110.12164501480794</v>
      </c>
      <c r="J7">
        <v>111.78970512015955</v>
      </c>
      <c r="K7">
        <v>113.7341358266668</v>
      </c>
      <c r="L7">
        <v>115.47252625902092</v>
      </c>
      <c r="M7">
        <v>118.28655829295674</v>
      </c>
      <c r="N7">
        <v>121.006184741697</v>
      </c>
      <c r="O7">
        <v>123.63542649267822</v>
      </c>
      <c r="P7">
        <v>125.9975355856305</v>
      </c>
      <c r="Q7">
        <v>128.46680562987063</v>
      </c>
      <c r="R7">
        <v>132.52106998163515</v>
      </c>
      <c r="S7">
        <v>135.04251177260366</v>
      </c>
      <c r="T7">
        <v>137.51319200165574</v>
      </c>
      <c r="U7">
        <v>139.94008991617019</v>
      </c>
      <c r="V7">
        <v>142.4513637865945</v>
      </c>
      <c r="W7">
        <v>144.95006379894289</v>
      </c>
      <c r="X7">
        <v>147.5045413370033</v>
      </c>
      <c r="Y7">
        <v>150.16891554011531</v>
      </c>
      <c r="Z7">
        <v>153.11202653946117</v>
      </c>
      <c r="AA7">
        <v>155.89687973958232</v>
      </c>
      <c r="AB7">
        <v>158.93791524161247</v>
      </c>
      <c r="AC7">
        <v>162.35067406353465</v>
      </c>
      <c r="AD7">
        <v>165.80503588706398</v>
      </c>
      <c r="AE7">
        <v>168.96602688106853</v>
      </c>
      <c r="AF7">
        <v>171.95514331190029</v>
      </c>
      <c r="AG7">
        <v>176.16462300471736</v>
      </c>
      <c r="AH7">
        <v>180.02052408101704</v>
      </c>
      <c r="AI7">
        <v>184.23666989427187</v>
      </c>
      <c r="AJ7">
        <v>188.62652658923784</v>
      </c>
      <c r="AK7">
        <v>193.28603501669585</v>
      </c>
      <c r="AL7">
        <v>198.4343095736082</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ht="15">
      <c r="A8" s="31" t="s">
        <v>371</v>
      </c>
      <c r="B8">
        <v>195.00072986244979</v>
      </c>
      <c r="C8">
        <v>179.73255596926907</v>
      </c>
      <c r="D8">
        <v>198.79605458683457</v>
      </c>
      <c r="E8">
        <v>187.41039382948765</v>
      </c>
      <c r="F8">
        <v>189.51550412720701</v>
      </c>
      <c r="G8">
        <v>190.12361450302745</v>
      </c>
      <c r="H8">
        <v>192.3480062503094</v>
      </c>
      <c r="I8">
        <v>195.96592984419848</v>
      </c>
      <c r="J8">
        <v>198.31811927110249</v>
      </c>
      <c r="K8">
        <v>200.80447545499288</v>
      </c>
      <c r="L8">
        <v>204.52138895807218</v>
      </c>
      <c r="M8">
        <v>208.73075661773726</v>
      </c>
      <c r="N8">
        <v>213.75568070850454</v>
      </c>
      <c r="O8">
        <v>218.97100237243149</v>
      </c>
      <c r="P8">
        <v>224.48638037976906</v>
      </c>
      <c r="Q8">
        <v>230.45571053803792</v>
      </c>
      <c r="R8">
        <v>238.38873936635258</v>
      </c>
      <c r="S8">
        <v>243.91962662957428</v>
      </c>
      <c r="T8">
        <v>249.47050386875429</v>
      </c>
      <c r="U8">
        <v>255.2667612223425</v>
      </c>
      <c r="V8">
        <v>261.28221837925156</v>
      </c>
      <c r="W8">
        <v>268.04911850568794</v>
      </c>
      <c r="X8">
        <v>274.40295121089702</v>
      </c>
      <c r="Y8">
        <v>280.98420617838008</v>
      </c>
      <c r="Z8">
        <v>287.97616412178951</v>
      </c>
      <c r="AA8">
        <v>294.3978443492972</v>
      </c>
      <c r="AB8">
        <v>300.40611099435932</v>
      </c>
      <c r="AC8">
        <v>308.29096715156294</v>
      </c>
      <c r="AD8">
        <v>315.98566837228378</v>
      </c>
      <c r="AE8">
        <v>324.15745214015948</v>
      </c>
      <c r="AF8">
        <v>339.3406237471093</v>
      </c>
      <c r="AG8">
        <v>346.55220454417588</v>
      </c>
      <c r="AH8">
        <v>355.92887196751087</v>
      </c>
      <c r="AI8">
        <v>365.99503467163333</v>
      </c>
      <c r="AJ8">
        <v>375.96056026026031</v>
      </c>
      <c r="AK8">
        <v>386.51985478809206</v>
      </c>
      <c r="AL8">
        <v>398.56545153716036</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ht="15">
      <c r="A9" s="31" t="s">
        <v>505</v>
      </c>
      <c r="B9">
        <v>155.24978901659696</v>
      </c>
      <c r="C9">
        <v>147.28470676146</v>
      </c>
      <c r="D9">
        <v>155.55972307307294</v>
      </c>
      <c r="E9">
        <v>164.0985315917188</v>
      </c>
      <c r="F9">
        <v>166.77631858618133</v>
      </c>
      <c r="G9">
        <v>169.86380872561526</v>
      </c>
      <c r="H9">
        <v>170.60430224543919</v>
      </c>
      <c r="I9">
        <v>170.30484722089523</v>
      </c>
      <c r="J9">
        <v>172.76565450152538</v>
      </c>
      <c r="K9">
        <v>175.68477284603586</v>
      </c>
      <c r="L9">
        <v>178.60020909732532</v>
      </c>
      <c r="M9">
        <v>183.43324203521635</v>
      </c>
      <c r="N9">
        <v>188.55208963704172</v>
      </c>
      <c r="O9">
        <v>193.60962904314093</v>
      </c>
      <c r="P9">
        <v>198.62951830339858</v>
      </c>
      <c r="Q9">
        <v>204.04491544579756</v>
      </c>
      <c r="R9">
        <v>211.42116645276633</v>
      </c>
      <c r="S9">
        <v>215.90674014754308</v>
      </c>
      <c r="T9">
        <v>220.17454075050722</v>
      </c>
      <c r="U9">
        <v>224.38010744525485</v>
      </c>
      <c r="V9">
        <v>228.8727129602091</v>
      </c>
      <c r="W9">
        <v>233.34866851490716</v>
      </c>
      <c r="X9">
        <v>237.82750389734315</v>
      </c>
      <c r="Y9">
        <v>242.41577024360464</v>
      </c>
      <c r="Z9">
        <v>247.50179165414175</v>
      </c>
      <c r="AA9">
        <v>252.37923902799832</v>
      </c>
      <c r="AB9">
        <v>257.55974486931575</v>
      </c>
      <c r="AC9">
        <v>263.20042267373799</v>
      </c>
      <c r="AD9">
        <v>268.93679958132299</v>
      </c>
      <c r="AE9">
        <v>273.88855778809727</v>
      </c>
      <c r="AF9">
        <v>278.39542955128059</v>
      </c>
      <c r="AG9">
        <v>285.7016375440071</v>
      </c>
      <c r="AH9">
        <v>291.46460699426262</v>
      </c>
      <c r="AI9">
        <v>297.90001793188662</v>
      </c>
      <c r="AJ9">
        <v>304.83675356085485</v>
      </c>
      <c r="AK9">
        <v>312.33849649443579</v>
      </c>
      <c r="AL9">
        <v>320.68038905799398</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ht="15">
      <c r="A10" s="31" t="s">
        <v>506</v>
      </c>
      <c r="B10">
        <v>361.17597823920806</v>
      </c>
      <c r="C10">
        <v>313.3394059290336</v>
      </c>
      <c r="D10">
        <v>331.25367948256167</v>
      </c>
      <c r="E10">
        <v>344.41541533397231</v>
      </c>
      <c r="F10">
        <v>344.42538255438393</v>
      </c>
      <c r="G10">
        <v>346.42734726800495</v>
      </c>
      <c r="H10">
        <v>358.54388016552559</v>
      </c>
      <c r="I10">
        <v>376.74656759493075</v>
      </c>
      <c r="J10">
        <v>380.89056156209591</v>
      </c>
      <c r="K10">
        <v>386.90995034025752</v>
      </c>
      <c r="L10">
        <v>395.75581868532515</v>
      </c>
      <c r="M10">
        <v>409.49349260740973</v>
      </c>
      <c r="N10">
        <v>422.49544233040774</v>
      </c>
      <c r="O10">
        <v>435.85088635261229</v>
      </c>
      <c r="P10">
        <v>449.21477206982513</v>
      </c>
      <c r="Q10">
        <v>463.7875850925559</v>
      </c>
      <c r="R10">
        <v>479.89382123528765</v>
      </c>
      <c r="S10">
        <v>494.50644903755733</v>
      </c>
      <c r="T10">
        <v>509.64726008547092</v>
      </c>
      <c r="U10">
        <v>525.55551394008444</v>
      </c>
      <c r="V10">
        <v>541.07568822853227</v>
      </c>
      <c r="W10">
        <v>554.08451042916363</v>
      </c>
      <c r="X10">
        <v>570.45691233480215</v>
      </c>
      <c r="Y10">
        <v>583.4734183447265</v>
      </c>
      <c r="Z10">
        <v>597.66909689358135</v>
      </c>
      <c r="AA10">
        <v>615.97501773874637</v>
      </c>
      <c r="AB10">
        <v>633.04392843938103</v>
      </c>
      <c r="AC10">
        <v>647.89759878914515</v>
      </c>
      <c r="AD10">
        <v>664.11431872790013</v>
      </c>
      <c r="AE10">
        <v>684.04394410933673</v>
      </c>
      <c r="AF10">
        <v>707.8147735804348</v>
      </c>
      <c r="AG10">
        <v>738.41109461452356</v>
      </c>
      <c r="AH10">
        <v>764.66618647914538</v>
      </c>
      <c r="AI10">
        <v>790.5965382901602</v>
      </c>
      <c r="AJ10">
        <v>818.11040790632273</v>
      </c>
      <c r="AK10">
        <v>849.18995292278373</v>
      </c>
      <c r="AL10">
        <v>880.71021252834203</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ht="15">
      <c r="A11" s="31" t="s">
        <v>507</v>
      </c>
      <c r="B11">
        <v>24.014738063745313</v>
      </c>
      <c r="C11">
        <v>22.596620440610813</v>
      </c>
      <c r="D11">
        <v>23.228300781710633</v>
      </c>
      <c r="E11">
        <v>25.218381683353012</v>
      </c>
      <c r="F11">
        <v>25.309527143686296</v>
      </c>
      <c r="G11">
        <v>25.702034808065715</v>
      </c>
      <c r="H11">
        <v>25.984873850547928</v>
      </c>
      <c r="I11">
        <v>26.319989705137868</v>
      </c>
      <c r="J11">
        <v>26.755565092891811</v>
      </c>
      <c r="K11">
        <v>27.299737233320634</v>
      </c>
      <c r="L11">
        <v>27.915550506271479</v>
      </c>
      <c r="M11">
        <v>28.763038262320375</v>
      </c>
      <c r="N11">
        <v>29.708222689638419</v>
      </c>
      <c r="O11">
        <v>30.678420590984651</v>
      </c>
      <c r="P11">
        <v>31.682383262000858</v>
      </c>
      <c r="Q11">
        <v>32.744361691415953</v>
      </c>
      <c r="R11">
        <v>34.065825963929775</v>
      </c>
      <c r="S11">
        <v>34.968520882166068</v>
      </c>
      <c r="T11">
        <v>35.901574867034483</v>
      </c>
      <c r="U11">
        <v>36.884882251602754</v>
      </c>
      <c r="V11">
        <v>37.927608731939131</v>
      </c>
      <c r="W11">
        <v>39.013336327555741</v>
      </c>
      <c r="X11">
        <v>40.095483100122763</v>
      </c>
      <c r="Y11">
        <v>41.211852337311392</v>
      </c>
      <c r="Z11">
        <v>42.412038574304475</v>
      </c>
      <c r="AA11">
        <v>43.569004750105002</v>
      </c>
      <c r="AB11">
        <v>44.816158076062315</v>
      </c>
      <c r="AC11">
        <v>46.176399785528389</v>
      </c>
      <c r="AD11">
        <v>47.50420479866014</v>
      </c>
      <c r="AE11">
        <v>48.654939210024907</v>
      </c>
      <c r="AF11">
        <v>49.645388089939104</v>
      </c>
      <c r="AG11">
        <v>51.678536710340857</v>
      </c>
      <c r="AH11">
        <v>52.974345067207764</v>
      </c>
      <c r="AI11">
        <v>54.452549428347545</v>
      </c>
      <c r="AJ11">
        <v>56.020660481807305</v>
      </c>
      <c r="AK11">
        <v>57.690446872348595</v>
      </c>
      <c r="AL11">
        <v>59.550788584362962</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ht="15">
      <c r="A12" s="31" t="s">
        <v>508</v>
      </c>
      <c r="B12">
        <v>78.727153819699168</v>
      </c>
      <c r="C12">
        <v>73.016207961956312</v>
      </c>
      <c r="D12">
        <v>75.135122112171757</v>
      </c>
      <c r="E12">
        <v>81.858236846453636</v>
      </c>
      <c r="F12">
        <v>81.032580524932555</v>
      </c>
      <c r="G12">
        <v>81.701141054730229</v>
      </c>
      <c r="H12">
        <v>82.743899427001949</v>
      </c>
      <c r="I12">
        <v>83.719372068910701</v>
      </c>
      <c r="J12">
        <v>85.04580452753828</v>
      </c>
      <c r="K12">
        <v>86.947092320281357</v>
      </c>
      <c r="L12">
        <v>88.855197179293029</v>
      </c>
      <c r="M12">
        <v>91.500722467973247</v>
      </c>
      <c r="N12">
        <v>94.292590441071297</v>
      </c>
      <c r="O12">
        <v>97.124515325725127</v>
      </c>
      <c r="P12">
        <v>100.14250526383262</v>
      </c>
      <c r="Q12">
        <v>103.9949751588367</v>
      </c>
      <c r="R12">
        <v>108.04669993352474</v>
      </c>
      <c r="S12">
        <v>110.78913933000035</v>
      </c>
      <c r="T12">
        <v>113.85874160558842</v>
      </c>
      <c r="U12">
        <v>117.08359396535933</v>
      </c>
      <c r="V12">
        <v>119.07010446655889</v>
      </c>
      <c r="W12">
        <v>122.535577160383</v>
      </c>
      <c r="X12">
        <v>125.96069287844625</v>
      </c>
      <c r="Y12">
        <v>129.60293176773897</v>
      </c>
      <c r="Z12">
        <v>133.53766256644377</v>
      </c>
      <c r="AA12">
        <v>137.23035563412236</v>
      </c>
      <c r="AB12">
        <v>141.2112186136257</v>
      </c>
      <c r="AC12">
        <v>145.56140677623995</v>
      </c>
      <c r="AD12">
        <v>149.2641939245633</v>
      </c>
      <c r="AE12">
        <v>152.20258544182889</v>
      </c>
      <c r="AF12">
        <v>155.18053746289485</v>
      </c>
      <c r="AG12">
        <v>159.8485732174332</v>
      </c>
      <c r="AH12">
        <v>164.48508163093737</v>
      </c>
      <c r="AI12">
        <v>168.82794452360019</v>
      </c>
      <c r="AJ12">
        <v>173.81511654594277</v>
      </c>
      <c r="AK12">
        <v>179.17600353121179</v>
      </c>
      <c r="AL12">
        <v>185.18465168786301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ht="15">
      <c r="A13" s="31" t="s">
        <v>509</v>
      </c>
      <c r="B13">
        <v>9.7246298269513964</v>
      </c>
      <c r="C13">
        <v>8.6551165688435123</v>
      </c>
      <c r="D13">
        <v>9.1819649162671766</v>
      </c>
      <c r="E13">
        <v>9.5274832018279394</v>
      </c>
      <c r="F13">
        <v>9.5174211521779526</v>
      </c>
      <c r="G13">
        <v>9.5694454571086105</v>
      </c>
      <c r="H13">
        <v>9.7894548194419269</v>
      </c>
      <c r="I13">
        <v>10.166230977694678</v>
      </c>
      <c r="J13">
        <v>10.31958699320222</v>
      </c>
      <c r="K13">
        <v>10.502687709865743</v>
      </c>
      <c r="L13">
        <v>10.765512739488209</v>
      </c>
      <c r="M13">
        <v>11.117953957993082</v>
      </c>
      <c r="N13">
        <v>11.480067384565944</v>
      </c>
      <c r="O13">
        <v>11.850017654712977</v>
      </c>
      <c r="P13">
        <v>12.223176961819227</v>
      </c>
      <c r="Q13">
        <v>12.622486767279653</v>
      </c>
      <c r="R13">
        <v>13.142261603522272</v>
      </c>
      <c r="S13">
        <v>13.563119910889171</v>
      </c>
      <c r="T13">
        <v>13.986719673324739</v>
      </c>
      <c r="U13">
        <v>14.424792520465388</v>
      </c>
      <c r="V13">
        <v>14.870868783037519</v>
      </c>
      <c r="W13">
        <v>15.297626437648004</v>
      </c>
      <c r="X13">
        <v>15.76873148105612</v>
      </c>
      <c r="Y13">
        <v>16.205322049059227</v>
      </c>
      <c r="Z13">
        <v>16.670510966785997</v>
      </c>
      <c r="AA13">
        <v>17.147784092030474</v>
      </c>
      <c r="AB13">
        <v>17.614200659748274</v>
      </c>
      <c r="AC13">
        <v>18.068661857974583</v>
      </c>
      <c r="AD13">
        <v>18.418744165781181</v>
      </c>
      <c r="AE13">
        <v>18.850488189545871</v>
      </c>
      <c r="AF13">
        <v>19.445781646591431</v>
      </c>
      <c r="AG13">
        <v>17.569521925295778</v>
      </c>
      <c r="AH13">
        <v>18.123186602368616</v>
      </c>
      <c r="AI13">
        <v>18.721640139095207</v>
      </c>
      <c r="AJ13">
        <v>19.369864216632728</v>
      </c>
      <c r="AK13">
        <v>20.070259395166406</v>
      </c>
      <c r="AL13">
        <v>20.813395886118247</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ht="15">
      <c r="A14" s="31" t="s">
        <v>372</v>
      </c>
      <c r="B14">
        <v>20.822016404955527</v>
      </c>
      <c r="C14">
        <v>18.245672806412312</v>
      </c>
      <c r="D14">
        <v>17.968277514369372</v>
      </c>
      <c r="E14">
        <v>20.297778727294968</v>
      </c>
      <c r="F14">
        <v>19.511739816161374</v>
      </c>
      <c r="G14">
        <v>19.419933370855532</v>
      </c>
      <c r="H14">
        <v>20.230287764173429</v>
      </c>
      <c r="I14">
        <v>20.851795294301844</v>
      </c>
      <c r="J14">
        <v>21.024299689464254</v>
      </c>
      <c r="K14">
        <v>20.926928586078763</v>
      </c>
      <c r="L14">
        <v>21.320898543174025</v>
      </c>
      <c r="M14">
        <v>21.725199942329223</v>
      </c>
      <c r="N14">
        <v>22.292977022765491</v>
      </c>
      <c r="O14">
        <v>22.852014625999697</v>
      </c>
      <c r="P14">
        <v>23.367883012444121</v>
      </c>
      <c r="Q14">
        <v>23.548303284807552</v>
      </c>
      <c r="R14">
        <v>24.686569797245646</v>
      </c>
      <c r="S14">
        <v>25.166541803148274</v>
      </c>
      <c r="T14">
        <v>25.648451080370872</v>
      </c>
      <c r="U14">
        <v>26.170862001434553</v>
      </c>
      <c r="V14">
        <v>26.799710390822963</v>
      </c>
      <c r="W14">
        <v>27.50629305481274</v>
      </c>
      <c r="X14">
        <v>27.989186479960267</v>
      </c>
      <c r="Y14">
        <v>28.616554304365106</v>
      </c>
      <c r="Z14">
        <v>29.304588753046684</v>
      </c>
      <c r="AA14">
        <v>29.862062746643492</v>
      </c>
      <c r="AB14">
        <v>30.527408360949071</v>
      </c>
      <c r="AC14">
        <v>31.416472055943444</v>
      </c>
      <c r="AD14">
        <v>32.187361009867708</v>
      </c>
      <c r="AE14">
        <v>33.386877960867999</v>
      </c>
      <c r="AF14">
        <v>36.105717995502978</v>
      </c>
      <c r="AG14">
        <v>33.992601752950392</v>
      </c>
      <c r="AH14">
        <v>34.686082502109407</v>
      </c>
      <c r="AI14">
        <v>35.59868516081449</v>
      </c>
      <c r="AJ14">
        <v>36.446656294124161</v>
      </c>
      <c r="AK14">
        <v>37.350653491533215</v>
      </c>
      <c r="AL14">
        <v>38.43938048003443</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ht="15">
      <c r="A15" s="31" t="s">
        <v>510</v>
      </c>
      <c r="B15">
        <v>13.081394956063207</v>
      </c>
      <c r="C15">
        <v>11.008047680789192</v>
      </c>
      <c r="D15">
        <v>10.362961607996095</v>
      </c>
      <c r="E15">
        <v>11.943759156694888</v>
      </c>
      <c r="F15">
        <v>11.302647340740405</v>
      </c>
      <c r="G15">
        <v>11.225176815463819</v>
      </c>
      <c r="H15">
        <v>11.278665916925577</v>
      </c>
      <c r="I15">
        <v>11.543391847825426</v>
      </c>
      <c r="J15">
        <v>11.532402438164802</v>
      </c>
      <c r="K15">
        <v>11.52740801681389</v>
      </c>
      <c r="L15">
        <v>11.667432918222428</v>
      </c>
      <c r="M15">
        <v>11.875968779944991</v>
      </c>
      <c r="N15">
        <v>12.127891442455146</v>
      </c>
      <c r="O15">
        <v>12.393640097119745</v>
      </c>
      <c r="P15">
        <v>12.690834951211119</v>
      </c>
      <c r="Q15">
        <v>12.96829598282878</v>
      </c>
      <c r="R15">
        <v>13.77563211275554</v>
      </c>
      <c r="S15">
        <v>14.007952517180815</v>
      </c>
      <c r="T15">
        <v>14.332367529651002</v>
      </c>
      <c r="U15">
        <v>14.677600300657661</v>
      </c>
      <c r="V15">
        <v>15.064222342814331</v>
      </c>
      <c r="W15">
        <v>15.469084059968909</v>
      </c>
      <c r="X15">
        <v>15.802223741787438</v>
      </c>
      <c r="Y15">
        <v>16.166522272546946</v>
      </c>
      <c r="Z15">
        <v>16.541865448335844</v>
      </c>
      <c r="AA15">
        <v>16.890578505154043</v>
      </c>
      <c r="AB15">
        <v>17.257297106921268</v>
      </c>
      <c r="AC15">
        <v>17.693739070923485</v>
      </c>
      <c r="AD15">
        <v>18.133942665706059</v>
      </c>
      <c r="AE15">
        <v>18.399878160390202</v>
      </c>
      <c r="AF15">
        <v>18.463342087756448</v>
      </c>
      <c r="AG15">
        <v>19.610694675490787</v>
      </c>
      <c r="AH15">
        <v>20.249461561165365</v>
      </c>
      <c r="AI15">
        <v>20.828390759796289</v>
      </c>
      <c r="AJ15">
        <v>21.377327745909064</v>
      </c>
      <c r="AK15">
        <v>21.989714155501002</v>
      </c>
      <c r="AL15">
        <v>22.701952906930313</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ht="15">
      <c r="A16" s="31" t="s">
        <v>580</v>
      </c>
      <c r="B16">
        <v>0.12038694518980531</v>
      </c>
      <c r="C16">
        <v>0.12038694518980536</v>
      </c>
      <c r="D16">
        <v>0.12022528666913147</v>
      </c>
      <c r="E16">
        <v>0.12020588390229525</v>
      </c>
      <c r="F16">
        <v>0.12020588390229522</v>
      </c>
      <c r="G16">
        <v>0.12020588390229527</v>
      </c>
      <c r="H16">
        <v>0.12020588390229527</v>
      </c>
      <c r="I16">
        <v>0.12020588390229515</v>
      </c>
      <c r="J16">
        <v>0.12020588390229513</v>
      </c>
      <c r="K16">
        <v>0.79628692474723328</v>
      </c>
      <c r="L16">
        <v>0.87414594463790785</v>
      </c>
      <c r="M16">
        <v>0.96540726594191928</v>
      </c>
      <c r="N16">
        <v>1.0702079226512113</v>
      </c>
      <c r="O16">
        <v>1.2073481930046241</v>
      </c>
      <c r="P16">
        <v>1.62424563599329</v>
      </c>
      <c r="Q16">
        <v>3.3706300040352501</v>
      </c>
      <c r="R16">
        <v>3.5159800490027906</v>
      </c>
      <c r="S16">
        <v>3.6181963994829855</v>
      </c>
      <c r="T16">
        <v>3.7399748805851982</v>
      </c>
      <c r="U16">
        <v>3.8560411075916607</v>
      </c>
      <c r="V16">
        <v>3.9895335241337699</v>
      </c>
      <c r="W16">
        <v>4.1434181294657009</v>
      </c>
      <c r="X16">
        <v>4.2515195615800012</v>
      </c>
      <c r="Y16">
        <v>4.3596209936974599</v>
      </c>
      <c r="Z16">
        <v>4.4677224258133093</v>
      </c>
      <c r="AA16">
        <v>5.6656338011672451</v>
      </c>
      <c r="AB16">
        <v>6.9725261708417836</v>
      </c>
      <c r="AC16">
        <v>8.4302476058540456</v>
      </c>
      <c r="AD16">
        <v>10.019836044050969</v>
      </c>
      <c r="AE16">
        <v>11.96142799905782</v>
      </c>
      <c r="AF16">
        <v>14.063277619491183</v>
      </c>
      <c r="AG16">
        <v>15.718395597527099</v>
      </c>
      <c r="AH16">
        <v>16.955014190595477</v>
      </c>
      <c r="AI16">
        <v>18.315700999315073</v>
      </c>
      <c r="AJ16">
        <v>19.345008746815612</v>
      </c>
      <c r="AK16">
        <v>20.374323860972545</v>
      </c>
      <c r="AL16">
        <v>21.993794181320439</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ht="15">
      <c r="A17" s="31" t="s">
        <v>511</v>
      </c>
      <c r="B17">
        <v>142.1654628389569</v>
      </c>
      <c r="C17">
        <v>135.46633297828973</v>
      </c>
      <c r="D17">
        <v>144.16974142524791</v>
      </c>
      <c r="E17">
        <v>146.0015217941517</v>
      </c>
      <c r="F17">
        <v>140.99247158102477</v>
      </c>
      <c r="G17">
        <v>140.70016455869595</v>
      </c>
      <c r="H17">
        <v>136.14096238061538</v>
      </c>
      <c r="I17">
        <v>142.04836437977761</v>
      </c>
      <c r="J17">
        <v>141.1713724137999</v>
      </c>
      <c r="K17">
        <v>145.08533967491445</v>
      </c>
      <c r="L17">
        <v>146.83520234605228</v>
      </c>
      <c r="M17">
        <v>148.70559542165128</v>
      </c>
      <c r="N17">
        <v>152.45834863156287</v>
      </c>
      <c r="O17">
        <v>156.74975426977034</v>
      </c>
      <c r="P17">
        <v>161.67039367507846</v>
      </c>
      <c r="Q17">
        <v>170.48916112229026</v>
      </c>
      <c r="R17">
        <v>175.82953022629869</v>
      </c>
      <c r="S17">
        <v>181.39384286731183</v>
      </c>
      <c r="T17">
        <v>186.43316964714808</v>
      </c>
      <c r="U17">
        <v>191.87447637436713</v>
      </c>
      <c r="V17">
        <v>197.14502592117469</v>
      </c>
      <c r="W17">
        <v>203.05581121014166</v>
      </c>
      <c r="X17">
        <v>206.79351103812817</v>
      </c>
      <c r="Y17">
        <v>212.34917402626141</v>
      </c>
      <c r="Z17">
        <v>217.30696781014194</v>
      </c>
      <c r="AA17">
        <v>225.30331442642276</v>
      </c>
      <c r="AB17">
        <v>233.49569600080574</v>
      </c>
      <c r="AC17">
        <v>243.59840031857885</v>
      </c>
      <c r="AD17">
        <v>257.1047156343584</v>
      </c>
      <c r="AE17">
        <v>274.92527241933414</v>
      </c>
      <c r="AF17">
        <v>293.59206985155498</v>
      </c>
      <c r="AG17">
        <v>312.58129449068952</v>
      </c>
      <c r="AH17">
        <v>323.78958486524544</v>
      </c>
      <c r="AI17">
        <v>328.90777467382952</v>
      </c>
      <c r="AJ17">
        <v>333.68848405793415</v>
      </c>
      <c r="AK17">
        <v>338.49883429378195</v>
      </c>
      <c r="AL17">
        <v>343.92980018811841</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ht="15">
      <c r="A18" s="31" t="s">
        <v>576</v>
      </c>
      <c r="B18">
        <v>65.034909150272583</v>
      </c>
      <c r="C18">
        <v>54.044533442129755</v>
      </c>
      <c r="D18">
        <v>57.181972515376259</v>
      </c>
      <c r="E18">
        <v>67.978749230557511</v>
      </c>
      <c r="F18">
        <v>72.023151259936242</v>
      </c>
      <c r="G18">
        <v>73.530119677952626</v>
      </c>
      <c r="H18">
        <v>74.610187893955839</v>
      </c>
      <c r="I18">
        <v>74.80091518304701</v>
      </c>
      <c r="J18">
        <v>77.503073262803028</v>
      </c>
      <c r="K18">
        <v>80.127506991793553</v>
      </c>
      <c r="L18">
        <v>82.60552518021268</v>
      </c>
      <c r="M18">
        <v>84.88033245225148</v>
      </c>
      <c r="N18">
        <v>87.213325173323597</v>
      </c>
      <c r="O18">
        <v>89.567380843415222</v>
      </c>
      <c r="P18">
        <v>91.964034426281486</v>
      </c>
      <c r="Q18">
        <v>94.388916469684304</v>
      </c>
      <c r="R18">
        <v>97.144130022835313</v>
      </c>
      <c r="S18">
        <v>99.323099563934079</v>
      </c>
      <c r="T18">
        <v>101.43960939806566</v>
      </c>
      <c r="U18">
        <v>103.4617220264274</v>
      </c>
      <c r="V18">
        <v>105.46728009184447</v>
      </c>
      <c r="W18">
        <v>107.43299929637493</v>
      </c>
      <c r="X18">
        <v>109.17025177613189</v>
      </c>
      <c r="Y18">
        <v>110.85723777170635</v>
      </c>
      <c r="Z18">
        <v>112.57238870413418</v>
      </c>
      <c r="AA18">
        <v>114.15185268925212</v>
      </c>
      <c r="AB18">
        <v>115.90505978065366</v>
      </c>
      <c r="AC18">
        <v>117.69638564058361</v>
      </c>
      <c r="AD18">
        <v>119.34161753979485</v>
      </c>
      <c r="AE18">
        <v>120.78494687725853</v>
      </c>
      <c r="AF18">
        <v>122.15234524782441</v>
      </c>
      <c r="AG18">
        <v>123.74477496578093</v>
      </c>
      <c r="AH18">
        <v>125.26069679108845</v>
      </c>
      <c r="AI18">
        <v>126.95835809587972</v>
      </c>
      <c r="AJ18">
        <v>128.70124826688439</v>
      </c>
      <c r="AK18">
        <v>130.56019419049284</v>
      </c>
      <c r="AL18">
        <v>132.68863558020996</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ht="15">
      <c r="A19" s="31" t="s">
        <v>577</v>
      </c>
      <c r="B19">
        <v>227.80708143759773</v>
      </c>
      <c r="C19">
        <v>199.76770252320048</v>
      </c>
      <c r="D19">
        <v>211.8755283767928</v>
      </c>
      <c r="E19">
        <v>233.73158152099637</v>
      </c>
      <c r="F19">
        <v>234.173680963848</v>
      </c>
      <c r="G19">
        <v>234.39928131986068</v>
      </c>
      <c r="H19">
        <v>237.15136900351627</v>
      </c>
      <c r="I19">
        <v>241.14675329761619</v>
      </c>
      <c r="J19">
        <v>248.08538837163542</v>
      </c>
      <c r="K19">
        <v>256.24538595005038</v>
      </c>
      <c r="L19">
        <v>266.42255716726817</v>
      </c>
      <c r="M19">
        <v>276.40901282850319</v>
      </c>
      <c r="N19">
        <v>284.71501717612017</v>
      </c>
      <c r="O19">
        <v>293.82733977297573</v>
      </c>
      <c r="P19">
        <v>304.72907230134342</v>
      </c>
      <c r="Q19">
        <v>314.8419390652769</v>
      </c>
      <c r="R19">
        <v>325.22588657450592</v>
      </c>
      <c r="S19">
        <v>334.32690417409293</v>
      </c>
      <c r="T19">
        <v>345.63835606243873</v>
      </c>
      <c r="U19">
        <v>358.50660771109079</v>
      </c>
      <c r="V19">
        <v>371.53652303894961</v>
      </c>
      <c r="W19">
        <v>386.43122672458691</v>
      </c>
      <c r="X19">
        <v>401.0172331958924</v>
      </c>
      <c r="Y19">
        <v>415.62256018853515</v>
      </c>
      <c r="Z19">
        <v>428.92302249587669</v>
      </c>
      <c r="AA19">
        <v>441.07663665594379</v>
      </c>
      <c r="AB19">
        <v>454.62657855359004</v>
      </c>
      <c r="AC19">
        <v>469.0953026351857</v>
      </c>
      <c r="AD19">
        <v>482.80841585788801</v>
      </c>
      <c r="AE19">
        <v>496.01834712319368</v>
      </c>
      <c r="AF19">
        <v>509.74587979251589</v>
      </c>
      <c r="AG19">
        <v>521.16151713362444</v>
      </c>
      <c r="AH19">
        <v>532.20939451368167</v>
      </c>
      <c r="AI19">
        <v>545.63321200015412</v>
      </c>
      <c r="AJ19">
        <v>560.09221345208493</v>
      </c>
      <c r="AK19">
        <v>575.55985852325296</v>
      </c>
      <c r="AL19">
        <v>592.51222747921076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ht="15">
      <c r="A20" s="31" t="s">
        <v>801</v>
      </c>
      <c r="B20">
        <v>21.484668648898612</v>
      </c>
      <c r="C20">
        <v>18.15906473530341</v>
      </c>
      <c r="D20">
        <v>19.070267733876236</v>
      </c>
      <c r="E20">
        <v>21.88053527685851</v>
      </c>
      <c r="F20">
        <v>22.524719795279225</v>
      </c>
      <c r="G20">
        <v>22.794883785932011</v>
      </c>
      <c r="H20">
        <v>23.089255429157635</v>
      </c>
      <c r="I20">
        <v>23.380417358148659</v>
      </c>
      <c r="J20">
        <v>24.193455146545801</v>
      </c>
      <c r="K20">
        <v>25.080417868685494</v>
      </c>
      <c r="L20">
        <v>26.051211582299722</v>
      </c>
      <c r="M20">
        <v>27.02001990476753</v>
      </c>
      <c r="N20">
        <v>27.917377660404128</v>
      </c>
      <c r="O20">
        <v>28.832492923442221</v>
      </c>
      <c r="P20">
        <v>29.801114454337416</v>
      </c>
      <c r="Q20">
        <v>30.715158008249404</v>
      </c>
      <c r="R20">
        <v>31.682757951902161</v>
      </c>
      <c r="S20">
        <v>32.446867651890841</v>
      </c>
      <c r="T20">
        <v>33.256123923593968</v>
      </c>
      <c r="U20">
        <v>34.078096858682827</v>
      </c>
      <c r="V20">
        <v>34.906161249443052</v>
      </c>
      <c r="W20">
        <v>35.775282786458767</v>
      </c>
      <c r="X20">
        <v>36.62744056323799</v>
      </c>
      <c r="Y20">
        <v>37.494124980535453</v>
      </c>
      <c r="Z20">
        <v>38.339277593200862</v>
      </c>
      <c r="AA20">
        <v>39.107916976207264</v>
      </c>
      <c r="AB20">
        <v>39.978607171809244</v>
      </c>
      <c r="AC20">
        <v>40.892057563447494</v>
      </c>
      <c r="AD20">
        <v>41.741537006590356</v>
      </c>
      <c r="AE20">
        <v>42.523502463144723</v>
      </c>
      <c r="AF20">
        <v>43.276762460568037</v>
      </c>
      <c r="AG20">
        <v>44.118005824147517</v>
      </c>
      <c r="AH20">
        <v>44.954540718931426</v>
      </c>
      <c r="AI20">
        <v>45.892568492754357</v>
      </c>
      <c r="AJ20">
        <v>46.874398984657489</v>
      </c>
      <c r="AK20">
        <v>47.917199760897283</v>
      </c>
      <c r="AL20">
        <v>49.084069755035877</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ht="15">
      <c r="A21" s="31" t="s">
        <v>512</v>
      </c>
      <c r="B21">
        <v>46.84347202985203</v>
      </c>
      <c r="C21">
        <v>30.530274246117472</v>
      </c>
      <c r="D21">
        <v>29.535526213824049</v>
      </c>
      <c r="E21">
        <v>17.615110509761688</v>
      </c>
      <c r="F21">
        <v>24.993850478822516</v>
      </c>
      <c r="G21">
        <v>24.99385047882253</v>
      </c>
      <c r="H21">
        <v>24.993850478822527</v>
      </c>
      <c r="I21">
        <v>24.993850478822509</v>
      </c>
      <c r="J21">
        <v>24.993850478822505</v>
      </c>
      <c r="K21">
        <v>24.993850478822498</v>
      </c>
      <c r="L21">
        <v>24.993850478822502</v>
      </c>
      <c r="M21">
        <v>24.993850478822502</v>
      </c>
      <c r="N21">
        <v>24.993850478822502</v>
      </c>
      <c r="O21">
        <v>24.993850478822505</v>
      </c>
      <c r="P21">
        <v>24.993850478822512</v>
      </c>
      <c r="Q21">
        <v>24.993850478822512</v>
      </c>
      <c r="R21">
        <v>9.6319710273997607</v>
      </c>
      <c r="S21">
        <v>9.6319710273997572</v>
      </c>
      <c r="T21">
        <v>9.6319710273997519</v>
      </c>
      <c r="U21">
        <v>9.6319710273997465</v>
      </c>
      <c r="V21">
        <v>9.6319710273997465</v>
      </c>
      <c r="W21">
        <v>9.6319710273997465</v>
      </c>
      <c r="X21">
        <v>9.6319710273997483</v>
      </c>
      <c r="Y21">
        <v>9.6319710273997501</v>
      </c>
      <c r="Z21">
        <v>9.6319710273997501</v>
      </c>
      <c r="AA21">
        <v>9.6319710273997501</v>
      </c>
      <c r="AB21">
        <v>9.6319710273997448</v>
      </c>
      <c r="AC21">
        <v>7.7055768219197969</v>
      </c>
      <c r="AD21">
        <v>5.7791826164398472</v>
      </c>
      <c r="AE21">
        <v>3.8527884109598975</v>
      </c>
      <c r="AF21">
        <v>1.9263942054799488</v>
      </c>
      <c r="AG21">
        <v>0.19263942054799491</v>
      </c>
      <c r="AH21">
        <v>0.19263942054799482</v>
      </c>
      <c r="AI21">
        <v>0.19263942054799485</v>
      </c>
      <c r="AJ21">
        <v>0.19263942054799491</v>
      </c>
      <c r="AK21">
        <v>0.19263942054799499</v>
      </c>
      <c r="AL21">
        <v>0.19263942054799507</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ht="15">
      <c r="A22" s="31" t="s">
        <v>581</v>
      </c>
      <c r="B22">
        <v>94.108496528502243</v>
      </c>
      <c r="C22">
        <v>89.904190941820815</v>
      </c>
      <c r="D22">
        <v>89.546872171053238</v>
      </c>
      <c r="E22">
        <v>88.48421496996113</v>
      </c>
      <c r="F22">
        <v>84.442073396567309</v>
      </c>
      <c r="G22">
        <v>80.270058885719138</v>
      </c>
      <c r="H22">
        <v>73.313210419290016</v>
      </c>
      <c r="I22">
        <v>71.130947383627486</v>
      </c>
      <c r="J22">
        <v>67.488224761727565</v>
      </c>
      <c r="K22">
        <v>64.295781784494054</v>
      </c>
      <c r="L22">
        <v>62.047819561047383</v>
      </c>
      <c r="M22">
        <v>59.290369528251816</v>
      </c>
      <c r="N22">
        <v>58.324070109596121</v>
      </c>
      <c r="O22">
        <v>57.497418771655887</v>
      </c>
      <c r="P22">
        <v>56.654789269713049</v>
      </c>
      <c r="Q22">
        <v>55.27027028390696</v>
      </c>
      <c r="R22">
        <v>54.940729566865478</v>
      </c>
      <c r="S22">
        <v>53.978780028664801</v>
      </c>
      <c r="T22">
        <v>52.539527619738081</v>
      </c>
      <c r="U22">
        <v>51.002162948954741</v>
      </c>
      <c r="V22">
        <v>48.848931079237701</v>
      </c>
      <c r="W22">
        <v>46.692754482779144</v>
      </c>
      <c r="X22">
        <v>43.085707505996318</v>
      </c>
      <c r="Y22">
        <v>40.737216085927059</v>
      </c>
      <c r="Z22">
        <v>38.375058390417649</v>
      </c>
      <c r="AA22">
        <v>35.61844053920592</v>
      </c>
      <c r="AB22">
        <v>34.694636212440741</v>
      </c>
      <c r="AC22">
        <v>30.797173494293208</v>
      </c>
      <c r="AD22">
        <v>26.688613091036178</v>
      </c>
      <c r="AE22">
        <v>22.497137602964248</v>
      </c>
      <c r="AF22">
        <v>17.755471595543856</v>
      </c>
      <c r="AG22">
        <v>11.704945518482393</v>
      </c>
      <c r="AH22">
        <v>11.757930884388204</v>
      </c>
      <c r="AI22">
        <v>11.788794803560878</v>
      </c>
      <c r="AJ22">
        <v>11.841137020026121</v>
      </c>
      <c r="AK22">
        <v>11.89262346445881</v>
      </c>
      <c r="AL22">
        <v>11.94942051347957</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ht="15">
      <c r="A23" s="31" t="s">
        <v>698</v>
      </c>
      <c r="B23">
        <v>97.599403971329423</v>
      </c>
      <c r="C23">
        <v>88.821641527190579</v>
      </c>
      <c r="D23">
        <v>137.12826869870725</v>
      </c>
      <c r="E23">
        <v>107.35865439435716</v>
      </c>
      <c r="F23">
        <v>115.68514865824622</v>
      </c>
      <c r="G23">
        <v>119.8450832672882</v>
      </c>
      <c r="H23">
        <v>123.32518267018244</v>
      </c>
      <c r="I23">
        <v>126.70762284135432</v>
      </c>
      <c r="J23">
        <v>131.97839148023411</v>
      </c>
      <c r="K23">
        <v>137.11411320045573</v>
      </c>
      <c r="L23">
        <v>143.5365499204319</v>
      </c>
      <c r="M23">
        <v>149.88586159222774</v>
      </c>
      <c r="N23">
        <v>156.80273370104427</v>
      </c>
      <c r="O23">
        <v>163.91167811527436</v>
      </c>
      <c r="P23">
        <v>171.39097393497522</v>
      </c>
      <c r="Q23">
        <v>179.66639718664979</v>
      </c>
      <c r="R23">
        <v>191.65871867859605</v>
      </c>
      <c r="S23">
        <v>201.02207238907511</v>
      </c>
      <c r="T23">
        <v>210.12988162189822</v>
      </c>
      <c r="U23">
        <v>219.12818280897704</v>
      </c>
      <c r="V23">
        <v>227.90130211423406</v>
      </c>
      <c r="W23">
        <v>236.49186859487747</v>
      </c>
      <c r="X23">
        <v>244.58113028551705</v>
      </c>
      <c r="Y23">
        <v>252.05258350843019</v>
      </c>
      <c r="Z23">
        <v>259.82978408862402</v>
      </c>
      <c r="AA23">
        <v>266.94054362089599</v>
      </c>
      <c r="AB23">
        <v>274.33958323211903</v>
      </c>
      <c r="AC23">
        <v>282.59547966457984</v>
      </c>
      <c r="AD23">
        <v>290.91021149242528</v>
      </c>
      <c r="AE23">
        <v>297.21837343864706</v>
      </c>
      <c r="AF23">
        <v>300.21414547944511</v>
      </c>
      <c r="AG23">
        <v>314.49579131717167</v>
      </c>
      <c r="AH23">
        <v>324.56221184307316</v>
      </c>
      <c r="AI23">
        <v>336.56126976910247</v>
      </c>
      <c r="AJ23">
        <v>349.50052798415607</v>
      </c>
      <c r="AK23">
        <v>363.79961610302024</v>
      </c>
      <c r="AL23">
        <v>380.09919984608592</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ht="15">
      <c r="A24" s="31" t="s">
        <v>692</v>
      </c>
      <c r="B24">
        <v>2.4822992718580927</v>
      </c>
      <c r="C24">
        <v>2.2071301423814771</v>
      </c>
      <c r="D24">
        <v>2.2658841474644604</v>
      </c>
      <c r="E24">
        <v>2.4086925489767603</v>
      </c>
      <c r="F24">
        <v>2.4195789758412829</v>
      </c>
      <c r="G24">
        <v>2.4411264289663137</v>
      </c>
      <c r="H24">
        <v>2.4727631212074122</v>
      </c>
      <c r="I24">
        <v>2.5080972775303048</v>
      </c>
      <c r="J24">
        <v>2.547905802121027</v>
      </c>
      <c r="K24">
        <v>2.6053103797204962</v>
      </c>
      <c r="L24">
        <v>2.6645275459795088</v>
      </c>
      <c r="M24">
        <v>2.7445595935684075</v>
      </c>
      <c r="N24">
        <v>2.8310560570119696</v>
      </c>
      <c r="O24">
        <v>2.9192877776340405</v>
      </c>
      <c r="P24">
        <v>3.0147697722362352</v>
      </c>
      <c r="Q24">
        <v>3.134317043268362</v>
      </c>
      <c r="R24">
        <v>3.192222455353217</v>
      </c>
      <c r="S24">
        <v>3.2770579061215916</v>
      </c>
      <c r="T24">
        <v>3.3724324769177416</v>
      </c>
      <c r="U24">
        <v>3.4719474385326765</v>
      </c>
      <c r="V24">
        <v>3.5257860193262802</v>
      </c>
      <c r="W24">
        <v>3.6337519185628313</v>
      </c>
      <c r="X24">
        <v>3.7381483072971777</v>
      </c>
      <c r="Y24">
        <v>3.8507893763665102</v>
      </c>
      <c r="Z24">
        <v>3.9699793546594044</v>
      </c>
      <c r="AA24">
        <v>4.0808649867335642</v>
      </c>
      <c r="AB24">
        <v>4.201871517749372</v>
      </c>
      <c r="AC24">
        <v>4.3258751839026841</v>
      </c>
      <c r="AD24">
        <v>4.4325006461640042</v>
      </c>
      <c r="AE24">
        <v>4.5170473882759348</v>
      </c>
      <c r="AF24">
        <v>4.5996000747837726</v>
      </c>
      <c r="AG24">
        <v>4.7345789522639947</v>
      </c>
      <c r="AH24">
        <v>4.8764075308852286</v>
      </c>
      <c r="AI24">
        <v>5.014151130524839</v>
      </c>
      <c r="AJ24">
        <v>5.1654935816705834</v>
      </c>
      <c r="AK24">
        <v>5.3275810441271121</v>
      </c>
      <c r="AL24">
        <v>5.511065902454666</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ht="15">
      <c r="A25" s="31" t="s">
        <v>700</v>
      </c>
      <c r="B25">
        <v>0.28999999999999998</v>
      </c>
      <c r="C25">
        <v>0.29000000000000015</v>
      </c>
      <c r="D25">
        <v>0.28961058094030462</v>
      </c>
      <c r="E25">
        <v>0.28956384163336707</v>
      </c>
      <c r="F25">
        <v>0.28956384163336696</v>
      </c>
      <c r="G25">
        <v>0.28956384163336713</v>
      </c>
      <c r="H25">
        <v>0.28956384163336713</v>
      </c>
      <c r="I25">
        <v>0.28956384163336685</v>
      </c>
      <c r="J25">
        <v>0.28956384163336674</v>
      </c>
      <c r="K25">
        <v>0.28956384163336668</v>
      </c>
      <c r="L25">
        <v>0.28956384163336674</v>
      </c>
      <c r="M25">
        <v>0.28956384163336674</v>
      </c>
      <c r="N25">
        <v>0.28956384163336674</v>
      </c>
      <c r="O25">
        <v>0.28956384163336679</v>
      </c>
      <c r="P25">
        <v>0.28956384163336685</v>
      </c>
      <c r="Q25">
        <v>0.28956384163336685</v>
      </c>
      <c r="R25">
        <v>0.28956384163336696</v>
      </c>
      <c r="S25">
        <v>0.28956384163336685</v>
      </c>
      <c r="T25">
        <v>0.28956384163336668</v>
      </c>
      <c r="U25">
        <v>0.28956384163336651</v>
      </c>
      <c r="V25">
        <v>0.28956384163336646</v>
      </c>
      <c r="W25">
        <v>0.28956384163336651</v>
      </c>
      <c r="X25">
        <v>0.28956384163336651</v>
      </c>
      <c r="Y25">
        <v>0.28956384163336657</v>
      </c>
      <c r="Z25">
        <v>0.28956384163336651</v>
      </c>
      <c r="AA25">
        <v>0.28956384163336651</v>
      </c>
      <c r="AB25">
        <v>0.28956384163336635</v>
      </c>
      <c r="AC25">
        <v>0.28956384163336646</v>
      </c>
      <c r="AD25">
        <v>0.28956384163336646</v>
      </c>
      <c r="AE25">
        <v>0.28956384163336646</v>
      </c>
      <c r="AF25">
        <v>0.2895638416333664</v>
      </c>
      <c r="AG25">
        <v>0.28956384163336646</v>
      </c>
      <c r="AH25">
        <v>0.28956384163336635</v>
      </c>
      <c r="AI25">
        <v>0.2895638416333664</v>
      </c>
      <c r="AJ25">
        <v>0.28956384163336646</v>
      </c>
      <c r="AK25">
        <v>0.28956384163336657</v>
      </c>
      <c r="AL25">
        <v>0.28956384163336668</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ht="15">
      <c r="A26" s="31" t="s">
        <v>701</v>
      </c>
      <c r="B26">
        <v>0.07816978240367306</v>
      </c>
      <c r="C26">
        <v>0.078169782403673102</v>
      </c>
      <c r="D26">
        <v>0.078064814116913656</v>
      </c>
      <c r="E26">
        <v>0.078052215491213606</v>
      </c>
      <c r="F26">
        <v>0.078052215491213592</v>
      </c>
      <c r="G26">
        <v>0.078052215491213633</v>
      </c>
      <c r="H26">
        <v>0.078052215491213633</v>
      </c>
      <c r="I26">
        <v>0.078052215491213564</v>
      </c>
      <c r="J26">
        <v>0.39476894375449628</v>
      </c>
      <c r="K26">
        <v>0.048319974066512825</v>
      </c>
      <c r="L26">
        <v>0.058553227908205857</v>
      </c>
      <c r="M26">
        <v>0.054612754566393036</v>
      </c>
      <c r="N26">
        <v>0.069032615412077517</v>
      </c>
      <c r="O26">
        <v>0.20568645329988453</v>
      </c>
      <c r="P26">
        <v>0.90854113771063749</v>
      </c>
      <c r="Q26">
        <v>0.090854113771063727</v>
      </c>
      <c r="R26">
        <v>0.048154623080390431</v>
      </c>
      <c r="S26">
        <v>0.022527584509679274</v>
      </c>
      <c r="T26">
        <v>0.5322348297258046</v>
      </c>
      <c r="U26">
        <v>0.36427910637806243</v>
      </c>
      <c r="V26">
        <v>0.59843024204047546</v>
      </c>
      <c r="W26">
        <v>0.25252276124662248</v>
      </c>
      <c r="X26">
        <v>2.0965877277058738</v>
      </c>
      <c r="Y26">
        <v>3.8800083800514775</v>
      </c>
      <c r="Z26">
        <v>1.831665049749803</v>
      </c>
      <c r="AA26">
        <v>3.1330895556671123</v>
      </c>
      <c r="AB26">
        <v>3.008798169399336</v>
      </c>
      <c r="AC26">
        <v>2.3712390031724024</v>
      </c>
      <c r="AD26">
        <v>2.0104847259560228</v>
      </c>
      <c r="AE26">
        <v>1.8319923117435095</v>
      </c>
      <c r="AF26">
        <v>3.0371922856096107</v>
      </c>
      <c r="AG26">
        <v>1.8957421079857588</v>
      </c>
      <c r="AH26">
        <v>3.354098342101802</v>
      </c>
      <c r="AI26">
        <v>3.7116155914499314</v>
      </c>
      <c r="AJ26">
        <v>4.3397321628620684</v>
      </c>
      <c r="AK26">
        <v>3.8238726699116721</v>
      </c>
      <c r="AL26">
        <v>0.38238726699116726</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1" ht="15">
      <c r="A27" s="31"/>
    </row>
    <row r="28" spans="1:1" ht="15">
      <c r="A28" s="31"/>
    </row>
    <row r="42" spans="1:9" ht="15">
      <c r="A42" s="117"/>
      <c r="B42" s="117"/>
      <c r="C42" s="117"/>
      <c r="D42" s="117"/>
      <c r="E42" s="117"/>
      <c r="F42" s="117"/>
      <c r="G42" s="117"/>
      <c r="H42" s="117"/>
      <c r="I42" s="117"/>
    </row>
    <row r="43" spans="1:82" ht="15">
      <c r="A43" s="31" t="s">
        <v>550</v>
      </c>
      <c r="B43" s="31" t="s">
        <v>538</v>
      </c>
      <c r="C43" s="31" t="s">
        <v>551</v>
      </c>
      <c r="D43" s="31" t="s">
        <v>552</v>
      </c>
      <c r="E43" s="31" t="s">
        <v>553</v>
      </c>
      <c r="F43" s="31" t="s">
        <v>554</v>
      </c>
      <c r="G43" s="31" t="s">
        <v>539</v>
      </c>
      <c r="H43" s="31" t="s">
        <v>555</v>
      </c>
      <c r="I43" s="31" t="s">
        <v>556</v>
      </c>
      <c r="J43" s="31" t="s">
        <v>557</v>
      </c>
      <c r="K43" s="31" t="s">
        <v>558</v>
      </c>
      <c r="L43" s="31" t="s">
        <v>540</v>
      </c>
      <c r="M43" s="31" t="s">
        <v>559</v>
      </c>
      <c r="N43" s="31" t="s">
        <v>560</v>
      </c>
      <c r="O43" s="31" t="s">
        <v>561</v>
      </c>
      <c r="P43" s="31" t="s">
        <v>562</v>
      </c>
      <c r="Q43" s="31" t="s">
        <v>541</v>
      </c>
      <c r="R43" s="31" t="s">
        <v>563</v>
      </c>
      <c r="S43" s="31" t="s">
        <v>564</v>
      </c>
      <c r="T43" s="31" t="s">
        <v>565</v>
      </c>
      <c r="U43" s="31" t="s">
        <v>566</v>
      </c>
      <c r="V43" s="31" t="s">
        <v>542</v>
      </c>
      <c r="W43" s="31" t="s">
        <v>567</v>
      </c>
      <c r="X43" s="31" t="s">
        <v>568</v>
      </c>
      <c r="Y43" s="31" t="s">
        <v>569</v>
      </c>
      <c r="Z43" s="31" t="s">
        <v>570</v>
      </c>
      <c r="AA43" s="31" t="s">
        <v>543</v>
      </c>
      <c r="AB43" s="31" t="s">
        <v>571</v>
      </c>
      <c r="AC43" s="31" t="s">
        <v>572</v>
      </c>
      <c r="AD43" s="31" t="s">
        <v>573</v>
      </c>
      <c r="AE43" s="31" t="s">
        <v>574</v>
      </c>
      <c r="AF43" s="31" t="s">
        <v>544</v>
      </c>
      <c r="AG43" s="31" t="s">
        <v>702</v>
      </c>
      <c r="AH43" s="31" t="s">
        <v>703</v>
      </c>
      <c r="AI43" s="31" t="s">
        <v>704</v>
      </c>
      <c r="AJ43" s="31" t="s">
        <v>705</v>
      </c>
      <c r="AK43" s="31" t="s">
        <v>706</v>
      </c>
      <c r="AL43" s="31" t="s">
        <v>707</v>
      </c>
      <c r="AM43" s="31" t="s">
        <v>708</v>
      </c>
      <c r="AN43" s="31" t="s">
        <v>709</v>
      </c>
      <c r="AO43" s="31" t="s">
        <v>710</v>
      </c>
      <c r="AP43" s="31" t="s">
        <v>711</v>
      </c>
      <c r="AQ43" s="31" t="s">
        <v>712</v>
      </c>
      <c r="AR43" s="31" t="s">
        <v>713</v>
      </c>
      <c r="AS43" s="31" t="s">
        <v>714</v>
      </c>
      <c r="AT43" s="31" t="s">
        <v>715</v>
      </c>
      <c r="AU43" s="31" t="s">
        <v>716</v>
      </c>
      <c r="AV43" s="31" t="s">
        <v>717</v>
      </c>
      <c r="AW43" s="31" t="s">
        <v>718</v>
      </c>
      <c r="AX43" s="31" t="s">
        <v>719</v>
      </c>
      <c r="AY43" s="31" t="s">
        <v>720</v>
      </c>
      <c r="AZ43" s="31" t="s">
        <v>721</v>
      </c>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row>
    <row r="44" spans="1:52" ht="15">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row>
    <row r="61" spans="2:53" ht="15">
      <c r="B61" s="31" t="s">
        <v>550</v>
      </c>
      <c r="C61" s="31" t="s">
        <v>538</v>
      </c>
      <c r="D61" s="31" t="s">
        <v>551</v>
      </c>
      <c r="E61" s="31" t="s">
        <v>552</v>
      </c>
      <c r="F61" s="31" t="s">
        <v>553</v>
      </c>
      <c r="G61" s="31" t="s">
        <v>554</v>
      </c>
      <c r="H61" s="31" t="s">
        <v>539</v>
      </c>
      <c r="I61" s="31" t="s">
        <v>555</v>
      </c>
      <c r="J61" s="31" t="s">
        <v>556</v>
      </c>
      <c r="K61" s="31" t="s">
        <v>557</v>
      </c>
      <c r="L61" s="31" t="s">
        <v>558</v>
      </c>
      <c r="M61" s="31" t="s">
        <v>540</v>
      </c>
      <c r="N61" s="31" t="s">
        <v>559</v>
      </c>
      <c r="O61" s="31" t="s">
        <v>560</v>
      </c>
      <c r="P61" s="31" t="s">
        <v>561</v>
      </c>
      <c r="Q61" s="31" t="s">
        <v>562</v>
      </c>
      <c r="R61" s="31" t="s">
        <v>541</v>
      </c>
      <c r="S61" s="31" t="s">
        <v>563</v>
      </c>
      <c r="T61" s="31" t="s">
        <v>564</v>
      </c>
      <c r="U61" s="31" t="s">
        <v>565</v>
      </c>
      <c r="V61" s="31" t="s">
        <v>566</v>
      </c>
      <c r="W61" s="31" t="s">
        <v>542</v>
      </c>
      <c r="X61" s="31" t="s">
        <v>567</v>
      </c>
      <c r="Y61" s="31" t="s">
        <v>568</v>
      </c>
      <c r="Z61" s="31" t="s">
        <v>569</v>
      </c>
      <c r="AA61" s="31" t="s">
        <v>570</v>
      </c>
      <c r="AB61" s="31" t="s">
        <v>543</v>
      </c>
      <c r="AC61" s="31" t="s">
        <v>571</v>
      </c>
      <c r="AD61" s="31" t="s">
        <v>572</v>
      </c>
      <c r="AE61" s="31" t="s">
        <v>573</v>
      </c>
      <c r="AF61" s="31" t="s">
        <v>574</v>
      </c>
      <c r="AG61" s="31" t="s">
        <v>544</v>
      </c>
      <c r="AH61" s="31" t="s">
        <v>702</v>
      </c>
      <c r="AI61" s="31" t="s">
        <v>703</v>
      </c>
      <c r="AJ61" s="31" t="s">
        <v>704</v>
      </c>
      <c r="AK61" s="31" t="s">
        <v>705</v>
      </c>
      <c r="AL61" s="31" t="s">
        <v>706</v>
      </c>
      <c r="AM61" s="31"/>
      <c r="AN61" s="31"/>
      <c r="AO61" s="31"/>
      <c r="AP61" s="31"/>
      <c r="AQ61" s="31"/>
      <c r="AR61" s="31"/>
      <c r="AS61" s="31"/>
      <c r="AT61" s="31"/>
      <c r="AU61" s="31"/>
      <c r="AV61" s="31"/>
      <c r="AW61" s="31"/>
      <c r="AX61" s="31"/>
      <c r="AY61" s="31"/>
      <c r="AZ61" s="31"/>
      <c r="BA61" s="31"/>
    </row>
    <row r="62" spans="1:40" ht="15">
      <c r="A62" s="31" t="s">
        <v>259</v>
      </c>
      <c r="B62">
        <v>0.50</v>
      </c>
      <c r="C62">
        <v>0.51324982266072861</v>
      </c>
      <c r="D62">
        <v>0.49775174648165205</v>
      </c>
      <c r="E62">
        <v>0.46920864969558745</v>
      </c>
      <c r="F62">
        <v>0.45802854150869027</v>
      </c>
      <c r="G62">
        <v>0.44982105076485712</v>
      </c>
      <c r="H62">
        <v>0.44260227997830248</v>
      </c>
      <c r="I62">
        <v>0.43832636181986206</v>
      </c>
      <c r="J62">
        <v>0.427918908801454</v>
      </c>
      <c r="K62">
        <v>0.41388979801951292</v>
      </c>
      <c r="L62">
        <v>0.39988623775329268</v>
      </c>
      <c r="M62">
        <v>0.38564471486303931</v>
      </c>
      <c r="N62">
        <v>0.37160789015892265</v>
      </c>
      <c r="O62">
        <v>0.35815863211430854</v>
      </c>
      <c r="P62">
        <v>0.34530474289348895</v>
      </c>
      <c r="Q62">
        <v>0.33303577589021149</v>
      </c>
      <c r="R62">
        <v>0.3212479958261335</v>
      </c>
      <c r="S62">
        <v>0.31033528587967796</v>
      </c>
      <c r="T62">
        <v>0.29961797342314161</v>
      </c>
      <c r="U62">
        <v>0.28915345189860769</v>
      </c>
      <c r="V62">
        <v>0.27891913196218387</v>
      </c>
      <c r="W62">
        <v>0.26895287740496776</v>
      </c>
      <c r="X62">
        <v>0.25985070935377774</v>
      </c>
      <c r="Y62">
        <v>0.25117352014884819</v>
      </c>
      <c r="Z62">
        <v>0.24278402962685638</v>
      </c>
      <c r="AA62">
        <v>0.23520867987564914</v>
      </c>
      <c r="AB62">
        <v>0.22785548901104374</v>
      </c>
      <c r="AC62">
        <v>0.2206133156813691</v>
      </c>
      <c r="AD62">
        <v>0.21375621331616856</v>
      </c>
      <c r="AE62">
        <v>0.20727413245210974</v>
      </c>
      <c r="AF62">
        <v>0.20068182817528601</v>
      </c>
      <c r="AG62">
        <v>0.1957202447425373</v>
      </c>
      <c r="AH62" s="22">
        <v>0.19089036386985919</v>
      </c>
      <c r="AI62" s="22">
        <v>0.18505318938944776</v>
      </c>
      <c r="AJ62" s="22">
        <v>0.17924660491711281</v>
      </c>
      <c r="AK62" s="22">
        <v>0.17340417778230016</v>
      </c>
      <c r="AL62" s="22">
        <v>0.16758318046465467</v>
      </c>
      <c r="AM62" s="22"/>
      <c r="AN62" s="22"/>
    </row>
    <row r="63" spans="1:40" ht="15">
      <c r="A63" s="31" t="s">
        <v>260</v>
      </c>
      <c r="B63">
        <v>0.30</v>
      </c>
      <c r="C63">
        <v>0.28675017733927138</v>
      </c>
      <c r="D63">
        <v>0.29125715189066648</v>
      </c>
      <c r="E63">
        <v>0.30545929644994801</v>
      </c>
      <c r="F63">
        <v>0.31017131002360265</v>
      </c>
      <c r="G63">
        <v>0.312701930325686</v>
      </c>
      <c r="H63">
        <v>0.31527520740037901</v>
      </c>
      <c r="I63">
        <v>0.31697230945861132</v>
      </c>
      <c r="J63">
        <v>0.31713894101366108</v>
      </c>
      <c r="K63">
        <v>0.32051233989716021</v>
      </c>
      <c r="L63">
        <v>0.32346640024475887</v>
      </c>
      <c r="M63">
        <v>0.32648322553319159</v>
      </c>
      <c r="N63">
        <v>0.32973001654050227</v>
      </c>
      <c r="O63">
        <v>0.33284136092064287</v>
      </c>
      <c r="P63">
        <v>0.33583424938097362</v>
      </c>
      <c r="Q63">
        <v>0.33885322625854242</v>
      </c>
      <c r="R63">
        <v>0.34172645220036951</v>
      </c>
      <c r="S63">
        <v>0.34414015004218002</v>
      </c>
      <c r="T63">
        <v>0.34652333762556425</v>
      </c>
      <c r="U63">
        <v>0.3488601491049434</v>
      </c>
      <c r="V63">
        <v>0.35102016763306942</v>
      </c>
      <c r="W63">
        <v>0.35329189706250747</v>
      </c>
      <c r="X63">
        <v>0.35557565441698152</v>
      </c>
      <c r="Y63">
        <v>0.35736256465783622</v>
      </c>
      <c r="Z63">
        <v>0.35938508299262428</v>
      </c>
      <c r="AA63">
        <v>0.36121795791766081</v>
      </c>
      <c r="AB63">
        <v>0.36286488689418894</v>
      </c>
      <c r="AC63">
        <v>0.36437004767255682</v>
      </c>
      <c r="AD63">
        <v>0.36606922003531156</v>
      </c>
      <c r="AE63">
        <v>0.36754210592616721</v>
      </c>
      <c r="AF63">
        <v>0.3689603237708905</v>
      </c>
      <c r="AG63">
        <v>0.37135867649406379</v>
      </c>
      <c r="AH63" s="22">
        <v>0.37157346509325268</v>
      </c>
      <c r="AI63" s="22">
        <v>0.37264101499733665</v>
      </c>
      <c r="AJ63" s="22">
        <v>0.37365185334859419</v>
      </c>
      <c r="AK63" s="22">
        <v>0.37469352533591793</v>
      </c>
      <c r="AL63" s="22">
        <v>0.37568506544178071</v>
      </c>
      <c r="AM63" s="22"/>
      <c r="AN63" s="22"/>
    </row>
    <row r="64" spans="1:40" ht="15">
      <c r="A64" s="31" t="s">
        <v>261</v>
      </c>
      <c r="B64">
        <v>0.20</v>
      </c>
      <c r="C64">
        <v>0.20</v>
      </c>
      <c r="D64">
        <v>0.21099110162768148</v>
      </c>
      <c r="E64">
        <v>0.22533205385446464</v>
      </c>
      <c r="F64">
        <v>0.23180014846770711</v>
      </c>
      <c r="G64">
        <v>0.23747701890945697</v>
      </c>
      <c r="H64">
        <v>0.2421225126213184</v>
      </c>
      <c r="I64">
        <v>0.24470132872152661</v>
      </c>
      <c r="J64">
        <v>0.25494215018488492</v>
      </c>
      <c r="K64">
        <v>0.26559786208332675</v>
      </c>
      <c r="L64">
        <v>0.27664736200194845</v>
      </c>
      <c r="M64">
        <v>0.2878720596037691</v>
      </c>
      <c r="N64">
        <v>0.29866209330057503</v>
      </c>
      <c r="O64">
        <v>0.30900000696504859</v>
      </c>
      <c r="P64">
        <v>0.31886100772553744</v>
      </c>
      <c r="Q64">
        <v>0.32811099785124609</v>
      </c>
      <c r="R64">
        <v>0.33702555197349704</v>
      </c>
      <c r="S64">
        <v>0.34552456407814203</v>
      </c>
      <c r="T64">
        <v>0.35385868895129408</v>
      </c>
      <c r="U64">
        <v>0.36198639899644891</v>
      </c>
      <c r="V64">
        <v>0.3700607004047467</v>
      </c>
      <c r="W64">
        <v>0.37775522553252477</v>
      </c>
      <c r="X64">
        <v>0.38457363622924079</v>
      </c>
      <c r="Y64">
        <v>0.39146391519331564</v>
      </c>
      <c r="Z64">
        <v>0.39783088738051936</v>
      </c>
      <c r="AA64">
        <v>0.40357336220668999</v>
      </c>
      <c r="AB64">
        <v>0.40927962409476731</v>
      </c>
      <c r="AC64">
        <v>0.41501663664607408</v>
      </c>
      <c r="AD64">
        <v>0.42017456664851993</v>
      </c>
      <c r="AE64">
        <v>0.42518376162172311</v>
      </c>
      <c r="AF64">
        <v>0.43035784805382349</v>
      </c>
      <c r="AG64">
        <v>0.43292107876339897</v>
      </c>
      <c r="AH64" s="22">
        <v>0.43753617103688813</v>
      </c>
      <c r="AI64" s="22">
        <v>0.44230579561321559</v>
      </c>
      <c r="AJ64" s="22">
        <v>0.44710154173429295</v>
      </c>
      <c r="AK64" s="22">
        <v>0.45190229688178191</v>
      </c>
      <c r="AL64" s="22">
        <v>0.45673175409356465</v>
      </c>
      <c r="AM64" s="22"/>
      <c r="AN64" s="22"/>
    </row>
    <row r="65" spans="1:1" ht="15">
      <c r="A65" s="31"/>
    </row>
    <row r="66" spans="1:1" ht="15">
      <c r="A66" s="31"/>
    </row>
    <row r="67" spans="1:1" ht="15">
      <c r="A67" s="31"/>
    </row>
    <row r="71" spans="1:52" ht="15">
      <c r="A71" s="31" t="s">
        <v>550</v>
      </c>
      <c r="B71" s="31" t="s">
        <v>538</v>
      </c>
      <c r="C71" s="31" t="s">
        <v>551</v>
      </c>
      <c r="D71" s="31" t="s">
        <v>552</v>
      </c>
      <c r="E71" s="31" t="s">
        <v>553</v>
      </c>
      <c r="F71" s="31" t="s">
        <v>554</v>
      </c>
      <c r="G71" s="31" t="s">
        <v>539</v>
      </c>
      <c r="H71" s="31" t="s">
        <v>555</v>
      </c>
      <c r="I71" s="31" t="s">
        <v>556</v>
      </c>
      <c r="J71" s="31" t="s">
        <v>557</v>
      </c>
      <c r="K71" s="31" t="s">
        <v>558</v>
      </c>
      <c r="L71" s="31" t="s">
        <v>540</v>
      </c>
      <c r="M71" s="31" t="s">
        <v>559</v>
      </c>
      <c r="N71" s="31" t="s">
        <v>560</v>
      </c>
      <c r="O71" s="31" t="s">
        <v>561</v>
      </c>
      <c r="P71" s="31" t="s">
        <v>562</v>
      </c>
      <c r="Q71" s="31" t="s">
        <v>541</v>
      </c>
      <c r="R71" s="31" t="s">
        <v>563</v>
      </c>
      <c r="S71" s="31" t="s">
        <v>564</v>
      </c>
      <c r="T71" s="31" t="s">
        <v>565</v>
      </c>
      <c r="U71" s="31" t="s">
        <v>566</v>
      </c>
      <c r="V71" s="31" t="s">
        <v>542</v>
      </c>
      <c r="W71" s="31" t="s">
        <v>567</v>
      </c>
      <c r="X71" s="31" t="s">
        <v>568</v>
      </c>
      <c r="Y71" s="31" t="s">
        <v>569</v>
      </c>
      <c r="Z71" s="31" t="s">
        <v>570</v>
      </c>
      <c r="AA71" s="31" t="s">
        <v>543</v>
      </c>
      <c r="AB71" s="31" t="s">
        <v>571</v>
      </c>
      <c r="AC71" s="31" t="s">
        <v>572</v>
      </c>
      <c r="AD71" s="31" t="s">
        <v>573</v>
      </c>
      <c r="AE71" s="31" t="s">
        <v>574</v>
      </c>
      <c r="AF71" s="31" t="s">
        <v>544</v>
      </c>
      <c r="AG71" s="31" t="s">
        <v>702</v>
      </c>
      <c r="AH71" s="31" t="s">
        <v>703</v>
      </c>
      <c r="AI71" s="31" t="s">
        <v>704</v>
      </c>
      <c r="AJ71" s="31" t="s">
        <v>705</v>
      </c>
      <c r="AK71" s="31" t="s">
        <v>706</v>
      </c>
      <c r="AL71" s="31"/>
      <c r="AM71" s="31"/>
      <c r="AN71" s="31"/>
      <c r="AO71" s="31"/>
      <c r="AP71" s="31"/>
      <c r="AQ71" s="31"/>
      <c r="AR71" s="31"/>
      <c r="AS71" s="31"/>
      <c r="AT71" s="31"/>
      <c r="AU71" s="31"/>
      <c r="AV71" s="31"/>
      <c r="AW71" s="31"/>
      <c r="AX71" s="31"/>
      <c r="AY71" s="31"/>
      <c r="AZ71" s="31"/>
    </row>
    <row r="72" spans="1:39" ht="15">
      <c r="A72">
        <v>0.3633462849227278</v>
      </c>
      <c r="B72">
        <v>0.34011739949178216</v>
      </c>
      <c r="C72">
        <v>0.43567467288490558</v>
      </c>
      <c r="D72">
        <v>0.44719035385412303</v>
      </c>
      <c r="E72">
        <v>0.45375408712243448</v>
      </c>
      <c r="F72">
        <v>0.46020553597703256</v>
      </c>
      <c r="G72">
        <v>0.46528213935664076</v>
      </c>
      <c r="H72">
        <v>0.46863814287721312</v>
      </c>
      <c r="I72">
        <v>0.48320247716075537</v>
      </c>
      <c r="J72">
        <v>0.49747050142469929</v>
      </c>
      <c r="K72">
        <v>0.51387498368808981</v>
      </c>
      <c r="L72">
        <v>0.53207581511109669</v>
      </c>
      <c r="M72">
        <v>0.55052642812452968</v>
      </c>
      <c r="N72">
        <v>0.62615788928214222</v>
      </c>
      <c r="O72">
        <v>0.64747966372409349</v>
      </c>
      <c r="P72">
        <v>0.66856673733096195</v>
      </c>
      <c r="Q72">
        <v>0.68976787448300947</v>
      </c>
      <c r="R72">
        <v>0.71238461697686117</v>
      </c>
      <c r="S72">
        <v>0.73597709421172008</v>
      </c>
      <c r="T72">
        <v>0.76049010404955431</v>
      </c>
      <c r="U72">
        <v>0.78685997478287784</v>
      </c>
      <c r="V72">
        <v>0.81328715800555984</v>
      </c>
      <c r="W72">
        <v>0.83787467727259801</v>
      </c>
      <c r="X72">
        <v>0.86521871562636488</v>
      </c>
      <c r="Y72">
        <v>0.89115841033527499</v>
      </c>
      <c r="Z72">
        <v>0.98667250004150531</v>
      </c>
      <c r="AA72">
        <v>1.0151376366759042</v>
      </c>
      <c r="AB72">
        <v>1.0458816036099972</v>
      </c>
      <c r="AC72">
        <v>1.0743807676343484</v>
      </c>
      <c r="AD72">
        <v>1.1039236152876521</v>
      </c>
      <c r="AE72">
        <v>1.136477695452174</v>
      </c>
      <c r="AF72">
        <v>1.1486775120085726</v>
      </c>
      <c r="AG72" s="22">
        <v>1.1829715262963836</v>
      </c>
      <c r="AH72" s="22">
        <v>1.2177608685750889</v>
      </c>
      <c r="AI72" s="22">
        <v>1.2551502806064074</v>
      </c>
      <c r="AJ72" s="22">
        <v>1.2947099891629144</v>
      </c>
      <c r="AK72" s="22">
        <v>1.3373672981407001</v>
      </c>
      <c r="AL72" s="22"/>
      <c r="AM72" s="22"/>
    </row>
    <row r="82" spans="2:46" ht="15">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row>
    <row r="83" spans="1:1" ht="15">
      <c r="A83" s="31"/>
    </row>
    <row r="84" spans="1:1" ht="15">
      <c r="A84" s="31"/>
    </row>
    <row r="85" spans="1:1" ht="15">
      <c r="A85" s="31"/>
    </row>
    <row r="92" spans="2:36" ht="15">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row>
    <row r="93" spans="1:1" ht="15">
      <c r="A93" s="31"/>
    </row>
    <row r="94" spans="1:1" ht="15">
      <c r="A94" s="31"/>
    </row>
    <row r="95" spans="1:1" ht="15">
      <c r="A95" s="31"/>
    </row>
    <row r="96" spans="1:1" ht="15">
      <c r="A96" s="31"/>
    </row>
    <row r="97" spans="1:1" ht="15">
      <c r="A97" s="31"/>
    </row>
    <row r="98" spans="1:1" ht="15">
      <c r="A98" s="31"/>
    </row>
    <row r="99" spans="1:1" ht="15">
      <c r="A99" s="31"/>
    </row>
    <row r="100" spans="1:1" ht="15">
      <c r="A100" s="31"/>
    </row>
    <row r="101" spans="1:1" ht="15">
      <c r="A101" s="31"/>
    </row>
    <row r="102" spans="3:47" ht="15">
      <c r="C102" s="31" t="s">
        <v>550</v>
      </c>
      <c r="D102" s="31" t="s">
        <v>538</v>
      </c>
      <c r="E102" s="31" t="s">
        <v>551</v>
      </c>
      <c r="F102" s="31" t="s">
        <v>552</v>
      </c>
      <c r="G102" s="31" t="s">
        <v>553</v>
      </c>
      <c r="H102" s="31" t="s">
        <v>554</v>
      </c>
      <c r="I102" s="31" t="s">
        <v>539</v>
      </c>
      <c r="J102" s="31" t="s">
        <v>555</v>
      </c>
      <c r="K102" s="31" t="s">
        <v>556</v>
      </c>
      <c r="L102" s="31" t="s">
        <v>557</v>
      </c>
      <c r="M102" s="31" t="s">
        <v>558</v>
      </c>
      <c r="N102" s="31" t="s">
        <v>540</v>
      </c>
      <c r="O102" s="31" t="s">
        <v>559</v>
      </c>
      <c r="P102" s="31" t="s">
        <v>560</v>
      </c>
      <c r="Q102" s="31" t="s">
        <v>561</v>
      </c>
      <c r="R102" s="31" t="s">
        <v>562</v>
      </c>
      <c r="S102" s="31" t="s">
        <v>541</v>
      </c>
      <c r="T102" s="31" t="s">
        <v>563</v>
      </c>
      <c r="U102" s="31" t="s">
        <v>564</v>
      </c>
      <c r="V102" s="31" t="s">
        <v>565</v>
      </c>
      <c r="W102" s="31" t="s">
        <v>566</v>
      </c>
      <c r="X102" s="31" t="s">
        <v>542</v>
      </c>
      <c r="Y102" s="31" t="s">
        <v>567</v>
      </c>
      <c r="Z102" s="31" t="s">
        <v>568</v>
      </c>
      <c r="AA102" s="31" t="s">
        <v>569</v>
      </c>
      <c r="AB102" s="31" t="s">
        <v>570</v>
      </c>
      <c r="AC102" s="31" t="s">
        <v>543</v>
      </c>
      <c r="AD102" s="31" t="s">
        <v>571</v>
      </c>
      <c r="AE102" s="31" t="s">
        <v>572</v>
      </c>
      <c r="AF102" s="31" t="s">
        <v>573</v>
      </c>
      <c r="AG102" s="31" t="s">
        <v>574</v>
      </c>
      <c r="AH102" s="31" t="s">
        <v>544</v>
      </c>
      <c r="AI102" s="31" t="s">
        <v>702</v>
      </c>
      <c r="AJ102" s="31" t="s">
        <v>703</v>
      </c>
      <c r="AK102" s="31" t="s">
        <v>704</v>
      </c>
      <c r="AL102" s="31" t="s">
        <v>705</v>
      </c>
      <c r="AM102" s="31" t="s">
        <v>706</v>
      </c>
      <c r="AN102" s="31"/>
      <c r="AO102" s="31"/>
      <c r="AP102" s="31"/>
      <c r="AQ102" s="31"/>
      <c r="AR102" s="31"/>
      <c r="AS102" s="31"/>
      <c r="AT102" s="31"/>
      <c r="AU102" s="31"/>
    </row>
    <row r="103" spans="1:39" ht="15">
      <c r="A103" s="31" t="s">
        <v>259</v>
      </c>
      <c r="B103" s="31" t="s">
        <v>513</v>
      </c>
      <c r="C103" t="s">
        <v>379</v>
      </c>
      <c r="D103" t="s">
        <v>379</v>
      </c>
      <c r="E103" t="s">
        <v>379</v>
      </c>
      <c r="F103" t="s">
        <v>379</v>
      </c>
      <c r="G103" t="s">
        <v>379</v>
      </c>
      <c r="H103" t="s">
        <v>379</v>
      </c>
      <c r="I103" t="s">
        <v>379</v>
      </c>
      <c r="J103" t="s">
        <v>379</v>
      </c>
      <c r="K103" t="s">
        <v>379</v>
      </c>
      <c r="L103" t="s">
        <v>379</v>
      </c>
      <c r="M103" t="s">
        <v>379</v>
      </c>
      <c r="N103" t="s">
        <v>379</v>
      </c>
      <c r="O103" t="s">
        <v>379</v>
      </c>
      <c r="P103" t="s">
        <v>379</v>
      </c>
      <c r="Q103" t="s">
        <v>379</v>
      </c>
      <c r="R103" t="s">
        <v>379</v>
      </c>
      <c r="S103" t="s">
        <v>379</v>
      </c>
      <c r="T103" t="s">
        <v>379</v>
      </c>
      <c r="U103" t="s">
        <v>379</v>
      </c>
      <c r="V103" t="s">
        <v>379</v>
      </c>
      <c r="W103" t="s">
        <v>379</v>
      </c>
      <c r="X103" t="s">
        <v>379</v>
      </c>
      <c r="Y103" t="s">
        <v>379</v>
      </c>
      <c r="Z103" t="s">
        <v>379</v>
      </c>
      <c r="AA103" t="s">
        <v>379</v>
      </c>
      <c r="AB103" t="s">
        <v>379</v>
      </c>
      <c r="AC103" t="s">
        <v>379</v>
      </c>
      <c r="AD103" t="s">
        <v>379</v>
      </c>
      <c r="AE103" t="s">
        <v>379</v>
      </c>
      <c r="AF103" t="s">
        <v>379</v>
      </c>
      <c r="AG103" t="s">
        <v>379</v>
      </c>
      <c r="AH103" t="s">
        <v>379</v>
      </c>
      <c r="AI103" t="s">
        <v>379</v>
      </c>
      <c r="AJ103" t="s">
        <v>379</v>
      </c>
      <c r="AK103" t="s">
        <v>379</v>
      </c>
      <c r="AL103" t="s">
        <v>379</v>
      </c>
      <c r="AM103" t="s">
        <v>379</v>
      </c>
    </row>
    <row r="104" spans="1:33" ht="15">
      <c r="A104" s="31" t="s">
        <v>259</v>
      </c>
      <c r="B104" s="31" t="s">
        <v>514</v>
      </c>
      <c r="C104" t="s">
        <v>379</v>
      </c>
      <c r="D104" t="s">
        <v>379</v>
      </c>
      <c r="E104" t="s">
        <v>379</v>
      </c>
      <c r="F104" t="s">
        <v>379</v>
      </c>
      <c r="G104" t="s">
        <v>379</v>
      </c>
      <c r="H104" t="s">
        <v>379</v>
      </c>
      <c r="I104" t="s">
        <v>379</v>
      </c>
      <c r="J104" t="s">
        <v>379</v>
      </c>
      <c r="K104" t="s">
        <v>379</v>
      </c>
      <c r="L104" t="s">
        <v>379</v>
      </c>
      <c r="M104" t="s">
        <v>379</v>
      </c>
      <c r="N104" t="s">
        <v>379</v>
      </c>
      <c r="O104" t="s">
        <v>379</v>
      </c>
      <c r="P104" t="s">
        <v>379</v>
      </c>
      <c r="Q104" t="s">
        <v>379</v>
      </c>
      <c r="R104" t="s">
        <v>379</v>
      </c>
      <c r="S104" t="s">
        <v>379</v>
      </c>
      <c r="T104" t="s">
        <v>379</v>
      </c>
      <c r="U104" t="s">
        <v>379</v>
      </c>
      <c r="V104" t="s">
        <v>379</v>
      </c>
      <c r="W104" t="s">
        <v>379</v>
      </c>
      <c r="X104" t="s">
        <v>379</v>
      </c>
      <c r="Y104" t="s">
        <v>379</v>
      </c>
      <c r="Z104" t="s">
        <v>379</v>
      </c>
      <c r="AA104" t="s">
        <v>379</v>
      </c>
      <c r="AB104" t="s">
        <v>379</v>
      </c>
      <c r="AC104" t="s">
        <v>379</v>
      </c>
      <c r="AD104" t="s">
        <v>379</v>
      </c>
      <c r="AE104" t="s">
        <v>379</v>
      </c>
      <c r="AF104" t="s">
        <v>379</v>
      </c>
      <c r="AG104" t="s">
        <v>379</v>
      </c>
    </row>
    <row r="105" spans="1:20" ht="15">
      <c r="A105" s="31" t="s">
        <v>259</v>
      </c>
      <c r="B105" s="31" t="s">
        <v>515</v>
      </c>
      <c r="C105" t="s">
        <v>379</v>
      </c>
      <c r="D105" t="s">
        <v>379</v>
      </c>
      <c r="E105" t="s">
        <v>379</v>
      </c>
      <c r="F105" t="s">
        <v>379</v>
      </c>
      <c r="G105" t="s">
        <v>379</v>
      </c>
      <c r="H105" t="s">
        <v>379</v>
      </c>
      <c r="I105" t="s">
        <v>379</v>
      </c>
      <c r="J105" t="s">
        <v>379</v>
      </c>
      <c r="K105" t="s">
        <v>379</v>
      </c>
      <c r="L105" t="s">
        <v>379</v>
      </c>
      <c r="M105" t="s">
        <v>379</v>
      </c>
      <c r="N105" t="s">
        <v>379</v>
      </c>
      <c r="O105" t="s">
        <v>379</v>
      </c>
      <c r="P105" t="s">
        <v>379</v>
      </c>
      <c r="Q105" t="s">
        <v>379</v>
      </c>
      <c r="R105" t="s">
        <v>379</v>
      </c>
      <c r="S105" t="s">
        <v>379</v>
      </c>
      <c r="T105" t="s">
        <v>379</v>
      </c>
    </row>
    <row r="106" spans="1:12" ht="15">
      <c r="A106" s="31" t="s">
        <v>259</v>
      </c>
      <c r="B106" s="31" t="s">
        <v>516</v>
      </c>
      <c r="C106" t="s">
        <v>379</v>
      </c>
      <c r="D106" t="s">
        <v>379</v>
      </c>
      <c r="E106" t="s">
        <v>379</v>
      </c>
      <c r="F106" t="s">
        <v>379</v>
      </c>
      <c r="G106" t="s">
        <v>379</v>
      </c>
      <c r="H106" t="s">
        <v>379</v>
      </c>
      <c r="I106" t="s">
        <v>379</v>
      </c>
      <c r="J106" t="s">
        <v>379</v>
      </c>
      <c r="K106" t="s">
        <v>379</v>
      </c>
      <c r="L106" t="s">
        <v>379</v>
      </c>
    </row>
    <row r="107" spans="1:4" ht="15">
      <c r="A107" s="31" t="s">
        <v>259</v>
      </c>
      <c r="B107" s="31" t="s">
        <v>517</v>
      </c>
      <c r="C107" t="s">
        <v>379</v>
      </c>
      <c r="D107" t="s">
        <v>379</v>
      </c>
    </row>
    <row r="108" spans="1:39" ht="15">
      <c r="A108" s="31" t="s">
        <v>260</v>
      </c>
      <c r="B108" s="31" t="s">
        <v>514</v>
      </c>
      <c r="AH108" t="s">
        <v>379</v>
      </c>
      <c r="AI108" t="s">
        <v>379</v>
      </c>
      <c r="AJ108" t="s">
        <v>379</v>
      </c>
      <c r="AK108" t="s">
        <v>379</v>
      </c>
      <c r="AL108" t="s">
        <v>379</v>
      </c>
      <c r="AM108" t="s">
        <v>379</v>
      </c>
    </row>
    <row r="109" spans="1:39" ht="15">
      <c r="A109" s="31" t="s">
        <v>260</v>
      </c>
      <c r="B109" s="31" t="s">
        <v>515</v>
      </c>
      <c r="U109" t="s">
        <v>379</v>
      </c>
      <c r="V109" t="s">
        <v>379</v>
      </c>
      <c r="W109" t="s">
        <v>379</v>
      </c>
      <c r="X109" t="s">
        <v>379</v>
      </c>
      <c r="Y109" t="s">
        <v>379</v>
      </c>
      <c r="Z109" t="s">
        <v>379</v>
      </c>
      <c r="AA109" t="s">
        <v>379</v>
      </c>
      <c r="AB109" t="s">
        <v>379</v>
      </c>
      <c r="AC109" t="s">
        <v>379</v>
      </c>
      <c r="AD109" t="s">
        <v>379</v>
      </c>
      <c r="AE109" t="s">
        <v>379</v>
      </c>
      <c r="AF109" t="s">
        <v>379</v>
      </c>
      <c r="AG109" t="s">
        <v>379</v>
      </c>
      <c r="AH109" t="s">
        <v>379</v>
      </c>
      <c r="AI109" t="s">
        <v>379</v>
      </c>
      <c r="AJ109" t="s">
        <v>379</v>
      </c>
      <c r="AK109" t="s">
        <v>379</v>
      </c>
      <c r="AL109" t="s">
        <v>379</v>
      </c>
      <c r="AM109" t="s">
        <v>379</v>
      </c>
    </row>
    <row r="110" spans="1:39" ht="15">
      <c r="A110" s="31" t="s">
        <v>260</v>
      </c>
      <c r="B110" s="31" t="s">
        <v>516</v>
      </c>
      <c r="M110" t="s">
        <v>379</v>
      </c>
      <c r="N110" t="s">
        <v>379</v>
      </c>
      <c r="O110" t="s">
        <v>379</v>
      </c>
      <c r="P110" t="s">
        <v>379</v>
      </c>
      <c r="Q110" t="s">
        <v>379</v>
      </c>
      <c r="R110" t="s">
        <v>379</v>
      </c>
      <c r="S110" t="s">
        <v>379</v>
      </c>
      <c r="T110" t="s">
        <v>379</v>
      </c>
      <c r="U110" t="s">
        <v>379</v>
      </c>
      <c r="V110" t="s">
        <v>379</v>
      </c>
      <c r="W110" t="s">
        <v>379</v>
      </c>
      <c r="X110" t="s">
        <v>379</v>
      </c>
      <c r="Y110" t="s">
        <v>379</v>
      </c>
      <c r="Z110" t="s">
        <v>379</v>
      </c>
      <c r="AA110" t="s">
        <v>379</v>
      </c>
      <c r="AB110" t="s">
        <v>379</v>
      </c>
      <c r="AC110" t="s">
        <v>379</v>
      </c>
      <c r="AD110" t="s">
        <v>379</v>
      </c>
      <c r="AE110" t="s">
        <v>379</v>
      </c>
      <c r="AF110" t="s">
        <v>379</v>
      </c>
      <c r="AG110" t="s">
        <v>379</v>
      </c>
      <c r="AH110" t="s">
        <v>379</v>
      </c>
      <c r="AI110" t="s">
        <v>379</v>
      </c>
      <c r="AJ110" t="s">
        <v>379</v>
      </c>
      <c r="AK110" t="s">
        <v>379</v>
      </c>
      <c r="AL110" t="s">
        <v>379</v>
      </c>
      <c r="AM110" t="s">
        <v>379</v>
      </c>
    </row>
    <row r="111" spans="1:39" ht="15">
      <c r="A111" s="31" t="s">
        <v>260</v>
      </c>
      <c r="B111" s="31" t="s">
        <v>517</v>
      </c>
      <c r="E111" t="s">
        <v>379</v>
      </c>
      <c r="F111" t="s">
        <v>379</v>
      </c>
      <c r="G111" t="s">
        <v>379</v>
      </c>
      <c r="H111" t="s">
        <v>379</v>
      </c>
      <c r="I111" t="s">
        <v>379</v>
      </c>
      <c r="J111" t="s">
        <v>379</v>
      </c>
      <c r="K111" t="s">
        <v>379</v>
      </c>
      <c r="L111" t="s">
        <v>379</v>
      </c>
      <c r="M111" t="s">
        <v>379</v>
      </c>
      <c r="N111" t="s">
        <v>379</v>
      </c>
      <c r="O111" t="s">
        <v>379</v>
      </c>
      <c r="P111" t="s">
        <v>379</v>
      </c>
      <c r="Q111" t="s">
        <v>379</v>
      </c>
      <c r="R111" t="s">
        <v>379</v>
      </c>
      <c r="S111" t="s">
        <v>379</v>
      </c>
      <c r="T111" t="s">
        <v>379</v>
      </c>
      <c r="U111" t="s">
        <v>379</v>
      </c>
      <c r="V111" t="s">
        <v>379</v>
      </c>
      <c r="W111" t="s">
        <v>379</v>
      </c>
      <c r="X111" t="s">
        <v>379</v>
      </c>
      <c r="Y111" t="s">
        <v>379</v>
      </c>
      <c r="Z111" t="s">
        <v>379</v>
      </c>
      <c r="AA111" t="s">
        <v>379</v>
      </c>
      <c r="AB111" t="s">
        <v>379</v>
      </c>
      <c r="AC111" t="s">
        <v>379</v>
      </c>
      <c r="AD111" t="s">
        <v>379</v>
      </c>
      <c r="AE111" t="s">
        <v>379</v>
      </c>
      <c r="AF111" t="s">
        <v>379</v>
      </c>
      <c r="AG111" t="s">
        <v>379</v>
      </c>
      <c r="AH111" t="s">
        <v>379</v>
      </c>
      <c r="AI111" t="s">
        <v>379</v>
      </c>
      <c r="AJ111" t="s">
        <v>379</v>
      </c>
      <c r="AK111" t="s">
        <v>379</v>
      </c>
      <c r="AL111" t="s">
        <v>379</v>
      </c>
      <c r="AM111" t="s">
        <v>379</v>
      </c>
    </row>
    <row r="112" spans="1:27" ht="15">
      <c r="A112" s="31" t="s">
        <v>260</v>
      </c>
      <c r="B112" s="31" t="s">
        <v>518</v>
      </c>
      <c r="C112" t="s">
        <v>379</v>
      </c>
      <c r="D112" t="s">
        <v>379</v>
      </c>
      <c r="E112" t="s">
        <v>379</v>
      </c>
      <c r="F112" t="s">
        <v>379</v>
      </c>
      <c r="G112" t="s">
        <v>379</v>
      </c>
      <c r="H112" t="s">
        <v>379</v>
      </c>
      <c r="I112" t="s">
        <v>379</v>
      </c>
      <c r="J112" t="s">
        <v>379</v>
      </c>
      <c r="K112" t="s">
        <v>379</v>
      </c>
      <c r="L112" t="s">
        <v>379</v>
      </c>
      <c r="M112" t="s">
        <v>379</v>
      </c>
      <c r="N112" t="s">
        <v>379</v>
      </c>
      <c r="O112" t="s">
        <v>379</v>
      </c>
      <c r="P112" t="s">
        <v>379</v>
      </c>
      <c r="Q112" t="s">
        <v>379</v>
      </c>
      <c r="R112" t="s">
        <v>379</v>
      </c>
      <c r="S112" t="s">
        <v>379</v>
      </c>
      <c r="T112" t="s">
        <v>379</v>
      </c>
      <c r="U112" t="s">
        <v>379</v>
      </c>
      <c r="V112" t="s">
        <v>379</v>
      </c>
      <c r="W112" t="s">
        <v>379</v>
      </c>
      <c r="X112" t="s">
        <v>379</v>
      </c>
      <c r="Y112" t="s">
        <v>379</v>
      </c>
      <c r="Z112" t="s">
        <v>379</v>
      </c>
      <c r="AA112" t="s">
        <v>379</v>
      </c>
    </row>
    <row r="113" spans="1:15" ht="15">
      <c r="A113" s="31" t="s">
        <v>260</v>
      </c>
      <c r="B113" s="31" t="s">
        <v>519</v>
      </c>
      <c r="C113" t="s">
        <v>379</v>
      </c>
      <c r="D113" t="s">
        <v>379</v>
      </c>
      <c r="E113" t="s">
        <v>379</v>
      </c>
      <c r="F113" t="s">
        <v>379</v>
      </c>
      <c r="G113" t="s">
        <v>379</v>
      </c>
      <c r="H113" t="s">
        <v>379</v>
      </c>
      <c r="I113" t="s">
        <v>379</v>
      </c>
      <c r="J113" t="s">
        <v>379</v>
      </c>
      <c r="K113" t="s">
        <v>379</v>
      </c>
      <c r="L113" t="s">
        <v>379</v>
      </c>
      <c r="M113" t="s">
        <v>379</v>
      </c>
      <c r="N113" t="s">
        <v>379</v>
      </c>
      <c r="O113" t="s">
        <v>379</v>
      </c>
    </row>
    <row r="114" spans="1:4" ht="15">
      <c r="A114" s="31" t="s">
        <v>260</v>
      </c>
      <c r="B114" s="31" t="s">
        <v>520</v>
      </c>
      <c r="C114" t="s">
        <v>379</v>
      </c>
      <c r="D114" t="s">
        <v>379</v>
      </c>
    </row>
    <row r="115" spans="1:39" ht="15">
      <c r="A115" s="31" t="s">
        <v>261</v>
      </c>
      <c r="B115" s="31" t="s">
        <v>518</v>
      </c>
      <c r="AB115" t="s">
        <v>379</v>
      </c>
      <c r="AC115" t="s">
        <v>379</v>
      </c>
      <c r="AD115" t="s">
        <v>379</v>
      </c>
      <c r="AE115" t="s">
        <v>379</v>
      </c>
      <c r="AF115" t="s">
        <v>379</v>
      </c>
      <c r="AG115" t="s">
        <v>379</v>
      </c>
      <c r="AH115" t="s">
        <v>379</v>
      </c>
      <c r="AI115" t="s">
        <v>379</v>
      </c>
      <c r="AJ115" t="s">
        <v>379</v>
      </c>
      <c r="AK115" t="s">
        <v>379</v>
      </c>
      <c r="AL115" t="s">
        <v>379</v>
      </c>
      <c r="AM115" t="s">
        <v>379</v>
      </c>
    </row>
    <row r="116" spans="1:39" ht="15">
      <c r="A116" s="31" t="s">
        <v>261</v>
      </c>
      <c r="B116" s="31" t="s">
        <v>519</v>
      </c>
      <c r="P116" t="s">
        <v>379</v>
      </c>
      <c r="Q116" t="s">
        <v>379</v>
      </c>
      <c r="R116" t="s">
        <v>379</v>
      </c>
      <c r="S116" t="s">
        <v>379</v>
      </c>
      <c r="T116" t="s">
        <v>379</v>
      </c>
      <c r="U116" t="s">
        <v>379</v>
      </c>
      <c r="V116" t="s">
        <v>379</v>
      </c>
      <c r="W116" t="s">
        <v>379</v>
      </c>
      <c r="X116" t="s">
        <v>379</v>
      </c>
      <c r="Y116" t="s">
        <v>379</v>
      </c>
      <c r="Z116" t="s">
        <v>379</v>
      </c>
      <c r="AA116" t="s">
        <v>379</v>
      </c>
      <c r="AB116" t="s">
        <v>379</v>
      </c>
      <c r="AC116" t="s">
        <v>379</v>
      </c>
      <c r="AD116" t="s">
        <v>379</v>
      </c>
      <c r="AE116" t="s">
        <v>379</v>
      </c>
      <c r="AF116" t="s">
        <v>379</v>
      </c>
      <c r="AG116" t="s">
        <v>379</v>
      </c>
      <c r="AH116" t="s">
        <v>379</v>
      </c>
      <c r="AI116" t="s">
        <v>379</v>
      </c>
      <c r="AJ116" t="s">
        <v>379</v>
      </c>
      <c r="AK116" t="s">
        <v>379</v>
      </c>
      <c r="AL116" t="s">
        <v>379</v>
      </c>
      <c r="AM116" t="s">
        <v>379</v>
      </c>
    </row>
    <row r="117" spans="1:39" ht="15">
      <c r="A117" s="31" t="s">
        <v>261</v>
      </c>
      <c r="B117" s="31" t="s">
        <v>520</v>
      </c>
      <c r="E117" t="s">
        <v>379</v>
      </c>
      <c r="F117" t="s">
        <v>379</v>
      </c>
      <c r="G117" t="s">
        <v>379</v>
      </c>
      <c r="H117" t="s">
        <v>379</v>
      </c>
      <c r="I117" t="s">
        <v>379</v>
      </c>
      <c r="J117" t="s">
        <v>379</v>
      </c>
      <c r="K117" t="s">
        <v>379</v>
      </c>
      <c r="L117" t="s">
        <v>379</v>
      </c>
      <c r="M117" t="s">
        <v>379</v>
      </c>
      <c r="N117" t="s">
        <v>379</v>
      </c>
      <c r="O117" t="s">
        <v>379</v>
      </c>
      <c r="P117" t="s">
        <v>379</v>
      </c>
      <c r="Q117" t="s">
        <v>379</v>
      </c>
      <c r="R117" t="s">
        <v>379</v>
      </c>
      <c r="S117" t="s">
        <v>379</v>
      </c>
      <c r="T117" t="s">
        <v>379</v>
      </c>
      <c r="U117" t="s">
        <v>379</v>
      </c>
      <c r="V117" t="s">
        <v>379</v>
      </c>
      <c r="W117" t="s">
        <v>379</v>
      </c>
      <c r="X117" t="s">
        <v>379</v>
      </c>
      <c r="Y117" t="s">
        <v>379</v>
      </c>
      <c r="Z117" t="s">
        <v>379</v>
      </c>
      <c r="AA117" t="s">
        <v>379</v>
      </c>
      <c r="AB117" t="s">
        <v>379</v>
      </c>
      <c r="AC117" t="s">
        <v>379</v>
      </c>
      <c r="AD117" t="s">
        <v>379</v>
      </c>
      <c r="AE117" t="s">
        <v>379</v>
      </c>
      <c r="AF117" t="s">
        <v>379</v>
      </c>
      <c r="AG117" t="s">
        <v>379</v>
      </c>
      <c r="AH117" t="s">
        <v>379</v>
      </c>
      <c r="AI117" t="s">
        <v>379</v>
      </c>
      <c r="AJ117" t="s">
        <v>379</v>
      </c>
      <c r="AK117" t="s">
        <v>379</v>
      </c>
      <c r="AL117" t="s">
        <v>379</v>
      </c>
      <c r="AM117" t="s">
        <v>379</v>
      </c>
    </row>
    <row r="118" spans="1:39" ht="15">
      <c r="A118" s="31" t="s">
        <v>261</v>
      </c>
      <c r="B118" s="31" t="s">
        <v>521</v>
      </c>
      <c r="C118" t="s">
        <v>379</v>
      </c>
      <c r="D118" t="s">
        <v>379</v>
      </c>
      <c r="E118" t="s">
        <v>379</v>
      </c>
      <c r="F118" t="s">
        <v>379</v>
      </c>
      <c r="G118" t="s">
        <v>379</v>
      </c>
      <c r="H118" t="s">
        <v>379</v>
      </c>
      <c r="I118" t="s">
        <v>379</v>
      </c>
      <c r="J118" t="s">
        <v>379</v>
      </c>
      <c r="K118" t="s">
        <v>379</v>
      </c>
      <c r="L118" t="s">
        <v>379</v>
      </c>
      <c r="M118" t="s">
        <v>379</v>
      </c>
      <c r="N118" t="s">
        <v>379</v>
      </c>
      <c r="O118" t="s">
        <v>379</v>
      </c>
      <c r="P118" t="s">
        <v>379</v>
      </c>
      <c r="Q118" t="s">
        <v>379</v>
      </c>
      <c r="R118" t="s">
        <v>379</v>
      </c>
      <c r="S118" t="s">
        <v>379</v>
      </c>
      <c r="T118" t="s">
        <v>379</v>
      </c>
      <c r="U118" t="s">
        <v>379</v>
      </c>
      <c r="V118" t="s">
        <v>379</v>
      </c>
      <c r="W118" t="s">
        <v>379</v>
      </c>
      <c r="X118" t="s">
        <v>379</v>
      </c>
      <c r="Y118" t="s">
        <v>379</v>
      </c>
      <c r="Z118" t="s">
        <v>379</v>
      </c>
      <c r="AA118" t="s">
        <v>379</v>
      </c>
      <c r="AB118" t="s">
        <v>379</v>
      </c>
      <c r="AC118" t="s">
        <v>379</v>
      </c>
      <c r="AD118" t="s">
        <v>379</v>
      </c>
      <c r="AE118" t="s">
        <v>379</v>
      </c>
      <c r="AF118" t="s">
        <v>379</v>
      </c>
      <c r="AG118" t="s">
        <v>379</v>
      </c>
      <c r="AH118" t="s">
        <v>379</v>
      </c>
      <c r="AI118" t="s">
        <v>379</v>
      </c>
      <c r="AJ118" t="s">
        <v>379</v>
      </c>
      <c r="AK118" t="s">
        <v>379</v>
      </c>
      <c r="AL118" t="s">
        <v>379</v>
      </c>
      <c r="AM118" t="s">
        <v>379</v>
      </c>
    </row>
    <row r="119" spans="1:39" ht="15">
      <c r="A119" s="31" t="s">
        <v>261</v>
      </c>
      <c r="B119" s="31" t="s">
        <v>582</v>
      </c>
      <c r="C119" t="s">
        <v>379</v>
      </c>
      <c r="D119" t="s">
        <v>379</v>
      </c>
      <c r="E119" t="s">
        <v>379</v>
      </c>
      <c r="F119" t="s">
        <v>379</v>
      </c>
      <c r="G119" t="s">
        <v>379</v>
      </c>
      <c r="H119" t="s">
        <v>379</v>
      </c>
      <c r="I119" t="s">
        <v>379</v>
      </c>
      <c r="J119" t="s">
        <v>379</v>
      </c>
      <c r="K119" t="s">
        <v>379</v>
      </c>
      <c r="L119" t="s">
        <v>379</v>
      </c>
      <c r="M119" t="s">
        <v>379</v>
      </c>
      <c r="N119" t="s">
        <v>379</v>
      </c>
      <c r="O119" t="s">
        <v>379</v>
      </c>
      <c r="P119" t="s">
        <v>379</v>
      </c>
      <c r="Q119" t="s">
        <v>379</v>
      </c>
      <c r="R119" t="s">
        <v>379</v>
      </c>
      <c r="S119" t="s">
        <v>379</v>
      </c>
      <c r="T119" t="s">
        <v>379</v>
      </c>
      <c r="U119" t="s">
        <v>379</v>
      </c>
      <c r="V119" t="s">
        <v>379</v>
      </c>
      <c r="W119" t="s">
        <v>379</v>
      </c>
      <c r="X119" t="s">
        <v>379</v>
      </c>
      <c r="Y119" t="s">
        <v>379</v>
      </c>
      <c r="Z119" t="s">
        <v>379</v>
      </c>
      <c r="AA119" t="s">
        <v>379</v>
      </c>
      <c r="AB119" t="s">
        <v>379</v>
      </c>
      <c r="AC119" t="s">
        <v>379</v>
      </c>
      <c r="AD119" t="s">
        <v>379</v>
      </c>
      <c r="AE119" t="s">
        <v>379</v>
      </c>
      <c r="AF119" t="s">
        <v>379</v>
      </c>
      <c r="AG119" t="s">
        <v>379</v>
      </c>
      <c r="AH119" t="s">
        <v>379</v>
      </c>
      <c r="AI119" t="s">
        <v>379</v>
      </c>
      <c r="AJ119" t="s">
        <v>379</v>
      </c>
      <c r="AK119" t="s">
        <v>379</v>
      </c>
      <c r="AL119" t="s">
        <v>379</v>
      </c>
      <c r="AM119" t="s">
        <v>379</v>
      </c>
    </row>
    <row r="120" spans="1:2" ht="15">
      <c r="A120" s="31"/>
      <c r="B120" s="31"/>
    </row>
    <row r="121" spans="1:2" ht="15">
      <c r="A121" s="31"/>
      <c r="B121" s="31"/>
    </row>
    <row r="122" spans="1:2" ht="15">
      <c r="A122" s="31"/>
      <c r="B122" s="31"/>
    </row>
    <row r="123" spans="1:2" ht="15">
      <c r="A123" s="31"/>
      <c r="B123" s="31"/>
    </row>
    <row r="124" spans="1:2" ht="15">
      <c r="A124" s="31"/>
      <c r="B124" s="31"/>
    </row>
    <row r="125" spans="1:2" ht="15">
      <c r="A125" s="31"/>
      <c r="B125" s="31"/>
    </row>
    <row r="126" spans="1:2" ht="15">
      <c r="A126" s="31"/>
      <c r="B126" s="31"/>
    </row>
    <row r="127" spans="1:2" ht="15">
      <c r="A127" s="31"/>
      <c r="B127" s="31"/>
    </row>
    <row r="128" spans="1:2" ht="15">
      <c r="A128" s="31"/>
      <c r="B128" s="31"/>
    </row>
    <row r="129" spans="1:2" ht="15">
      <c r="A129" s="31"/>
      <c r="B129" s="31"/>
    </row>
    <row r="130" spans="1:53" ht="15">
      <c r="A130" s="31"/>
      <c r="B130" s="31" t="s">
        <v>550</v>
      </c>
      <c r="C130" s="31" t="s">
        <v>538</v>
      </c>
      <c r="D130" s="31" t="s">
        <v>551</v>
      </c>
      <c r="E130" s="31" t="s">
        <v>552</v>
      </c>
      <c r="F130" s="31" t="s">
        <v>553</v>
      </c>
      <c r="G130" s="31" t="s">
        <v>554</v>
      </c>
      <c r="H130" s="31" t="s">
        <v>539</v>
      </c>
      <c r="I130" s="31" t="s">
        <v>555</v>
      </c>
      <c r="J130" s="31" t="s">
        <v>556</v>
      </c>
      <c r="K130" s="31" t="s">
        <v>557</v>
      </c>
      <c r="L130" s="31" t="s">
        <v>558</v>
      </c>
      <c r="M130" s="31" t="s">
        <v>540</v>
      </c>
      <c r="N130" s="31" t="s">
        <v>559</v>
      </c>
      <c r="O130" s="31" t="s">
        <v>560</v>
      </c>
      <c r="P130" s="31" t="s">
        <v>561</v>
      </c>
      <c r="Q130" s="31" t="s">
        <v>562</v>
      </c>
      <c r="R130" s="31" t="s">
        <v>541</v>
      </c>
      <c r="S130" s="31" t="s">
        <v>563</v>
      </c>
      <c r="T130" s="31" t="s">
        <v>564</v>
      </c>
      <c r="U130" s="31" t="s">
        <v>565</v>
      </c>
      <c r="V130" s="31" t="s">
        <v>566</v>
      </c>
      <c r="W130" s="31" t="s">
        <v>542</v>
      </c>
      <c r="X130" s="31" t="s">
        <v>567</v>
      </c>
      <c r="Y130" s="31" t="s">
        <v>568</v>
      </c>
      <c r="Z130" s="31" t="s">
        <v>569</v>
      </c>
      <c r="AA130" s="31" t="s">
        <v>570</v>
      </c>
      <c r="AB130" s="31" t="s">
        <v>543</v>
      </c>
      <c r="AC130" s="31" t="s">
        <v>571</v>
      </c>
      <c r="AD130" s="31" t="s">
        <v>572</v>
      </c>
      <c r="AE130" s="31" t="s">
        <v>573</v>
      </c>
      <c r="AF130" s="31" t="s">
        <v>574</v>
      </c>
      <c r="AG130" s="31" t="s">
        <v>544</v>
      </c>
      <c r="AH130" s="31" t="s">
        <v>702</v>
      </c>
      <c r="AI130" s="31" t="s">
        <v>703</v>
      </c>
      <c r="AJ130" s="31" t="s">
        <v>704</v>
      </c>
      <c r="AK130" s="31" t="s">
        <v>705</v>
      </c>
      <c r="AL130" s="31" t="s">
        <v>706</v>
      </c>
      <c r="AM130" s="31"/>
      <c r="AN130" s="31"/>
      <c r="AO130" s="31"/>
      <c r="AP130" s="31"/>
      <c r="AQ130" s="31"/>
      <c r="AR130" s="31"/>
      <c r="AS130" s="31"/>
      <c r="AT130" s="31"/>
      <c r="AU130" s="31"/>
      <c r="AV130" s="31"/>
      <c r="AW130" s="31"/>
      <c r="AX130" s="31"/>
      <c r="AY130" s="31"/>
      <c r="AZ130" s="31"/>
      <c r="BA130" s="31"/>
    </row>
    <row r="131" spans="1:38" ht="15">
      <c r="A131" s="31" t="s">
        <v>372</v>
      </c>
      <c r="B131">
        <v>118.6298855621765</v>
      </c>
      <c r="C131">
        <v>104.75441900728599</v>
      </c>
      <c r="D131">
        <v>106.76164130542233</v>
      </c>
      <c r="E131">
        <v>115.09930020324944</v>
      </c>
      <c r="F131">
        <v>112.95346646101328</v>
      </c>
      <c r="G131">
        <v>113.44525551996605</v>
      </c>
      <c r="H131">
        <v>116.82731085081521</v>
      </c>
      <c r="I131">
        <v>122.25026381407469</v>
      </c>
      <c r="J131">
        <v>123.68843594219095</v>
      </c>
      <c r="K131">
        <v>125.14200671715895</v>
      </c>
      <c r="L131">
        <v>128.48073241629191</v>
      </c>
      <c r="M131">
        <v>132.11829541319594</v>
      </c>
      <c r="N131">
        <v>136.58807290451026</v>
      </c>
      <c r="O131">
        <v>141.06090570444286</v>
      </c>
      <c r="P131">
        <v>145.75687245113829</v>
      </c>
      <c r="Q131">
        <v>149.22966827531786</v>
      </c>
      <c r="R131">
        <v>155.70593974601681</v>
      </c>
      <c r="S131">
        <v>159.99587913618126</v>
      </c>
      <c r="T131">
        <v>164.89548304457838</v>
      </c>
      <c r="U131">
        <v>169.9665153465981</v>
      </c>
      <c r="V131">
        <v>176.01891135825284</v>
      </c>
      <c r="W131">
        <v>182.18751861930343</v>
      </c>
      <c r="X131">
        <v>186.82198379354583</v>
      </c>
      <c r="Y131">
        <v>193.17363765010083</v>
      </c>
      <c r="Z131">
        <v>198.99082266163649</v>
      </c>
      <c r="AA131">
        <v>204.22028503267467</v>
      </c>
      <c r="AB131">
        <v>210.60001355234505</v>
      </c>
      <c r="AC131">
        <v>218.17170558342013</v>
      </c>
      <c r="AD131">
        <v>224.71792997381027</v>
      </c>
      <c r="AE131">
        <v>220.16201864068364</v>
      </c>
      <c r="AF131">
        <v>225.66274447261094</v>
      </c>
      <c r="AG131">
        <v>236.62790370736002</v>
      </c>
      <c r="AH131">
        <v>242.61285133040656</v>
      </c>
      <c r="AI131">
        <v>249.91797881158135</v>
      </c>
      <c r="AJ131">
        <v>256.41084835452949</v>
      </c>
      <c r="AK131">
        <v>263.13475966998874</v>
      </c>
      <c r="AL131">
        <v>271.26851942260618</v>
      </c>
    </row>
    <row r="132" spans="1:38" ht="15">
      <c r="A132" s="31" t="s">
        <v>692</v>
      </c>
      <c r="B132" s="171">
        <v>9.105</v>
      </c>
      <c r="C132" s="171">
        <v>8.6709999999999994</v>
      </c>
      <c r="D132" s="171">
        <v>8.7420000000000009</v>
      </c>
      <c r="E132" s="31">
        <v>8.8580000000000005</v>
      </c>
      <c r="F132" s="171">
        <v>8.9559999999999995</v>
      </c>
      <c r="G132" s="24">
        <v>9.0570000000000004</v>
      </c>
      <c r="H132" s="24">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8.40</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v>
      </c>
      <c r="AH132">
        <v>17.754161760858192</v>
      </c>
      <c r="AI132">
        <v>19.132640960893429</v>
      </c>
      <c r="AJ132">
        <v>20.618148863861805</v>
      </c>
      <c r="AK132">
        <v>22.218995456052017</v>
      </c>
      <c r="AL132">
        <v>23.944135932656788</v>
      </c>
    </row>
    <row r="133" spans="1:2" ht="15">
      <c r="A133" s="31"/>
      <c r="B133" s="31"/>
    </row>
    <row r="134" spans="1:2" ht="15">
      <c r="A134" s="31"/>
      <c r="B134" s="31"/>
    </row>
    <row r="135" spans="1:2" ht="15">
      <c r="A135" s="31"/>
      <c r="B135" s="31"/>
    </row>
    <row r="162" spans="1:13" ht="15">
      <c r="A162" s="31"/>
      <c r="B162" s="31"/>
      <c r="C162" s="31"/>
      <c r="D162" s="31"/>
      <c r="E162" s="31"/>
      <c r="F162" s="31"/>
      <c r="G162" s="31"/>
      <c r="H162" s="31"/>
      <c r="I162" s="31"/>
      <c r="J162" s="31"/>
      <c r="K162" s="31"/>
      <c r="L162" s="31"/>
      <c r="M162" s="31"/>
    </row>
    <row r="163" spans="1:5" ht="15">
      <c r="A163" s="31" t="s">
        <v>620</v>
      </c>
      <c r="B163" s="31" t="s">
        <v>4</v>
      </c>
      <c r="C163" s="31" t="s">
        <v>621</v>
      </c>
      <c r="D163" s="31" t="s">
        <v>622</v>
      </c>
      <c r="E163" s="31" t="s">
        <v>642</v>
      </c>
    </row>
    <row r="164" spans="1:5" ht="15">
      <c r="A164">
        <v>-1</v>
      </c>
      <c r="B164">
        <v>-1</v>
      </c>
      <c r="C164">
        <v>-1</v>
      </c>
      <c r="D164">
        <v>1</v>
      </c>
      <c r="E164">
        <v>-1</v>
      </c>
    </row>
  </sheetData>
  <pageMargins left="0.7" right="0.7" top="0.75" bottom="0.75" header="0.3" footer="0.3"/>
  <pageSetup orientation="portrait" paperSize="9"/>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Q89"/>
  <sheetViews>
    <sheetView workbookViewId="0" topLeftCell="A1">
      <pane xSplit="2" ySplit="6" topLeftCell="C7" activePane="bottomRight" state="frozen"/>
      <selection pane="topLeft" activeCell="A1" sqref="A1"/>
      <selection pane="bottomLeft" activeCell="A7" sqref="A7"/>
      <selection pane="topRight" activeCell="C1" sqref="C1"/>
      <selection pane="bottomRight" activeCell="A64" sqref="A64"/>
    </sheetView>
  </sheetViews>
  <sheetFormatPr defaultColWidth="8.85428571428571" defaultRowHeight="15"/>
  <cols>
    <col min="1" max="1" width="13.4285714285714" customWidth="1"/>
    <col min="3" max="3" width="13.4285714285714" bestFit="1" customWidth="1"/>
    <col min="4" max="32" width="10.4285714285714" bestFit="1" customWidth="1"/>
    <col min="33" max="33" width="10.5714285714286" bestFit="1" customWidth="1"/>
    <col min="34" max="37" width="10.4285714285714" bestFit="1" customWidth="1"/>
  </cols>
  <sheetData>
    <row r="1" spans="3:4" ht="15">
      <c r="C1">
        <v>0.40</v>
      </c>
      <c r="D1">
        <v>0.60</v>
      </c>
    </row>
    <row r="3" spans="3:41" ht="15">
      <c r="C3" s="31" t="s">
        <v>536</v>
      </c>
      <c r="D3" s="31" t="s">
        <v>545</v>
      </c>
      <c r="E3" s="31" t="s">
        <v>546</v>
      </c>
      <c r="F3" s="31" t="s">
        <v>537</v>
      </c>
      <c r="G3" s="31" t="s">
        <v>547</v>
      </c>
      <c r="H3" s="31" t="s">
        <v>548</v>
      </c>
      <c r="I3" s="31" t="s">
        <v>549</v>
      </c>
      <c r="J3" s="31" t="s">
        <v>550</v>
      </c>
      <c r="K3" s="31" t="s">
        <v>538</v>
      </c>
      <c r="L3" s="31" t="s">
        <v>551</v>
      </c>
      <c r="M3" s="31" t="s">
        <v>552</v>
      </c>
      <c r="N3" s="31" t="s">
        <v>553</v>
      </c>
      <c r="O3" s="31" t="s">
        <v>554</v>
      </c>
      <c r="P3" s="31" t="s">
        <v>539</v>
      </c>
      <c r="Q3" s="31" t="s">
        <v>555</v>
      </c>
      <c r="R3" s="31" t="s">
        <v>556</v>
      </c>
      <c r="S3" s="31" t="s">
        <v>557</v>
      </c>
      <c r="T3" s="31" t="s">
        <v>558</v>
      </c>
      <c r="U3" s="31" t="s">
        <v>540</v>
      </c>
      <c r="V3" s="31" t="s">
        <v>559</v>
      </c>
      <c r="W3" s="31" t="s">
        <v>560</v>
      </c>
      <c r="X3" s="31" t="s">
        <v>561</v>
      </c>
      <c r="Y3" s="31" t="s">
        <v>562</v>
      </c>
      <c r="Z3" s="31" t="s">
        <v>541</v>
      </c>
      <c r="AA3" s="31" t="s">
        <v>563</v>
      </c>
      <c r="AB3" s="31" t="s">
        <v>564</v>
      </c>
      <c r="AC3" s="31" t="s">
        <v>565</v>
      </c>
      <c r="AD3" s="31" t="s">
        <v>566</v>
      </c>
      <c r="AE3" s="31" t="s">
        <v>542</v>
      </c>
      <c r="AF3" s="31" t="s">
        <v>543</v>
      </c>
      <c r="AG3" s="31" t="s">
        <v>544</v>
      </c>
      <c r="AH3" s="31" t="s">
        <v>706</v>
      </c>
      <c r="AI3" s="31" t="s">
        <v>711</v>
      </c>
      <c r="AJ3" s="31" t="s">
        <v>716</v>
      </c>
      <c r="AK3" s="31" t="s">
        <v>721</v>
      </c>
      <c r="AL3" s="31"/>
      <c r="AM3" s="31"/>
      <c r="AN3" s="31"/>
      <c r="AO3" s="31"/>
    </row>
    <row r="5" spans="1:40" ht="15">
      <c r="A5" t="s">
        <v>590</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8"/>
    </row>
    <row r="6" spans="1:37" ht="15">
      <c r="A6" t="s">
        <v>591</v>
      </c>
      <c r="C6">
        <v>0</v>
      </c>
      <c r="D6">
        <f>C6+1</f>
        <v>1</v>
      </c>
      <c r="E6">
        <f t="shared" si="0" ref="E6:AG6">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si="1" ref="AH6">AG6+1</f>
        <v>31</v>
      </c>
      <c r="AI6">
        <f t="shared" si="2" ref="AI6">AH6+1</f>
        <v>32</v>
      </c>
      <c r="AJ6">
        <f t="shared" si="3" ref="AJ6">AI6+1</f>
        <v>33</v>
      </c>
      <c r="AK6">
        <f t="shared" si="4" ref="AK6">AJ6+1</f>
        <v>34</v>
      </c>
    </row>
    <row r="7" spans="1:39" ht="15">
      <c r="A7" s="119" t="s">
        <v>126</v>
      </c>
      <c r="B7">
        <v>1</v>
      </c>
      <c r="C7" s="263">
        <v>96.797279590965346</v>
      </c>
      <c r="D7" s="263">
        <v>101.32801029182565</v>
      </c>
      <c r="E7" s="263">
        <v>105.4512845971946</v>
      </c>
      <c r="F7" s="263">
        <v>104.03295587682055</v>
      </c>
      <c r="G7" s="263">
        <v>102.86973222443167</v>
      </c>
      <c r="H7" s="263">
        <v>106.45368114150588</v>
      </c>
      <c r="I7" s="263">
        <v>104.83293209544796</v>
      </c>
      <c r="J7" s="263">
        <v>103.19</v>
      </c>
      <c r="K7" s="263">
        <v>101.98</v>
      </c>
      <c r="L7" s="12">
        <f t="shared" si="5" ref="L7:AG7">L45/K45*K7</f>
        <v>108.90793233022519</v>
      </c>
      <c r="M7" s="12">
        <f t="shared" si="5"/>
        <v>105.34181795440921</v>
      </c>
      <c r="N7" s="12">
        <f t="shared" si="5"/>
        <v>103.0278987597445</v>
      </c>
      <c r="O7" s="12">
        <f t="shared" si="5"/>
        <v>102.08977859536785</v>
      </c>
      <c r="P7" s="12">
        <f t="shared" si="5"/>
        <v>104.02932601624302</v>
      </c>
      <c r="Q7" s="12">
        <f t="shared" si="5"/>
        <v>105.05502858452884</v>
      </c>
      <c r="R7" s="12">
        <f t="shared" si="5"/>
        <v>106.6463424631479</v>
      </c>
      <c r="S7" s="12">
        <f t="shared" si="5"/>
        <v>108.50131133348475</v>
      </c>
      <c r="T7" s="12">
        <f t="shared" si="5"/>
        <v>110.15971969214554</v>
      </c>
      <c r="U7" s="12">
        <f t="shared" si="5"/>
        <v>112.84428016818234</v>
      </c>
      <c r="V7" s="12">
        <f t="shared" si="5"/>
        <v>115.438778591024</v>
      </c>
      <c r="W7" s="12">
        <f t="shared" si="5"/>
        <v>117.94705085001384</v>
      </c>
      <c r="X7" s="12">
        <f t="shared" si="5"/>
        <v>120.20048102939873</v>
      </c>
      <c r="Y7" s="12">
        <f t="shared" si="5"/>
        <v>122.55614176299642</v>
      </c>
      <c r="Z7" s="12">
        <f t="shared" si="5"/>
        <v>126.42387237405461</v>
      </c>
      <c r="AA7" s="12">
        <f t="shared" si="5"/>
        <v>128.82930447043134</v>
      </c>
      <c r="AB7" s="12">
        <f t="shared" si="5"/>
        <v>131.1863105072681</v>
      </c>
      <c r="AC7" s="12">
        <f t="shared" si="5"/>
        <v>133.50154862187097</v>
      </c>
      <c r="AD7" s="12">
        <f t="shared" si="5"/>
        <v>135.89728061629887</v>
      </c>
      <c r="AE7" s="12">
        <f t="shared" si="5"/>
        <v>138.28101726667424</v>
      </c>
      <c r="AF7" s="12">
        <f t="shared" si="5"/>
        <v>151.62529788424214</v>
      </c>
      <c r="AG7" s="12">
        <f t="shared" si="5"/>
        <v>168.05941740930876</v>
      </c>
      <c r="AH7" s="12">
        <f t="shared" si="6" ref="AH7:AH12">AH45/AG45*AG7</f>
        <v>189.30449196979802</v>
      </c>
      <c r="AI7" s="12">
        <f t="shared" si="7" ref="AI7:AI12">AI45/AH45*AH7</f>
        <v>211.20966912741378</v>
      </c>
      <c r="AJ7" s="12">
        <f t="shared" si="8" ref="AJ7:AJ12">AJ45/AI45*AI7</f>
        <v>225.44685993893563</v>
      </c>
      <c r="AK7" s="12">
        <f t="shared" si="9" ref="AK7:AK12">AK45/AJ45*AJ7</f>
        <v>230.13380505706454</v>
      </c>
      <c r="AL7" s="111"/>
      <c r="AM7" s="111"/>
    </row>
    <row r="8" spans="1:39" ht="15">
      <c r="A8" s="119" t="s">
        <v>4</v>
      </c>
      <c r="B8">
        <f>B7+1</f>
        <v>2</v>
      </c>
      <c r="C8" s="263">
        <v>2420.5059603282948</v>
      </c>
      <c r="D8" s="263">
        <v>2489.1047071827661</v>
      </c>
      <c r="E8" s="263">
        <v>2551.5982527371866</v>
      </c>
      <c r="F8" s="263">
        <v>2595.1630396206046</v>
      </c>
      <c r="G8" s="263">
        <v>2628.6516711665686</v>
      </c>
      <c r="H8" s="263">
        <v>2667.1308637985835</v>
      </c>
      <c r="I8" s="263">
        <v>2710.4237502366891</v>
      </c>
      <c r="J8" s="263">
        <v>2746.44</v>
      </c>
      <c r="K8" s="263">
        <v>2570.58</v>
      </c>
      <c r="L8" s="12">
        <f t="shared" si="10" ref="L8:AG8">L46/K46*K8</f>
        <v>2661.137257940266</v>
      </c>
      <c r="M8" s="12">
        <f t="shared" si="10"/>
        <v>2761.4298067848131</v>
      </c>
      <c r="N8" s="12">
        <f t="shared" si="10"/>
        <v>2793.8689731899376</v>
      </c>
      <c r="O8" s="12">
        <f t="shared" si="10"/>
        <v>2840.2555188307119</v>
      </c>
      <c r="P8" s="12">
        <f t="shared" si="10"/>
        <v>2887.1920676745731</v>
      </c>
      <c r="Q8" s="12">
        <f t="shared" si="10"/>
        <v>2942.9827911544662</v>
      </c>
      <c r="R8" s="12">
        <f t="shared" si="10"/>
        <v>3017.0070800395511</v>
      </c>
      <c r="S8" s="12">
        <f t="shared" si="10"/>
        <v>3101.1150784020274</v>
      </c>
      <c r="T8" s="12">
        <f t="shared" si="10"/>
        <v>3198.9902218607881</v>
      </c>
      <c r="U8" s="12">
        <f t="shared" si="10"/>
        <v>3309.3362647377799</v>
      </c>
      <c r="V8" s="12">
        <f t="shared" si="10"/>
        <v>3429.8083051158351</v>
      </c>
      <c r="W8" s="12">
        <f t="shared" si="10"/>
        <v>3557.1032489581612</v>
      </c>
      <c r="X8" s="12">
        <f t="shared" si="10"/>
        <v>3690.7884870385869</v>
      </c>
      <c r="Y8" s="12">
        <f t="shared" si="10"/>
        <v>3827.7091393630249</v>
      </c>
      <c r="Z8" s="12">
        <f t="shared" si="10"/>
        <v>3966.4974382672008</v>
      </c>
      <c r="AA8" s="12">
        <f t="shared" si="10"/>
        <v>4106.28895944128</v>
      </c>
      <c r="AB8" s="12">
        <f t="shared" si="10"/>
        <v>4252.0489762830803</v>
      </c>
      <c r="AC8" s="12">
        <f t="shared" si="10"/>
        <v>4404.1306510964387</v>
      </c>
      <c r="AD8" s="12">
        <f t="shared" si="10"/>
        <v>4565.9120368592185</v>
      </c>
      <c r="AE8" s="12">
        <f t="shared" si="10"/>
        <v>4733.799113995291</v>
      </c>
      <c r="AF8" s="12">
        <f t="shared" si="10"/>
        <v>5601.9285424398458</v>
      </c>
      <c r="AG8" s="12">
        <f t="shared" si="10"/>
        <v>6506.2876352718131</v>
      </c>
      <c r="AH8" s="12">
        <f t="shared" si="6"/>
        <v>7555.4059155015957</v>
      </c>
      <c r="AI8" s="12">
        <f t="shared" si="7"/>
        <v>8429.6720428112712</v>
      </c>
      <c r="AJ8" s="12">
        <f t="shared" si="8"/>
        <v>8997.8981559806198</v>
      </c>
      <c r="AK8" s="12">
        <f t="shared" si="9"/>
        <v>9184.9606630699473</v>
      </c>
      <c r="AL8" s="111"/>
      <c r="AM8" s="111"/>
    </row>
    <row r="9" spans="1:39" ht="15">
      <c r="A9" s="119" t="s">
        <v>508</v>
      </c>
      <c r="B9">
        <f t="shared" si="11" ref="B9:B37">B8+1</f>
        <v>3</v>
      </c>
      <c r="C9" s="263">
        <v>72.107894835057621</v>
      </c>
      <c r="D9" s="263">
        <v>74.266300997437128</v>
      </c>
      <c r="E9" s="263">
        <v>75.801027741220466</v>
      </c>
      <c r="F9" s="263">
        <v>76.644854367250801</v>
      </c>
      <c r="G9" s="263">
        <v>77.466834349241523</v>
      </c>
      <c r="H9" s="263">
        <v>78.131791577197461</v>
      </c>
      <c r="I9" s="263">
        <v>79.016580660802092</v>
      </c>
      <c r="J9" s="263">
        <v>78.849999999999994</v>
      </c>
      <c r="K9" s="263">
        <v>77.70</v>
      </c>
      <c r="L9" s="12">
        <f t="shared" si="12" ref="L9:AG9">L47/K47*K9</f>
        <v>79.954836755662825</v>
      </c>
      <c r="M9" s="12">
        <f t="shared" si="12"/>
        <v>87.10922109627225</v>
      </c>
      <c r="N9" s="12">
        <f t="shared" si="12"/>
        <v>86.230601157318233</v>
      </c>
      <c r="O9" s="12">
        <f t="shared" si="12"/>
        <v>86.942048034871036</v>
      </c>
      <c r="P9" s="12">
        <f t="shared" si="12"/>
        <v>88.051696533293836</v>
      </c>
      <c r="Q9" s="12">
        <f t="shared" si="12"/>
        <v>89.089743103937465</v>
      </c>
      <c r="R9" s="12">
        <f t="shared" si="12"/>
        <v>90.501262613264259</v>
      </c>
      <c r="S9" s="12">
        <f t="shared" si="12"/>
        <v>92.524512869880013</v>
      </c>
      <c r="T9" s="12">
        <f t="shared" si="12"/>
        <v>94.555017489107215</v>
      </c>
      <c r="U9" s="12">
        <f t="shared" si="12"/>
        <v>97.370246061885936</v>
      </c>
      <c r="V9" s="12">
        <f t="shared" si="12"/>
        <v>100.34120480604236</v>
      </c>
      <c r="W9" s="12">
        <f t="shared" si="12"/>
        <v>103.35479000417058</v>
      </c>
      <c r="X9" s="12">
        <f t="shared" si="12"/>
        <v>106.5663758251315</v>
      </c>
      <c r="Y9" s="12">
        <f t="shared" si="12"/>
        <v>110.66597123273992</v>
      </c>
      <c r="Z9" s="12">
        <f t="shared" si="12"/>
        <v>114.9776031810505</v>
      </c>
      <c r="AA9" s="12">
        <f t="shared" si="12"/>
        <v>117.89596263922971</v>
      </c>
      <c r="AB9" s="12">
        <f t="shared" si="12"/>
        <v>121.16247158937216</v>
      </c>
      <c r="AC9" s="12">
        <f t="shared" si="12"/>
        <v>124.59418949623409</v>
      </c>
      <c r="AD9" s="12">
        <f t="shared" si="12"/>
        <v>126.70812926730011</v>
      </c>
      <c r="AE9" s="12">
        <f t="shared" si="12"/>
        <v>130.39590265112787</v>
      </c>
      <c r="AF9" s="12">
        <f t="shared" si="12"/>
        <v>150.26953593639826</v>
      </c>
      <c r="AG9" s="12">
        <f t="shared" si="12"/>
        <v>170.10242637450975</v>
      </c>
      <c r="AH9" s="12">
        <f t="shared" si="6"/>
        <v>197.06374567745283</v>
      </c>
      <c r="AI9" s="12">
        <f t="shared" si="7"/>
        <v>220.66816692504625</v>
      </c>
      <c r="AJ9" s="12">
        <f t="shared" si="8"/>
        <v>236.08828085430704</v>
      </c>
      <c r="AK9" s="12">
        <f t="shared" si="9"/>
        <v>241.31988385406757</v>
      </c>
      <c r="AL9" s="111"/>
      <c r="AM9" s="111"/>
    </row>
    <row r="10" spans="1:39" ht="15">
      <c r="A10" s="119" t="s">
        <v>692</v>
      </c>
      <c r="B10">
        <f t="shared" si="11"/>
        <v>4</v>
      </c>
      <c r="C10" s="263">
        <v>2.4554419284149018</v>
      </c>
      <c r="D10" s="263">
        <v>2.4807404210106916</v>
      </c>
      <c r="E10" s="263">
        <v>2.5000863271133542</v>
      </c>
      <c r="F10" s="263">
        <v>2.4936376917457999</v>
      </c>
      <c r="G10" s="263">
        <v>2.4903306992496184</v>
      </c>
      <c r="H10" s="263">
        <v>2.5025665714854908</v>
      </c>
      <c r="I10" s="263">
        <v>2.5113301016003717</v>
      </c>
      <c r="J10" s="263">
        <v>2.4900000000000002</v>
      </c>
      <c r="K10" s="263">
        <v>2.36</v>
      </c>
      <c r="L10" s="12">
        <f t="shared" si="13" ref="L10:AG10">L48/K48*K10</f>
        <v>2.4228234145931369</v>
      </c>
      <c r="M10" s="12">
        <f t="shared" si="13"/>
        <v>2.5755229863571185</v>
      </c>
      <c r="N10" s="12">
        <f t="shared" si="13"/>
        <v>2.587163426994004</v>
      </c>
      <c r="O10" s="12">
        <f t="shared" si="13"/>
        <v>2.6102032960069859</v>
      </c>
      <c r="P10" s="12">
        <f t="shared" si="13"/>
        <v>2.6440312032315374</v>
      </c>
      <c r="Q10" s="12">
        <f t="shared" si="13"/>
        <v>2.6818126676412666</v>
      </c>
      <c r="R10" s="12">
        <f t="shared" si="13"/>
        <v>2.724378403222556</v>
      </c>
      <c r="S10" s="12">
        <f t="shared" si="13"/>
        <v>2.7857589265244447</v>
      </c>
      <c r="T10" s="12">
        <f t="shared" si="13"/>
        <v>2.8490775816810809</v>
      </c>
      <c r="U10" s="12">
        <f t="shared" si="13"/>
        <v>2.9346527947974246</v>
      </c>
      <c r="V10" s="12">
        <f t="shared" si="13"/>
        <v>3.0271401609962072</v>
      </c>
      <c r="W10" s="12">
        <f t="shared" si="13"/>
        <v>3.1214829714493382</v>
      </c>
      <c r="X10" s="12">
        <f t="shared" si="13"/>
        <v>3.2235782230768848</v>
      </c>
      <c r="Y10" s="12">
        <f t="shared" si="13"/>
        <v>3.3514055560548131</v>
      </c>
      <c r="Z10" s="12">
        <f t="shared" si="13"/>
        <v>3.413321602551648</v>
      </c>
      <c r="AA10" s="12">
        <f t="shared" si="13"/>
        <v>3.5040329113090634</v>
      </c>
      <c r="AB10" s="12">
        <f t="shared" si="13"/>
        <v>3.6060132987619071</v>
      </c>
      <c r="AC10" s="12">
        <f t="shared" si="13"/>
        <v>3.7124208480502507</v>
      </c>
      <c r="AD10" s="12">
        <f t="shared" si="13"/>
        <v>3.7699883871061077</v>
      </c>
      <c r="AE10" s="12">
        <f t="shared" si="13"/>
        <v>3.8854322013631744</v>
      </c>
      <c r="AF10" s="12">
        <f t="shared" si="13"/>
        <v>4.4929007997637935</v>
      </c>
      <c r="AG10" s="12">
        <f t="shared" si="13"/>
        <v>5.0625045224051828</v>
      </c>
      <c r="AH10" s="12">
        <f t="shared" si="6"/>
        <v>5.8927723744280449</v>
      </c>
      <c r="AI10" s="12">
        <f t="shared" si="7"/>
        <v>6.5986124109299773</v>
      </c>
      <c r="AJ10" s="12">
        <f t="shared" si="8"/>
        <v>7.0597181361890993</v>
      </c>
      <c r="AK10" s="12">
        <f t="shared" si="9"/>
        <v>7.216158101972673</v>
      </c>
      <c r="AL10" s="111"/>
      <c r="AM10" s="111"/>
    </row>
    <row r="11" spans="1:39" ht="15">
      <c r="A11" s="119" t="s">
        <v>505</v>
      </c>
      <c r="B11">
        <f t="shared" si="11"/>
        <v>5</v>
      </c>
      <c r="C11" s="263">
        <v>138.08343097582718</v>
      </c>
      <c r="D11" s="263">
        <v>143.16360238477418</v>
      </c>
      <c r="E11" s="263">
        <v>146.98438355117329</v>
      </c>
      <c r="F11" s="263">
        <v>148.78204922418408</v>
      </c>
      <c r="G11" s="263">
        <v>151.86270236184362</v>
      </c>
      <c r="H11" s="263">
        <v>153.55950890468549</v>
      </c>
      <c r="I11" s="263">
        <v>155.74281242834212</v>
      </c>
      <c r="J11" s="263">
        <v>155.24</v>
      </c>
      <c r="K11" s="263">
        <v>152.88999999999999</v>
      </c>
      <c r="L11" s="12">
        <f t="shared" si="14" ref="L11:AG11">L49/K49*K11</f>
        <v>161.47994305451923</v>
      </c>
      <c r="M11" s="12">
        <f t="shared" si="14"/>
        <v>170.34371759786086</v>
      </c>
      <c r="N11" s="12">
        <f t="shared" si="14"/>
        <v>173.12341457106015</v>
      </c>
      <c r="O11" s="12">
        <f t="shared" si="14"/>
        <v>176.32840698200047</v>
      </c>
      <c r="P11" s="12">
        <f t="shared" si="14"/>
        <v>177.09708186166219</v>
      </c>
      <c r="Q11" s="12">
        <f t="shared" si="14"/>
        <v>176.7862303163169</v>
      </c>
      <c r="R11" s="12">
        <f t="shared" si="14"/>
        <v>179.3406898621059</v>
      </c>
      <c r="S11" s="12">
        <f t="shared" si="14"/>
        <v>182.37090266223754</v>
      </c>
      <c r="T11" s="12">
        <f t="shared" si="14"/>
        <v>185.39729323774759</v>
      </c>
      <c r="U11" s="12">
        <f t="shared" si="14"/>
        <v>190.41425950751045</v>
      </c>
      <c r="V11" s="12">
        <f t="shared" si="14"/>
        <v>195.72791784347467</v>
      </c>
      <c r="W11" s="12">
        <f t="shared" si="14"/>
        <v>200.97793474475992</v>
      </c>
      <c r="X11" s="12">
        <f t="shared" si="14"/>
        <v>206.18886862836951</v>
      </c>
      <c r="Y11" s="12">
        <f t="shared" si="14"/>
        <v>211.81036245014377</v>
      </c>
      <c r="Z11" s="12">
        <f t="shared" si="14"/>
        <v>219.46733540580811</v>
      </c>
      <c r="AA11" s="12">
        <f t="shared" si="14"/>
        <v>224.12361898931096</v>
      </c>
      <c r="AB11" s="12">
        <f t="shared" si="14"/>
        <v>228.55384157341112</v>
      </c>
      <c r="AC11" s="12">
        <f t="shared" si="14"/>
        <v>232.91946178000421</v>
      </c>
      <c r="AD11" s="12">
        <f t="shared" si="14"/>
        <v>237.58304479744407</v>
      </c>
      <c r="AE11" s="12">
        <f t="shared" si="14"/>
        <v>242.22934419814229</v>
      </c>
      <c r="AF11" s="12">
        <f t="shared" si="14"/>
        <v>267.36183449681687</v>
      </c>
      <c r="AG11" s="12">
        <f t="shared" si="14"/>
        <v>296.57473830496309</v>
      </c>
      <c r="AH11" s="12">
        <f t="shared" si="6"/>
        <v>332.88469496349677</v>
      </c>
      <c r="AI11" s="12">
        <f t="shared" si="7"/>
        <v>372.75783621422681</v>
      </c>
      <c r="AJ11" s="12">
        <f t="shared" si="8"/>
        <v>398.80585384424825</v>
      </c>
      <c r="AK11" s="12">
        <f t="shared" si="9"/>
        <v>407.64320016971521</v>
      </c>
      <c r="AL11" s="111"/>
      <c r="AM11" s="111"/>
    </row>
    <row r="12" spans="1:39" ht="15">
      <c r="A12" s="119" t="s">
        <v>580</v>
      </c>
      <c r="B12">
        <f t="shared" si="11"/>
        <v>6</v>
      </c>
      <c r="C12" s="263">
        <v>0.14875454246747444</v>
      </c>
      <c r="D12" s="263">
        <v>0.12</v>
      </c>
      <c r="E12" s="263">
        <v>0.12</v>
      </c>
      <c r="F12" s="263">
        <v>0.12</v>
      </c>
      <c r="G12" s="263">
        <v>0.12</v>
      </c>
      <c r="H12" s="263">
        <v>0.12</v>
      </c>
      <c r="I12" s="263">
        <v>0.12</v>
      </c>
      <c r="J12" s="263">
        <v>0.12</v>
      </c>
      <c r="K12" s="263">
        <v>0.12</v>
      </c>
      <c r="L12" s="12">
        <f t="shared" si="15" ref="L12:AG12">L50/K50*K12</f>
        <v>0.11983886107874669</v>
      </c>
      <c r="M12" s="12">
        <f t="shared" si="15"/>
        <v>0.11981952067587598</v>
      </c>
      <c r="N12" s="12">
        <f t="shared" si="15"/>
        <v>0.11981952067587595</v>
      </c>
      <c r="O12" s="12">
        <f t="shared" si="15"/>
        <v>0.11981952067587601</v>
      </c>
      <c r="P12" s="12">
        <f t="shared" si="15"/>
        <v>0.11981952067587601</v>
      </c>
      <c r="Q12" s="12">
        <f t="shared" si="15"/>
        <v>0.1198195206758759</v>
      </c>
      <c r="R12" s="12">
        <f t="shared" si="15"/>
        <v>0.11981952067587587</v>
      </c>
      <c r="S12" s="12">
        <f t="shared" si="15"/>
        <v>0.7937275160443209</v>
      </c>
      <c r="T12" s="12">
        <f t="shared" si="15"/>
        <v>0.8713362831091418</v>
      </c>
      <c r="U12" s="12">
        <f t="shared" si="15"/>
        <v>0.96230427419168951</v>
      </c>
      <c r="V12" s="12">
        <f t="shared" si="15"/>
        <v>1.0667680828321302</v>
      </c>
      <c r="W12" s="12">
        <f t="shared" si="15"/>
        <v>1.2034675598099973</v>
      </c>
      <c r="X12" s="12">
        <f t="shared" si="15"/>
        <v>1.61902501979675</v>
      </c>
      <c r="Y12" s="12">
        <f t="shared" si="15"/>
        <v>3.3597961958958491</v>
      </c>
      <c r="Z12" s="12">
        <f t="shared" si="15"/>
        <v>3.5046790598027724</v>
      </c>
      <c r="AA12" s="12">
        <f t="shared" si="15"/>
        <v>3.6065668686368997</v>
      </c>
      <c r="AB12" s="12">
        <f t="shared" si="15"/>
        <v>3.7279539319038149</v>
      </c>
      <c r="AC12" s="12">
        <f t="shared" si="15"/>
        <v>3.8436471012820754</v>
      </c>
      <c r="AD12" s="12">
        <f t="shared" si="15"/>
        <v>3.9767104493037153</v>
      </c>
      <c r="AE12" s="12">
        <f t="shared" si="15"/>
        <v>4.1301004419704244</v>
      </c>
      <c r="AF12" s="12">
        <f t="shared" si="15"/>
        <v>6.9501152237216868</v>
      </c>
      <c r="AG12" s="12">
        <f t="shared" si="15"/>
        <v>15.6678738606533</v>
      </c>
      <c r="AH12" s="12">
        <f t="shared" si="6"/>
        <v>21.923102190169637</v>
      </c>
      <c r="AI12" s="12">
        <f t="shared" si="7"/>
        <v>24.549065364531494</v>
      </c>
      <c r="AJ12" s="12">
        <f t="shared" si="8"/>
        <v>26.264534297150703</v>
      </c>
      <c r="AK12" s="12">
        <f t="shared" si="9"/>
        <v>26.846543772246509</v>
      </c>
      <c r="AL12" s="111"/>
      <c r="AM12" s="111"/>
    </row>
    <row r="13" spans="1:39" ht="15">
      <c r="A13" s="119" t="s">
        <v>700</v>
      </c>
      <c r="B13">
        <f t="shared" si="11"/>
        <v>7</v>
      </c>
      <c r="C13" s="263">
        <v>0.28999999999999998</v>
      </c>
      <c r="D13" s="263">
        <v>0.28999999999999998</v>
      </c>
      <c r="E13" s="263">
        <v>0.28999999999999998</v>
      </c>
      <c r="F13" s="263">
        <v>0.28999999999999998</v>
      </c>
      <c r="G13" s="263">
        <v>0.28999999999999998</v>
      </c>
      <c r="H13" s="263">
        <v>0.28999999999999998</v>
      </c>
      <c r="I13" s="263">
        <v>0.28999999999999998</v>
      </c>
      <c r="J13" s="263">
        <v>0.28999999999999998</v>
      </c>
      <c r="K13" s="263">
        <v>0.28999999999999998</v>
      </c>
      <c r="L13" s="12">
        <f t="shared" si="16" ref="L13:AG13">L53/K53*K13</f>
        <v>0.28559102941579767</v>
      </c>
      <c r="M13" s="12">
        <f t="shared" si="16"/>
        <v>0.32261654000760243</v>
      </c>
      <c r="N13" s="12">
        <f t="shared" si="16"/>
        <v>0.31012309640333968</v>
      </c>
      <c r="O13" s="12">
        <f t="shared" si="16"/>
        <v>0.3086639082757669</v>
      </c>
      <c r="P13" s="12">
        <f t="shared" si="16"/>
        <v>0.3215438265202506</v>
      </c>
      <c r="Q13" s="12">
        <f t="shared" si="16"/>
        <v>0.33142217880956149</v>
      </c>
      <c r="R13" s="12">
        <f t="shared" si="16"/>
        <v>0.33416399464325974</v>
      </c>
      <c r="S13" s="12">
        <f t="shared" si="16"/>
        <v>0.33261636084091134</v>
      </c>
      <c r="T13" s="12">
        <f t="shared" si="16"/>
        <v>0.33887819008501974</v>
      </c>
      <c r="U13" s="12">
        <f t="shared" si="16"/>
        <v>0.34530422912446812</v>
      </c>
      <c r="V13" s="12">
        <f t="shared" si="16"/>
        <v>0.35432857999787909</v>
      </c>
      <c r="W13" s="12">
        <f t="shared" si="16"/>
        <v>0.36321402405127373</v>
      </c>
      <c r="X13" s="12">
        <f t="shared" si="16"/>
        <v>0.37141332882102196</v>
      </c>
      <c r="Y13" s="12">
        <f t="shared" si="16"/>
        <v>0.3742809610284244</v>
      </c>
      <c r="Z13" s="12">
        <f t="shared" si="16"/>
        <v>0.39237277337809212</v>
      </c>
      <c r="AA13" s="12">
        <f t="shared" si="16"/>
        <v>0.40000153462951848</v>
      </c>
      <c r="AB13" s="12">
        <f t="shared" si="16"/>
        <v>0.40766108721918448</v>
      </c>
      <c r="AC13" s="12">
        <f t="shared" si="16"/>
        <v>0.41596438020902837</v>
      </c>
      <c r="AD13" s="12">
        <f t="shared" si="16"/>
        <v>0.42595940943363153</v>
      </c>
      <c r="AE13" s="12">
        <f t="shared" si="16"/>
        <v>0.43718996117766046</v>
      </c>
      <c r="AF13" s="12">
        <f t="shared" si="16"/>
        <v>0.48520811036159339</v>
      </c>
      <c r="AG13" s="12">
        <f t="shared" si="16"/>
        <v>0.5402845163863258</v>
      </c>
      <c r="AH13" s="12">
        <f t="shared" si="17" ref="AH13:AH14">AH53/AG53*AG13</f>
        <v>0.61096241599226198</v>
      </c>
      <c r="AI13" s="12">
        <f t="shared" si="18" ref="AI13:AI14">AI53/AH53*AH13</f>
        <v>0.68414388417126037</v>
      </c>
      <c r="AJ13" s="12">
        <f t="shared" si="19" ref="AJ13:AJ14">AJ53/AI53*AI13</f>
        <v>0.73195130825482191</v>
      </c>
      <c r="AK13" s="12">
        <f t="shared" si="20" ref="AK13:AK14">AK53/AJ53*AJ13</f>
        <v>0.74817099796617892</v>
      </c>
      <c r="AL13" s="111"/>
      <c r="AM13" s="111"/>
    </row>
    <row r="14" spans="1:39" ht="15">
      <c r="A14" s="119" t="s">
        <v>701</v>
      </c>
      <c r="B14">
        <f t="shared" si="11"/>
        <v>8</v>
      </c>
      <c r="C14" s="263">
        <v>0.08</v>
      </c>
      <c r="D14" s="263">
        <v>0.08</v>
      </c>
      <c r="E14" s="263">
        <v>0.08</v>
      </c>
      <c r="F14" s="263">
        <v>0.08</v>
      </c>
      <c r="G14" s="263">
        <v>0.08</v>
      </c>
      <c r="H14" s="263">
        <v>0.08</v>
      </c>
      <c r="I14" s="263">
        <v>0.08</v>
      </c>
      <c r="J14" s="263">
        <v>0.08</v>
      </c>
      <c r="K14" s="263">
        <v>0.08</v>
      </c>
      <c r="L14" s="12">
        <f t="shared" si="21" ref="L14:AG14">L54/K54*K14</f>
        <v>0.088485273473026232</v>
      </c>
      <c r="M14" s="12">
        <f t="shared" si="21"/>
        <v>0.083417450030157644</v>
      </c>
      <c r="N14" s="12">
        <f t="shared" si="21"/>
        <v>0.084354446796877772</v>
      </c>
      <c r="O14" s="12">
        <f t="shared" si="21"/>
        <v>0.084625120241670682</v>
      </c>
      <c r="P14" s="12">
        <f t="shared" si="21"/>
        <v>0.085615209871359038</v>
      </c>
      <c r="Q14" s="12">
        <f t="shared" si="21"/>
        <v>0.087225568584338192</v>
      </c>
      <c r="R14" s="12">
        <f t="shared" si="21"/>
        <v>0.088272541700241</v>
      </c>
      <c r="S14" s="12">
        <f t="shared" si="21"/>
        <v>0.089379233215523532</v>
      </c>
      <c r="T14" s="12">
        <f t="shared" si="21"/>
        <v>0.091033652909511445</v>
      </c>
      <c r="U14" s="12">
        <f t="shared" si="21"/>
        <v>0.092907266796306578</v>
      </c>
      <c r="V14" s="12">
        <f t="shared" si="21"/>
        <v>0.095143889566697254</v>
      </c>
      <c r="W14" s="12">
        <f t="shared" si="21"/>
        <v>0.097465259397911883</v>
      </c>
      <c r="X14" s="12">
        <f t="shared" si="21"/>
        <v>0.099920186042712106</v>
      </c>
      <c r="Y14" s="12">
        <f t="shared" si="21"/>
        <v>0.10257716941495748</v>
      </c>
      <c r="Z14" s="12">
        <f t="shared" si="21"/>
        <v>0.10610820642070554</v>
      </c>
      <c r="AA14" s="12">
        <f t="shared" si="21"/>
        <v>0.10857003632498505</v>
      </c>
      <c r="AB14" s="12">
        <f t="shared" si="21"/>
        <v>0.11104076388315949</v>
      </c>
      <c r="AC14" s="12">
        <f t="shared" si="21"/>
        <v>0.11362071154921471</v>
      </c>
      <c r="AD14" s="12">
        <f t="shared" si="21"/>
        <v>0.11629822631529309</v>
      </c>
      <c r="AE14" s="12">
        <f t="shared" si="21"/>
        <v>0.11931021269247159</v>
      </c>
      <c r="AF14" s="12">
        <f t="shared" si="21"/>
        <v>0.13371249715971251</v>
      </c>
      <c r="AG14" s="12">
        <f t="shared" si="21"/>
        <v>0.15425239024739851</v>
      </c>
      <c r="AH14" s="12">
        <f t="shared" si="17"/>
        <v>0.17740378726058195</v>
      </c>
      <c r="AI14" s="12">
        <f t="shared" si="18"/>
        <v>0.19793188645114429</v>
      </c>
      <c r="AJ14" s="12">
        <f t="shared" si="19"/>
        <v>0.21127405040950656</v>
      </c>
      <c r="AK14" s="12">
        <f t="shared" si="20"/>
        <v>0.21566634879601926</v>
      </c>
      <c r="AL14" s="111"/>
      <c r="AM14" s="111"/>
    </row>
    <row r="15" spans="1:39" ht="15">
      <c r="A15" s="119" t="s">
        <v>372</v>
      </c>
      <c r="B15">
        <f>B12+1</f>
        <v>7</v>
      </c>
      <c r="C15" s="263">
        <v>19.344853564503961</v>
      </c>
      <c r="D15" s="263">
        <v>19.93389877641825</v>
      </c>
      <c r="E15" s="263">
        <v>20.313674916573973</v>
      </c>
      <c r="F15" s="263">
        <v>20.822458982202448</v>
      </c>
      <c r="G15" s="263">
        <v>20.887687708565075</v>
      </c>
      <c r="H15" s="263">
        <v>21.03698901557286</v>
      </c>
      <c r="I15" s="263">
        <v>21.050034760845385</v>
      </c>
      <c r="J15" s="263">
        <v>20.85</v>
      </c>
      <c r="K15" s="263">
        <v>19.82</v>
      </c>
      <c r="L15" s="12">
        <f t="shared" si="22" ref="L15:AG15">L53/K53*K15</f>
        <v>19.518669665590032</v>
      </c>
      <c r="M15" s="12">
        <f t="shared" si="22"/>
        <v>22.049171803278206</v>
      </c>
      <c r="N15" s="12">
        <f t="shared" si="22"/>
        <v>21.195309554186871</v>
      </c>
      <c r="O15" s="12">
        <f t="shared" si="22"/>
        <v>21.095581593192069</v>
      </c>
      <c r="P15" s="12">
        <f t="shared" si="22"/>
        <v>21.975857384935747</v>
      </c>
      <c r="Q15" s="12">
        <f t="shared" si="22"/>
        <v>22.650991668984513</v>
      </c>
      <c r="R15" s="12">
        <f t="shared" si="22"/>
        <v>22.838380599411753</v>
      </c>
      <c r="S15" s="12">
        <f t="shared" si="22"/>
        <v>22.732607834023668</v>
      </c>
      <c r="T15" s="12">
        <f t="shared" si="22"/>
        <v>23.160571474086524</v>
      </c>
      <c r="U15" s="12">
        <f t="shared" si="22"/>
        <v>23.599758004299858</v>
      </c>
      <c r="V15" s="12">
        <f t="shared" si="22"/>
        <v>24.216525708820566</v>
      </c>
      <c r="W15" s="12">
        <f t="shared" si="22"/>
        <v>24.823799850676711</v>
      </c>
      <c r="X15" s="12">
        <f t="shared" si="22"/>
        <v>25.384179921491917</v>
      </c>
      <c r="Y15" s="12">
        <f t="shared" si="22"/>
        <v>25.58016775028749</v>
      </c>
      <c r="Z15" s="12">
        <f t="shared" si="22"/>
        <v>26.81664954604754</v>
      </c>
      <c r="AA15" s="12">
        <f t="shared" si="22"/>
        <v>27.338035918472613</v>
      </c>
      <c r="AB15" s="12">
        <f t="shared" si="22"/>
        <v>27.861526719600821</v>
      </c>
      <c r="AC15" s="12">
        <f t="shared" si="22"/>
        <v>28.429013847389459</v>
      </c>
      <c r="AD15" s="12">
        <f t="shared" si="22"/>
        <v>29.112122396464063</v>
      </c>
      <c r="AE15" s="12">
        <f t="shared" si="22"/>
        <v>29.879672519107697</v>
      </c>
      <c r="AF15" s="12">
        <f t="shared" si="22"/>
        <v>33.161464646092355</v>
      </c>
      <c r="AG15" s="12">
        <f t="shared" si="22"/>
        <v>36.92565211992062</v>
      </c>
      <c r="AH15" s="12">
        <f t="shared" si="23" ref="AH15:AH27">AH53/AG53*AG15</f>
        <v>41.756120982643573</v>
      </c>
      <c r="AI15" s="12">
        <f t="shared" si="24" ref="AI15:AI27">AI53/AH53*AH15</f>
        <v>46.757695807842708</v>
      </c>
      <c r="AJ15" s="12">
        <f t="shared" si="25" ref="AJ15:AJ27">AJ53/AI53*AI15</f>
        <v>50.025085964174401</v>
      </c>
      <c r="AK15" s="12">
        <f t="shared" si="26" ref="AK15:AK27">AK53/AJ53*AJ15</f>
        <v>51.133617860998868</v>
      </c>
      <c r="AL15" s="111"/>
      <c r="AM15" s="111"/>
    </row>
    <row r="16" spans="1:39" ht="15">
      <c r="A16" s="119" t="s">
        <v>371</v>
      </c>
      <c r="B16">
        <f t="shared" si="11"/>
        <v>8</v>
      </c>
      <c r="C16" s="263">
        <v>186.51301855651582</v>
      </c>
      <c r="D16" s="263">
        <v>191.20040429598868</v>
      </c>
      <c r="E16" s="263">
        <v>192.19084947996168</v>
      </c>
      <c r="F16" s="263">
        <v>198.3568473622208</v>
      </c>
      <c r="G16" s="263">
        <v>195.64424405359443</v>
      </c>
      <c r="H16" s="263">
        <v>201.78663829260577</v>
      </c>
      <c r="I16" s="263">
        <v>200.62824410860065</v>
      </c>
      <c r="J16" s="263">
        <v>198.05</v>
      </c>
      <c r="K16" s="263">
        <v>190.12</v>
      </c>
      <c r="L16" s="12">
        <f t="shared" si="27" ref="L16:AG16">L54/K54*K16</f>
        <v>210.28525240864684</v>
      </c>
      <c r="M16" s="12">
        <f t="shared" si="27"/>
        <v>198.24156999666963</v>
      </c>
      <c r="N16" s="12">
        <f t="shared" si="27"/>
        <v>200.46834281278001</v>
      </c>
      <c r="O16" s="12">
        <f t="shared" si="27"/>
        <v>201.11159825433035</v>
      </c>
      <c r="P16" s="12">
        <f t="shared" si="27"/>
        <v>203.46454625928473</v>
      </c>
      <c r="Q16" s="12">
        <f t="shared" si="27"/>
        <v>207.29156374067969</v>
      </c>
      <c r="R16" s="12">
        <f t="shared" si="27"/>
        <v>209.77969535062272</v>
      </c>
      <c r="S16" s="12">
        <f t="shared" si="27"/>
        <v>212.40974773669166</v>
      </c>
      <c r="T16" s="12">
        <f t="shared" si="27"/>
        <v>216.34147613945393</v>
      </c>
      <c r="U16" s="12">
        <f t="shared" si="27"/>
        <v>220.79411954142256</v>
      </c>
      <c r="V16" s="12">
        <f t="shared" si="27"/>
        <v>226.10945355525601</v>
      </c>
      <c r="W16" s="12">
        <f t="shared" si="27"/>
        <v>231.62618895913758</v>
      </c>
      <c r="X16" s="12">
        <f t="shared" si="27"/>
        <v>237.46032213050532</v>
      </c>
      <c r="Y16" s="12">
        <f t="shared" si="27"/>
        <v>243.77464311464647</v>
      </c>
      <c r="Z16" s="12">
        <f t="shared" si="27"/>
        <v>252.16615255880671</v>
      </c>
      <c r="AA16" s="12">
        <f t="shared" si="27"/>
        <v>258.01669132632696</v>
      </c>
      <c r="AB16" s="12">
        <f t="shared" si="27"/>
        <v>263.88837536832852</v>
      </c>
      <c r="AC16" s="12">
        <f t="shared" si="27"/>
        <v>270.0196209967088</v>
      </c>
      <c r="AD16" s="12">
        <f t="shared" si="27"/>
        <v>276.38273483829408</v>
      </c>
      <c r="AE16" s="12">
        <f t="shared" si="27"/>
        <v>283.54072046365877</v>
      </c>
      <c r="AF16" s="12">
        <f t="shared" si="27"/>
        <v>317.76774950005682</v>
      </c>
      <c r="AG16" s="12">
        <f t="shared" si="27"/>
        <v>366.5808054229426</v>
      </c>
      <c r="AH16" s="12">
        <f t="shared" si="23"/>
        <v>421.60010042477307</v>
      </c>
      <c r="AI16" s="12">
        <f t="shared" si="24"/>
        <v>470.3851281511445</v>
      </c>
      <c r="AJ16" s="12">
        <f t="shared" si="25"/>
        <v>502.09278079819245</v>
      </c>
      <c r="AK16" s="12">
        <f t="shared" si="26"/>
        <v>512.53107791373986</v>
      </c>
      <c r="AL16" s="111"/>
      <c r="AM16" s="111"/>
    </row>
    <row r="17" spans="1:39" ht="15">
      <c r="A17" s="119" t="s">
        <v>698</v>
      </c>
      <c r="B17">
        <f t="shared" si="11"/>
        <v>9</v>
      </c>
      <c r="C17" s="263">
        <v>91.99927686334776</v>
      </c>
      <c r="D17" s="263">
        <v>94.311373368720652</v>
      </c>
      <c r="E17" s="263">
        <v>94.799919645026264</v>
      </c>
      <c r="F17" s="263">
        <v>97.841355308332979</v>
      </c>
      <c r="G17" s="263">
        <v>96.503338558927737</v>
      </c>
      <c r="H17" s="263">
        <v>99.533131506208818</v>
      </c>
      <c r="I17" s="263">
        <v>98.961742827413289</v>
      </c>
      <c r="J17" s="263">
        <v>97.69</v>
      </c>
      <c r="K17" s="263">
        <v>74.06</v>
      </c>
      <c r="L17" s="12">
        <f t="shared" si="28" ref="L17:AG17">L55/K55*K17</f>
        <v>114.33834598426481</v>
      </c>
      <c r="M17" s="12">
        <f t="shared" si="28"/>
        <v>89.516268870262792</v>
      </c>
      <c r="N17" s="12">
        <f t="shared" si="28"/>
        <v>96.458948093263288</v>
      </c>
      <c r="O17" s="12">
        <f t="shared" si="28"/>
        <v>99.927525703949954</v>
      </c>
      <c r="P17" s="12">
        <f t="shared" si="28"/>
        <v>102.82925277571825</v>
      </c>
      <c r="Q17" s="12">
        <f t="shared" si="28"/>
        <v>105.64955101351093</v>
      </c>
      <c r="R17" s="12">
        <f t="shared" si="28"/>
        <v>110.04434848272838</v>
      </c>
      <c r="S17" s="12">
        <f t="shared" si="28"/>
        <v>114.32654304770023</v>
      </c>
      <c r="T17" s="12">
        <f t="shared" si="28"/>
        <v>119.68160804428473</v>
      </c>
      <c r="U17" s="12">
        <f t="shared" si="28"/>
        <v>124.97570095146492</v>
      </c>
      <c r="V17" s="12">
        <f t="shared" si="28"/>
        <v>130.74302904370845</v>
      </c>
      <c r="W17" s="12">
        <f t="shared" si="28"/>
        <v>136.67050813850437</v>
      </c>
      <c r="X17" s="12">
        <f t="shared" si="28"/>
        <v>142.90678838375831</v>
      </c>
      <c r="Y17" s="12">
        <f t="shared" si="28"/>
        <v>149.80688430048826</v>
      </c>
      <c r="Z17" s="12">
        <f t="shared" si="28"/>
        <v>159.80615153336927</v>
      </c>
      <c r="AA17" s="12">
        <f t="shared" si="28"/>
        <v>167.61337017822842</v>
      </c>
      <c r="AB17" s="12">
        <f t="shared" si="28"/>
        <v>175.20751435508865</v>
      </c>
      <c r="AC17" s="12">
        <f t="shared" si="28"/>
        <v>182.71035008810142</v>
      </c>
      <c r="AD17" s="12">
        <f t="shared" si="28"/>
        <v>190.02542786166896</v>
      </c>
      <c r="AE17" s="12">
        <f t="shared" si="28"/>
        <v>197.18829203100194</v>
      </c>
      <c r="AF17" s="12">
        <f t="shared" si="28"/>
        <v>228.7459360672928</v>
      </c>
      <c r="AG17" s="12">
        <f t="shared" si="28"/>
        <v>262.22841533298606</v>
      </c>
      <c r="AH17" s="12">
        <f t="shared" si="23"/>
        <v>316.92891795952278</v>
      </c>
      <c r="AI17" s="12">
        <f t="shared" si="24"/>
        <v>354.89086605577518</v>
      </c>
      <c r="AJ17" s="12">
        <f t="shared" si="25"/>
        <v>379.69035418898153</v>
      </c>
      <c r="AK17" s="12">
        <f t="shared" si="26"/>
        <v>388.1041102160375</v>
      </c>
      <c r="AL17" s="111"/>
      <c r="AM17" s="111"/>
    </row>
    <row r="18" spans="1:39" ht="15">
      <c r="A18" s="119" t="s">
        <v>510</v>
      </c>
      <c r="B18">
        <f t="shared" si="11"/>
        <v>10</v>
      </c>
      <c r="C18" s="263">
        <v>18.748363502594032</v>
      </c>
      <c r="D18" s="263">
        <v>15.909210489014884</v>
      </c>
      <c r="E18" s="263">
        <v>14.603991495393339</v>
      </c>
      <c r="F18" s="263">
        <v>14.80978596739901</v>
      </c>
      <c r="G18" s="263">
        <v>14.414883061658401</v>
      </c>
      <c r="H18" s="263">
        <v>13.877221828490436</v>
      </c>
      <c r="I18" s="263">
        <v>13.621369241672575</v>
      </c>
      <c r="J18" s="263">
        <v>13.08</v>
      </c>
      <c r="K18" s="263">
        <v>12.33</v>
      </c>
      <c r="L18" s="12">
        <f t="shared" si="29" ref="L18:AG18">L56/K56*K18</f>
        <v>11.607445782559633</v>
      </c>
      <c r="M18" s="12">
        <f t="shared" si="29"/>
        <v>13.378080716261044</v>
      </c>
      <c r="N18" s="12">
        <f t="shared" si="29"/>
        <v>12.659978022673142</v>
      </c>
      <c r="O18" s="12">
        <f t="shared" si="29"/>
        <v>12.573204091058793</v>
      </c>
      <c r="P18" s="12">
        <f t="shared" si="29"/>
        <v>12.63311667866272</v>
      </c>
      <c r="Q18" s="12">
        <f t="shared" si="29"/>
        <v>12.929633447361994</v>
      </c>
      <c r="R18" s="12">
        <f t="shared" si="29"/>
        <v>12.917324323615013</v>
      </c>
      <c r="S18" s="12">
        <f t="shared" si="29"/>
        <v>12.911730124076415</v>
      </c>
      <c r="T18" s="12">
        <f t="shared" si="29"/>
        <v>13.068570563401574</v>
      </c>
      <c r="U18" s="12">
        <f t="shared" si="29"/>
        <v>13.302149418580994</v>
      </c>
      <c r="V18" s="12">
        <f t="shared" si="29"/>
        <v>13.584325379189437</v>
      </c>
      <c r="W18" s="12">
        <f t="shared" si="29"/>
        <v>13.881987690166961</v>
      </c>
      <c r="X18" s="12">
        <f t="shared" si="29"/>
        <v>14.214872562871648</v>
      </c>
      <c r="Y18" s="12">
        <f t="shared" si="29"/>
        <v>14.525653785759708</v>
      </c>
      <c r="Z18" s="12">
        <f t="shared" si="29"/>
        <v>15.429942608869467</v>
      </c>
      <c r="AA18" s="12">
        <f t="shared" si="29"/>
        <v>15.690162283568247</v>
      </c>
      <c r="AB18" s="12">
        <f t="shared" si="29"/>
        <v>16.053536173266973</v>
      </c>
      <c r="AC18" s="12">
        <f t="shared" si="29"/>
        <v>16.440227818320505</v>
      </c>
      <c r="AD18" s="12">
        <f t="shared" si="29"/>
        <v>16.87327915658015</v>
      </c>
      <c r="AE18" s="12">
        <f t="shared" si="29"/>
        <v>17.326760565570382</v>
      </c>
      <c r="AF18" s="12">
        <f t="shared" si="29"/>
        <v>19.329719446953234</v>
      </c>
      <c r="AG18" s="12">
        <f t="shared" si="29"/>
        <v>21.96573564727386</v>
      </c>
      <c r="AH18" s="12">
        <f t="shared" si="23"/>
        <v>25.428221920854099</v>
      </c>
      <c r="AI18" s="12">
        <f t="shared" si="24"/>
        <v>28.474030573956355</v>
      </c>
      <c r="AJ18" s="12">
        <f t="shared" si="25"/>
        <v>30.463772916923304</v>
      </c>
      <c r="AK18" s="12">
        <f t="shared" si="26"/>
        <v>31.138835504526078</v>
      </c>
      <c r="AL18" s="111"/>
      <c r="AM18" s="111"/>
    </row>
    <row r="19" spans="1:39" ht="15">
      <c r="A19" s="119" t="s">
        <v>509</v>
      </c>
      <c r="B19">
        <f t="shared" si="11"/>
        <v>11</v>
      </c>
      <c r="C19" s="263">
        <v>16.099074173411047</v>
      </c>
      <c r="D19" s="263">
        <v>16.518849146566016</v>
      </c>
      <c r="E19" s="263">
        <v>16.808536607755151</v>
      </c>
      <c r="F19" s="263">
        <v>17.0461507724374</v>
      </c>
      <c r="G19" s="263">
        <v>17.232929214387152</v>
      </c>
      <c r="H19" s="263">
        <v>17.424562753451802</v>
      </c>
      <c r="I19" s="263">
        <v>17.64894439854638</v>
      </c>
      <c r="J19" s="263">
        <v>17.63</v>
      </c>
      <c r="K19" s="263">
        <v>16.46</v>
      </c>
      <c r="L19" s="12">
        <f t="shared" si="30" ref="L19:AG19">L57/K57*K19</f>
        <v>17.461941883695768</v>
      </c>
      <c r="M19" s="12">
        <f t="shared" si="30"/>
        <v>18.119036555395851</v>
      </c>
      <c r="N19" s="12">
        <f t="shared" si="30"/>
        <v>18.09990089894092</v>
      </c>
      <c r="O19" s="12">
        <f t="shared" si="30"/>
        <v>18.1988389146623</v>
      </c>
      <c r="P19" s="12">
        <f t="shared" si="30"/>
        <v>18.617245076520646</v>
      </c>
      <c r="Q19" s="12">
        <f t="shared" si="30"/>
        <v>19.33378488456496</v>
      </c>
      <c r="R19" s="12">
        <f t="shared" si="30"/>
        <v>19.625432027058782</v>
      </c>
      <c r="S19" s="12">
        <f t="shared" si="30"/>
        <v>19.97364660883931</v>
      </c>
      <c r="T19" s="12">
        <f t="shared" si="30"/>
        <v>20.473478119273125</v>
      </c>
      <c r="U19" s="12">
        <f t="shared" si="30"/>
        <v>21.143738584334123</v>
      </c>
      <c r="V19" s="12">
        <f t="shared" si="30"/>
        <v>21.832393318673041</v>
      </c>
      <c r="W19" s="12">
        <f t="shared" si="30"/>
        <v>22.535951889858616</v>
      </c>
      <c r="X19" s="12">
        <f t="shared" si="30"/>
        <v>23.245613296046887</v>
      </c>
      <c r="Y19" s="12">
        <f t="shared" si="30"/>
        <v>24.005006811500927</v>
      </c>
      <c r="Z19" s="12">
        <f t="shared" si="30"/>
        <v>24.993496537376064</v>
      </c>
      <c r="AA19" s="12">
        <f t="shared" si="30"/>
        <v>25.793870245131313</v>
      </c>
      <c r="AB19" s="12">
        <f t="shared" si="30"/>
        <v>26.599457556894244</v>
      </c>
      <c r="AC19" s="12">
        <f t="shared" si="30"/>
        <v>27.432569278334473</v>
      </c>
      <c r="AD19" s="12">
        <f t="shared" si="30"/>
        <v>28.280901617192661</v>
      </c>
      <c r="AE19" s="12">
        <f t="shared" si="30"/>
        <v>29.09249449858434</v>
      </c>
      <c r="AF19" s="12">
        <f t="shared" si="30"/>
        <v>33.49807487320723</v>
      </c>
      <c r="AG19" s="12">
        <f t="shared" si="30"/>
        <v>33.413106408226014</v>
      </c>
      <c r="AH19" s="12">
        <f t="shared" si="23"/>
        <v>39.582193210285375</v>
      </c>
      <c r="AI19" s="12">
        <f t="shared" si="24"/>
        <v>44.323373579243054</v>
      </c>
      <c r="AJ19" s="12">
        <f t="shared" si="25"/>
        <v>47.420655257181089</v>
      </c>
      <c r="AK19" s="12">
        <f t="shared" si="26"/>
        <v>48.471474219462301</v>
      </c>
      <c r="AL19" s="111"/>
      <c r="AM19" s="111"/>
    </row>
    <row r="20" spans="1:39" ht="15">
      <c r="A20" s="119" t="s">
        <v>506</v>
      </c>
      <c r="B20">
        <f t="shared" si="11"/>
        <v>12</v>
      </c>
      <c r="C20" s="263">
        <v>335.77331305186084</v>
      </c>
      <c r="D20" s="263">
        <v>345.12368336779264</v>
      </c>
      <c r="E20" s="263">
        <v>351.73654833895557</v>
      </c>
      <c r="F20" s="263">
        <v>356.62847152051233</v>
      </c>
      <c r="G20" s="263">
        <v>360.31274126727499</v>
      </c>
      <c r="H20" s="263">
        <v>363.08022098030375</v>
      </c>
      <c r="I20" s="263">
        <v>367.26352107202263</v>
      </c>
      <c r="J20" s="263">
        <v>366.87</v>
      </c>
      <c r="K20" s="263">
        <v>340.31</v>
      </c>
      <c r="L20" s="12">
        <f t="shared" si="31" ref="L20:AG20">L58/K58*K20</f>
        <v>359.7662392014679</v>
      </c>
      <c r="M20" s="12">
        <f t="shared" si="31"/>
        <v>374.06086746347455</v>
      </c>
      <c r="N20" s="12">
        <f t="shared" si="31"/>
        <v>374.07169260935177</v>
      </c>
      <c r="O20" s="12">
        <f t="shared" si="31"/>
        <v>376.24597582684999</v>
      </c>
      <c r="P20" s="12">
        <f t="shared" si="31"/>
        <v>389.40543560858305</v>
      </c>
      <c r="Q20" s="12">
        <f t="shared" si="31"/>
        <v>409.17491382258032</v>
      </c>
      <c r="R20" s="12">
        <f t="shared" si="31"/>
        <v>413.67560081017666</v>
      </c>
      <c r="S20" s="12">
        <f t="shared" si="31"/>
        <v>420.21310664677139</v>
      </c>
      <c r="T20" s="12">
        <f t="shared" si="31"/>
        <v>429.82038041939023</v>
      </c>
      <c r="U20" s="12">
        <f t="shared" si="31"/>
        <v>444.74052044634698</v>
      </c>
      <c r="V20" s="12">
        <f t="shared" si="31"/>
        <v>458.86160903753296</v>
      </c>
      <c r="W20" s="12">
        <f t="shared" si="31"/>
        <v>473.36661884222309</v>
      </c>
      <c r="X20" s="12">
        <f t="shared" si="31"/>
        <v>487.88079695825206</v>
      </c>
      <c r="Y20" s="12">
        <f t="shared" si="31"/>
        <v>503.7079604299563</v>
      </c>
      <c r="Z20" s="12">
        <f t="shared" si="31"/>
        <v>521.20053595036313</v>
      </c>
      <c r="AA20" s="12">
        <f t="shared" si="31"/>
        <v>537.07094124664638</v>
      </c>
      <c r="AB20" s="12">
        <f t="shared" si="31"/>
        <v>553.51499300080866</v>
      </c>
      <c r="AC20" s="12">
        <f t="shared" si="31"/>
        <v>570.79254496785893</v>
      </c>
      <c r="AD20" s="12">
        <f t="shared" si="31"/>
        <v>587.64861353811045</v>
      </c>
      <c r="AE20" s="12">
        <f t="shared" si="31"/>
        <v>601.77716615335203</v>
      </c>
      <c r="AF20" s="12">
        <f t="shared" si="31"/>
        <v>687.53299205525877</v>
      </c>
      <c r="AG20" s="12">
        <f t="shared" si="31"/>
        <v>801.96960501412775</v>
      </c>
      <c r="AH20" s="12">
        <f t="shared" si="23"/>
        <v>956.51707622564606</v>
      </c>
      <c r="AI20" s="12">
        <f t="shared" si="24"/>
        <v>1071.0893021829334</v>
      </c>
      <c r="AJ20" s="12">
        <f t="shared" si="25"/>
        <v>1145.9361606955315</v>
      </c>
      <c r="AK20" s="12">
        <f t="shared" si="26"/>
        <v>1171.329556056517</v>
      </c>
      <c r="AL20" s="111"/>
      <c r="AM20" s="111"/>
    </row>
    <row r="21" spans="1:39" ht="15">
      <c r="A21" s="119" t="s">
        <v>512</v>
      </c>
      <c r="B21">
        <f t="shared" si="11"/>
        <v>13</v>
      </c>
      <c r="C21" s="263">
        <v>49.680584563226056</v>
      </c>
      <c r="D21" s="263">
        <v>48.564231533814059</v>
      </c>
      <c r="E21" s="263">
        <v>47.459267978951466</v>
      </c>
      <c r="F21" s="263">
        <v>46.356109920093544</v>
      </c>
      <c r="G21" s="263">
        <v>46.356109920093544</v>
      </c>
      <c r="H21" s="263">
        <v>46.356109920093544</v>
      </c>
      <c r="I21" s="263">
        <v>46.327221984018706</v>
      </c>
      <c r="J21" s="263">
        <v>46.32</v>
      </c>
      <c r="K21" s="263">
        <v>29.10</v>
      </c>
      <c r="L21" s="12">
        <f t="shared" si="32" ref="L21:AG21">L59/K59*K21</f>
        <v>28.151853661503885</v>
      </c>
      <c r="M21" s="12">
        <f t="shared" si="32"/>
        <v>16.789882452472643</v>
      </c>
      <c r="N21" s="12">
        <f t="shared" si="32"/>
        <v>23.822945155044867</v>
      </c>
      <c r="O21" s="12">
        <f t="shared" si="32"/>
        <v>23.822945155044881</v>
      </c>
      <c r="P21" s="12">
        <f t="shared" si="32"/>
        <v>23.822945155044877</v>
      </c>
      <c r="Q21" s="12">
        <f t="shared" si="32"/>
        <v>23.822945155044863</v>
      </c>
      <c r="R21" s="12">
        <f t="shared" si="32"/>
        <v>23.822945155044859</v>
      </c>
      <c r="S21" s="12">
        <f t="shared" si="32"/>
        <v>23.822945155044852</v>
      </c>
      <c r="T21" s="12">
        <f t="shared" si="32"/>
        <v>23.822945155044856</v>
      </c>
      <c r="U21" s="12">
        <f t="shared" si="32"/>
        <v>23.822945155044856</v>
      </c>
      <c r="V21" s="12">
        <f t="shared" si="32"/>
        <v>23.822945155044856</v>
      </c>
      <c r="W21" s="12">
        <f t="shared" si="32"/>
        <v>23.822945155044859</v>
      </c>
      <c r="X21" s="12">
        <f t="shared" si="32"/>
        <v>23.822945155044863</v>
      </c>
      <c r="Y21" s="12">
        <f t="shared" si="32"/>
        <v>23.822945155044863</v>
      </c>
      <c r="Z21" s="12">
        <f t="shared" si="32"/>
        <v>9.1807349857978284</v>
      </c>
      <c r="AA21" s="12">
        <f t="shared" si="32"/>
        <v>9.1807349857978249</v>
      </c>
      <c r="AB21" s="12">
        <f t="shared" si="32"/>
        <v>9.1807349857978195</v>
      </c>
      <c r="AC21" s="12">
        <f t="shared" si="32"/>
        <v>9.1807349857978142</v>
      </c>
      <c r="AD21" s="12">
        <f t="shared" si="32"/>
        <v>9.1807349857978142</v>
      </c>
      <c r="AE21" s="12">
        <f t="shared" si="32"/>
        <v>9.1807349857978142</v>
      </c>
      <c r="AF21" s="12">
        <f t="shared" si="32"/>
        <v>9.1807349857978124</v>
      </c>
      <c r="AG21" s="12">
        <f t="shared" si="32"/>
        <v>0.18361469971595626</v>
      </c>
      <c r="AH21" s="12">
        <f t="shared" si="23"/>
        <v>0.18361469971595643</v>
      </c>
      <c r="AI21" s="12">
        <f t="shared" si="24"/>
        <v>0.2056081856534446</v>
      </c>
      <c r="AJ21" s="12">
        <f t="shared" si="25"/>
        <v>0.2199759202104713</v>
      </c>
      <c r="AK21" s="12">
        <f t="shared" si="26"/>
        <v>0.22485048103104152</v>
      </c>
      <c r="AL21" s="111"/>
      <c r="AM21" s="111"/>
    </row>
    <row r="22" spans="1:39" ht="15">
      <c r="A22" s="119" t="s">
        <v>507</v>
      </c>
      <c r="B22">
        <f t="shared" si="11"/>
        <v>14</v>
      </c>
      <c r="C22" s="263">
        <v>21.771602125906632</v>
      </c>
      <c r="D22" s="263">
        <v>22.321967288291042</v>
      </c>
      <c r="E22" s="263">
        <v>22.799481809844082</v>
      </c>
      <c r="F22" s="263">
        <v>23.061502598593702</v>
      </c>
      <c r="G22" s="263">
        <v>23.492490064200549</v>
      </c>
      <c r="H22" s="263">
        <v>23.649212778966675</v>
      </c>
      <c r="I22" s="263">
        <v>24.045917150718431</v>
      </c>
      <c r="J22" s="263">
        <v>24.03</v>
      </c>
      <c r="K22" s="263">
        <v>22.95</v>
      </c>
      <c r="L22" s="12">
        <f t="shared" si="33" ref="L22:AG22">L60/K60*K22</f>
        <v>23.5915589387069</v>
      </c>
      <c r="M22" s="12">
        <f t="shared" si="33"/>
        <v>25.612761924026326</v>
      </c>
      <c r="N22" s="12">
        <f t="shared" si="33"/>
        <v>25.70533277196116</v>
      </c>
      <c r="O22" s="12">
        <f t="shared" si="33"/>
        <v>26.103978707586045</v>
      </c>
      <c r="P22" s="12">
        <f t="shared" si="33"/>
        <v>26.391240957355965</v>
      </c>
      <c r="Q22" s="12">
        <f t="shared" si="33"/>
        <v>26.731597555505349</v>
      </c>
      <c r="R22" s="12">
        <f t="shared" si="33"/>
        <v>27.17398473350066</v>
      </c>
      <c r="S22" s="12">
        <f t="shared" si="33"/>
        <v>27.726666965592173</v>
      </c>
      <c r="T22" s="12">
        <f t="shared" si="33"/>
        <v>28.352110697382354</v>
      </c>
      <c r="U22" s="12">
        <f t="shared" si="33"/>
        <v>29.212851977364505</v>
      </c>
      <c r="V22" s="12">
        <f t="shared" si="33"/>
        <v>30.172817767999469</v>
      </c>
      <c r="W22" s="12">
        <f t="shared" si="33"/>
        <v>31.158188208433973</v>
      </c>
      <c r="X22" s="12">
        <f t="shared" si="33"/>
        <v>32.177851452341578</v>
      </c>
      <c r="Y22" s="12">
        <f t="shared" si="33"/>
        <v>33.256437740018221</v>
      </c>
      <c r="Z22" s="12">
        <f t="shared" si="33"/>
        <v>34.598567866684739</v>
      </c>
      <c r="AA22" s="12">
        <f t="shared" si="33"/>
        <v>35.515379671705396</v>
      </c>
      <c r="AB22" s="12">
        <f t="shared" si="33"/>
        <v>36.463025316726075</v>
      </c>
      <c r="AC22" s="12">
        <f t="shared" si="33"/>
        <v>37.461710254376506</v>
      </c>
      <c r="AD22" s="12">
        <f t="shared" si="33"/>
        <v>38.520743519400135</v>
      </c>
      <c r="AE22" s="12">
        <f t="shared" si="33"/>
        <v>39.623450377042417</v>
      </c>
      <c r="AF22" s="12">
        <f t="shared" si="33"/>
        <v>45.517020146833453</v>
      </c>
      <c r="AG22" s="12">
        <f t="shared" si="33"/>
        <v>52.486716791100115</v>
      </c>
      <c r="AH22" s="12">
        <f t="shared" si="23"/>
        <v>60.482079681035167</v>
      </c>
      <c r="AI22" s="12">
        <f t="shared" si="24"/>
        <v>67.726661792340323</v>
      </c>
      <c r="AJ22" s="12">
        <f t="shared" si="25"/>
        <v>72.45934641758187</v>
      </c>
      <c r="AK22" s="12">
        <f t="shared" si="26"/>
        <v>74.065010759357662</v>
      </c>
      <c r="AL22" s="111"/>
      <c r="AM22" s="111"/>
    </row>
    <row r="23" spans="1:39" ht="15">
      <c r="A23" s="119" t="s">
        <v>577</v>
      </c>
      <c r="B23">
        <f t="shared" si="11"/>
        <v>15</v>
      </c>
      <c r="C23" s="263">
        <v>234.64829421512601</v>
      </c>
      <c r="D23" s="263">
        <v>241.75157173268613</v>
      </c>
      <c r="E23" s="263">
        <v>247.49716491255998</v>
      </c>
      <c r="F23" s="263">
        <v>250.49509082227485</v>
      </c>
      <c r="G23" s="263">
        <v>252.5592931181983</v>
      </c>
      <c r="H23" s="263">
        <v>256.25966914032193</v>
      </c>
      <c r="I23" s="263">
        <v>259.56135726080817</v>
      </c>
      <c r="J23" s="263">
        <v>260.25</v>
      </c>
      <c r="K23" s="263">
        <v>248.16</v>
      </c>
      <c r="L23" s="12">
        <f t="shared" si="34" ref="L23:AG23">L61/K61*K23</f>
        <v>263.2008600883745</v>
      </c>
      <c r="M23" s="12">
        <f t="shared" si="34"/>
        <v>290.35138582281178</v>
      </c>
      <c r="N23" s="12">
        <f t="shared" si="34"/>
        <v>290.90058069441682</v>
      </c>
      <c r="O23" s="12">
        <f t="shared" si="34"/>
        <v>291.18083112349512</v>
      </c>
      <c r="P23" s="12">
        <f t="shared" si="34"/>
        <v>294.59959236943104</v>
      </c>
      <c r="Q23" s="12">
        <f t="shared" si="34"/>
        <v>299.56282993937151</v>
      </c>
      <c r="R23" s="12">
        <f t="shared" si="34"/>
        <v>308.18229974465015</v>
      </c>
      <c r="S23" s="12">
        <f t="shared" si="34"/>
        <v>318.31899838753657</v>
      </c>
      <c r="T23" s="12">
        <f t="shared" si="34"/>
        <v>330.96151655921881</v>
      </c>
      <c r="U23" s="12">
        <f t="shared" si="34"/>
        <v>343.36711969521258</v>
      </c>
      <c r="V23" s="12">
        <f t="shared" si="34"/>
        <v>353.68519420310378</v>
      </c>
      <c r="W23" s="12">
        <f t="shared" si="34"/>
        <v>365.00491179045031</v>
      </c>
      <c r="X23" s="12">
        <f t="shared" si="34"/>
        <v>378.5475110698585</v>
      </c>
      <c r="Y23" s="12">
        <f t="shared" si="34"/>
        <v>391.11014749426391</v>
      </c>
      <c r="Z23" s="12">
        <f t="shared" si="34"/>
        <v>404.00953203612198</v>
      </c>
      <c r="AA23" s="12">
        <f t="shared" si="34"/>
        <v>415.31520607144921</v>
      </c>
      <c r="AB23" s="12">
        <f t="shared" si="34"/>
        <v>429.36677629604998</v>
      </c>
      <c r="AC23" s="12">
        <f t="shared" si="34"/>
        <v>445.35226989083475</v>
      </c>
      <c r="AD23" s="12">
        <f t="shared" si="34"/>
        <v>461.53858903512145</v>
      </c>
      <c r="AE23" s="12">
        <f t="shared" si="34"/>
        <v>480.04142818249801</v>
      </c>
      <c r="AF23" s="12">
        <f t="shared" si="34"/>
        <v>564.75661635421966</v>
      </c>
      <c r="AG23" s="12">
        <f t="shared" si="34"/>
        <v>647.4091680403651</v>
      </c>
      <c r="AH23" s="12">
        <f t="shared" si="23"/>
        <v>736.04407776659752</v>
      </c>
      <c r="AI23" s="12">
        <f t="shared" si="24"/>
        <v>824.20790723544428</v>
      </c>
      <c r="AJ23" s="12">
        <f t="shared" si="25"/>
        <v>881.80289253880778</v>
      </c>
      <c r="AK23" s="12">
        <f t="shared" si="26"/>
        <v>901.34322144081864</v>
      </c>
      <c r="AL23" s="111"/>
      <c r="AM23" s="111"/>
    </row>
    <row r="24" spans="1:39" ht="15">
      <c r="A24" s="119" t="s">
        <v>576</v>
      </c>
      <c r="B24">
        <f t="shared" si="11"/>
        <v>16</v>
      </c>
      <c r="C24" s="263">
        <v>40.911909200944407</v>
      </c>
      <c r="D24" s="263">
        <v>43.472466890059046</v>
      </c>
      <c r="E24" s="263">
        <v>46.683336524652951</v>
      </c>
      <c r="F24" s="263">
        <v>48.977367480453168</v>
      </c>
      <c r="G24" s="263">
        <v>50.507366203925315</v>
      </c>
      <c r="H24" s="263">
        <v>54.114758895803412</v>
      </c>
      <c r="I24" s="263">
        <v>58.020027445348646</v>
      </c>
      <c r="J24" s="263">
        <v>60.61</v>
      </c>
      <c r="K24" s="263">
        <v>58.58</v>
      </c>
      <c r="L24" s="12">
        <f t="shared" si="35" ref="L24:AG24">L62/K62*K24</f>
        <v>61.980735822940936</v>
      </c>
      <c r="M24" s="12">
        <f t="shared" si="35"/>
        <v>73.683587891273888</v>
      </c>
      <c r="N24" s="12">
        <f t="shared" si="35"/>
        <v>78.067399829158376</v>
      </c>
      <c r="O24" s="12">
        <f t="shared" si="35"/>
        <v>79.700834411805417</v>
      </c>
      <c r="P24" s="12">
        <f t="shared" si="35"/>
        <v>80.871542937973317</v>
      </c>
      <c r="Q24" s="12">
        <f t="shared" si="35"/>
        <v>81.078276235188753</v>
      </c>
      <c r="R24" s="12">
        <f t="shared" si="35"/>
        <v>84.007201886505641</v>
      </c>
      <c r="S24" s="12">
        <f t="shared" si="35"/>
        <v>86.851880488623408</v>
      </c>
      <c r="T24" s="12">
        <f t="shared" si="35"/>
        <v>89.537856224412309</v>
      </c>
      <c r="U24" s="12">
        <f t="shared" si="35"/>
        <v>92.003567398304185</v>
      </c>
      <c r="V24" s="12">
        <f t="shared" si="35"/>
        <v>94.532346997201927</v>
      </c>
      <c r="W24" s="12">
        <f t="shared" si="35"/>
        <v>97.083957167019193</v>
      </c>
      <c r="X24" s="12">
        <f t="shared" si="35"/>
        <v>99.681740105318397</v>
      </c>
      <c r="Y24" s="12">
        <f t="shared" si="35"/>
        <v>102.31012046231865</v>
      </c>
      <c r="Z24" s="12">
        <f t="shared" si="35"/>
        <v>105.29655405076682</v>
      </c>
      <c r="AA24" s="12">
        <f t="shared" si="35"/>
        <v>107.65838470389376</v>
      </c>
      <c r="AB24" s="12">
        <f t="shared" si="35"/>
        <v>109.95251397445523</v>
      </c>
      <c r="AC24" s="12">
        <f t="shared" si="35"/>
        <v>112.14432413960859</v>
      </c>
      <c r="AD24" s="12">
        <f t="shared" si="35"/>
        <v>114.31819046779022</v>
      </c>
      <c r="AE24" s="12">
        <f t="shared" si="35"/>
        <v>116.44887462152978</v>
      </c>
      <c r="AF24" s="12">
        <f t="shared" si="35"/>
        <v>125.63191815174126</v>
      </c>
      <c r="AG24" s="12">
        <f t="shared" si="35"/>
        <v>134.1295493883309</v>
      </c>
      <c r="AH24" s="12">
        <f t="shared" si="23"/>
        <v>143.82398694609557</v>
      </c>
      <c r="AI24" s="12">
        <f t="shared" si="24"/>
        <v>161.05131590867722</v>
      </c>
      <c r="AJ24" s="12">
        <f t="shared" si="25"/>
        <v>172.30545226361744</v>
      </c>
      <c r="AK24" s="12">
        <f t="shared" si="26"/>
        <v>176.12365839259388</v>
      </c>
      <c r="AL24" s="111"/>
      <c r="AM24" s="111"/>
    </row>
    <row r="25" spans="1:39" ht="15">
      <c r="A25" s="119" t="s">
        <v>801</v>
      </c>
      <c r="B25">
        <f t="shared" si="11"/>
        <v>17</v>
      </c>
      <c r="C25" s="263">
        <v>6.4158612357306808</v>
      </c>
      <c r="D25" s="263">
        <v>6.604363287904599</v>
      </c>
      <c r="E25" s="263">
        <v>6.7999637989778527</v>
      </c>
      <c r="F25" s="263">
        <v>6.9251895229982949</v>
      </c>
      <c r="G25" s="263">
        <v>6.9893547700170355</v>
      </c>
      <c r="H25" s="263">
        <v>7.0969867972742753</v>
      </c>
      <c r="I25" s="263">
        <v>7.234631601362862</v>
      </c>
      <c r="J25" s="263">
        <v>7.29</v>
      </c>
      <c r="K25" s="263">
        <v>6.90</v>
      </c>
      <c r="L25" s="12">
        <f t="shared" si="36" ref="L25:AG25">L63/K63*K25</f>
        <v>7.2462348299210166</v>
      </c>
      <c r="M25" s="12">
        <f t="shared" si="36"/>
        <v>8.3140676907665174</v>
      </c>
      <c r="N25" s="12">
        <f t="shared" si="36"/>
        <v>8.5588420358054211</v>
      </c>
      <c r="O25" s="12">
        <f t="shared" si="36"/>
        <v>8.6614977376643463</v>
      </c>
      <c r="P25" s="12">
        <f t="shared" si="36"/>
        <v>8.7733517548102835</v>
      </c>
      <c r="Q25" s="12">
        <f t="shared" si="36"/>
        <v>8.8839861591324549</v>
      </c>
      <c r="R25" s="12">
        <f t="shared" si="36"/>
        <v>9.1929206126251977</v>
      </c>
      <c r="S25" s="12">
        <f t="shared" si="36"/>
        <v>9.5299447309910388</v>
      </c>
      <c r="T25" s="12">
        <f t="shared" si="36"/>
        <v>9.8988225736321045</v>
      </c>
      <c r="U25" s="12">
        <f t="shared" si="36"/>
        <v>10.266946016247068</v>
      </c>
      <c r="V25" s="12">
        <f t="shared" si="36"/>
        <v>10.607919992833812</v>
      </c>
      <c r="W25" s="12">
        <f t="shared" si="36"/>
        <v>10.955641387465281</v>
      </c>
      <c r="X25" s="12">
        <f t="shared" si="36"/>
        <v>11.323693853855984</v>
      </c>
      <c r="Y25" s="12">
        <f t="shared" si="36"/>
        <v>11.671008025258839</v>
      </c>
      <c r="Z25" s="12">
        <f t="shared" si="36"/>
        <v>12.038672313509556</v>
      </c>
      <c r="AA25" s="12">
        <f t="shared" si="36"/>
        <v>12.3290152913432</v>
      </c>
      <c r="AB25" s="12">
        <f t="shared" si="36"/>
        <v>12.636512861077387</v>
      </c>
      <c r="AC25" s="12">
        <f t="shared" si="36"/>
        <v>12.948842451548353</v>
      </c>
      <c r="AD25" s="12">
        <f t="shared" si="36"/>
        <v>13.263486646033632</v>
      </c>
      <c r="AE25" s="12">
        <f t="shared" si="36"/>
        <v>13.593731550868938</v>
      </c>
      <c r="AF25" s="12">
        <f t="shared" si="36"/>
        <v>15.190891904757267</v>
      </c>
      <c r="AG25" s="12">
        <f t="shared" si="36"/>
        <v>16.763762045233523</v>
      </c>
      <c r="AH25" s="12">
        <f t="shared" si="23"/>
        <v>18.650744751810521</v>
      </c>
      <c r="AI25" s="12">
        <f t="shared" si="24"/>
        <v>20.884742863384261</v>
      </c>
      <c r="AJ25" s="12">
        <f t="shared" si="25"/>
        <v>22.344151888366508</v>
      </c>
      <c r="AK25" s="12">
        <f t="shared" si="26"/>
        <v>22.839287570761606</v>
      </c>
      <c r="AL25" s="111"/>
      <c r="AM25" s="111"/>
    </row>
    <row r="26" spans="1:39" ht="15">
      <c r="A26" s="119" t="s">
        <v>581</v>
      </c>
      <c r="B26">
        <f t="shared" si="11"/>
        <v>18</v>
      </c>
      <c r="C26" s="263">
        <v>125.48003402211921</v>
      </c>
      <c r="D26" s="263">
        <v>127.1852732099033</v>
      </c>
      <c r="E26" s="263">
        <v>121.33259319855085</v>
      </c>
      <c r="F26" s="263">
        <v>115.48558072755804</v>
      </c>
      <c r="G26" s="263">
        <v>115.29855189569106</v>
      </c>
      <c r="H26" s="263">
        <v>115.15875256682079</v>
      </c>
      <c r="I26" s="263">
        <v>113.64929765104591</v>
      </c>
      <c r="J26" s="263">
        <v>113.16</v>
      </c>
      <c r="K26" s="263">
        <v>108.36</v>
      </c>
      <c r="L26" s="12">
        <f t="shared" si="37" ref="L26:AG26">L64/K64*K26</f>
        <v>107.92932973207633</v>
      </c>
      <c r="M26" s="12">
        <f t="shared" si="37"/>
        <v>106.64852698968963</v>
      </c>
      <c r="N26" s="12">
        <f t="shared" si="37"/>
        <v>101.776602151654</v>
      </c>
      <c r="O26" s="12">
        <f t="shared" si="37"/>
        <v>96.7481436597906</v>
      </c>
      <c r="P26" s="12">
        <f t="shared" si="37"/>
        <v>88.36317192571326</v>
      </c>
      <c r="Q26" s="12">
        <f t="shared" si="37"/>
        <v>85.732927216682768</v>
      </c>
      <c r="R26" s="12">
        <f t="shared" si="37"/>
        <v>81.342415281988735</v>
      </c>
      <c r="S26" s="12">
        <f t="shared" si="37"/>
        <v>77.494617783461834</v>
      </c>
      <c r="T26" s="12">
        <f t="shared" si="37"/>
        <v>74.785186955144681</v>
      </c>
      <c r="U26" s="12">
        <f t="shared" si="37"/>
        <v>71.461679091678263</v>
      </c>
      <c r="V26" s="12">
        <f t="shared" si="37"/>
        <v>70.297014753913516</v>
      </c>
      <c r="W26" s="12">
        <f t="shared" si="37"/>
        <v>69.300665884735977</v>
      </c>
      <c r="X26" s="12">
        <f t="shared" si="37"/>
        <v>68.28505880486567</v>
      </c>
      <c r="Y26" s="12">
        <f t="shared" si="37"/>
        <v>66.616321499849121</v>
      </c>
      <c r="Z26" s="12">
        <f t="shared" si="37"/>
        <v>66.219131650026398</v>
      </c>
      <c r="AA26" s="12">
        <f t="shared" si="37"/>
        <v>65.0597101495662</v>
      </c>
      <c r="AB26" s="12">
        <f t="shared" si="37"/>
        <v>63.325003575851269</v>
      </c>
      <c r="AC26" s="12">
        <f t="shared" si="37"/>
        <v>61.472043953158192</v>
      </c>
      <c r="AD26" s="12">
        <f t="shared" si="37"/>
        <v>58.876790017181747</v>
      </c>
      <c r="AE26" s="12">
        <f t="shared" si="37"/>
        <v>56.277986851893878</v>
      </c>
      <c r="AF26" s="12">
        <f t="shared" si="37"/>
        <v>41.816857930604698</v>
      </c>
      <c r="AG26" s="12">
        <f t="shared" si="37"/>
        <v>14.10777276449249</v>
      </c>
      <c r="AH26" s="12">
        <f t="shared" si="23"/>
        <v>14.402434339001703</v>
      </c>
      <c r="AI26" s="12">
        <f t="shared" si="24"/>
        <v>13.558780399704988</v>
      </c>
      <c r="AJ26" s="12">
        <f t="shared" si="25"/>
        <v>12.764545326173449</v>
      </c>
      <c r="AK26" s="12">
        <f t="shared" si="26"/>
        <v>12.016834300781325</v>
      </c>
      <c r="AL26" s="111"/>
      <c r="AM26" s="111"/>
    </row>
    <row r="27" spans="1:39" ht="15">
      <c r="A27" s="119" t="s">
        <v>511</v>
      </c>
      <c r="B27">
        <f t="shared" si="11"/>
        <v>19</v>
      </c>
      <c r="C27" s="263">
        <v>154.18842101590053</v>
      </c>
      <c r="D27" s="263">
        <v>151.87047226763119</v>
      </c>
      <c r="E27" s="263">
        <v>148.71168942836181</v>
      </c>
      <c r="F27" s="263">
        <v>145.49800306349678</v>
      </c>
      <c r="G27" s="263">
        <v>142.32274916654868</v>
      </c>
      <c r="H27" s="263">
        <v>141.64560568420242</v>
      </c>
      <c r="I27" s="263">
        <v>143.22499710383713</v>
      </c>
      <c r="J27" s="263">
        <v>142.18</v>
      </c>
      <c r="K27" s="263">
        <v>135.41</v>
      </c>
      <c r="L27" s="12">
        <f t="shared" si="38" ref="L27:AG27">L65/K65*K27</f>
        <v>144.10978917928989</v>
      </c>
      <c r="M27" s="12">
        <f t="shared" si="38"/>
        <v>145.94080781174239</v>
      </c>
      <c r="N27" s="12">
        <f t="shared" si="38"/>
        <v>140.93384058640072</v>
      </c>
      <c r="O27" s="12">
        <f t="shared" si="38"/>
        <v>140.6416551184447</v>
      </c>
      <c r="P27" s="12">
        <f t="shared" si="38"/>
        <v>136.0843488611562</v>
      </c>
      <c r="Q27" s="12">
        <f t="shared" si="38"/>
        <v>141.98929429756038</v>
      </c>
      <c r="R27" s="12">
        <f t="shared" si="38"/>
        <v>141.11266702418411</v>
      </c>
      <c r="S27" s="12">
        <f t="shared" si="38"/>
        <v>145.0250066821304</v>
      </c>
      <c r="T27" s="12">
        <f t="shared" si="38"/>
        <v>146.7741416818705</v>
      </c>
      <c r="U27" s="12">
        <f t="shared" si="38"/>
        <v>148.64375696412262</v>
      </c>
      <c r="V27" s="12">
        <f t="shared" si="38"/>
        <v>152.39494961090051</v>
      </c>
      <c r="W27" s="12">
        <f t="shared" si="38"/>
        <v>156.68457069013058</v>
      </c>
      <c r="X27" s="12">
        <f t="shared" si="38"/>
        <v>161.60316387283345</v>
      </c>
      <c r="Y27" s="12">
        <f t="shared" si="38"/>
        <v>170.41826408092965</v>
      </c>
      <c r="Z27" s="12">
        <f t="shared" si="38"/>
        <v>175.75641241989499</v>
      </c>
      <c r="AA27" s="12">
        <f t="shared" si="38"/>
        <v>181.31841117009623</v>
      </c>
      <c r="AB27" s="12">
        <f t="shared" si="38"/>
        <v>186.35564237179256</v>
      </c>
      <c r="AC27" s="12">
        <f t="shared" si="38"/>
        <v>191.7946863595767</v>
      </c>
      <c r="AD27" s="12">
        <f t="shared" si="38"/>
        <v>197.06304417544516</v>
      </c>
      <c r="AE27" s="12">
        <f t="shared" si="38"/>
        <v>202.97137149473039</v>
      </c>
      <c r="AF27" s="12">
        <f t="shared" si="38"/>
        <v>233.39859801576131</v>
      </c>
      <c r="AG27" s="12">
        <f t="shared" si="38"/>
        <v>312.45130916600277</v>
      </c>
      <c r="AH27" s="12">
        <f t="shared" si="23"/>
        <v>343.78677874846466</v>
      </c>
      <c r="AI27" s="12">
        <f t="shared" si="24"/>
        <v>384.96577855401046</v>
      </c>
      <c r="AJ27" s="12">
        <f t="shared" si="25"/>
        <v>411.86687737079529</v>
      </c>
      <c r="AK27" s="12">
        <f t="shared" si="26"/>
        <v>420.99364970933743</v>
      </c>
      <c r="AL27" s="111"/>
      <c r="AM27" s="111"/>
    </row>
    <row r="28" spans="1:39" ht="15">
      <c r="A28" s="8" t="s">
        <v>5</v>
      </c>
      <c r="B28">
        <f t="shared" si="11"/>
        <v>20</v>
      </c>
      <c r="C28" s="270">
        <f t="shared" si="39" ref="C28:K28">SUM(C7:C27)</f>
        <v>4032.0433682922144</v>
      </c>
      <c r="D28" s="271">
        <f t="shared" si="39"/>
        <v>4135.6011269326036</v>
      </c>
      <c r="E28" s="271">
        <f t="shared" si="39"/>
        <v>4214.5620530894539</v>
      </c>
      <c r="F28" s="271">
        <f t="shared" si="39"/>
        <v>4269.9104508291794</v>
      </c>
      <c r="G28" s="271">
        <f t="shared" si="39"/>
        <v>4306.3530098044157</v>
      </c>
      <c r="H28" s="271">
        <f t="shared" si="39"/>
        <v>4369.2882721535752</v>
      </c>
      <c r="I28" s="271">
        <f t="shared" si="39"/>
        <v>4424.2547121291227</v>
      </c>
      <c r="J28" s="271">
        <f t="shared" si="39"/>
        <v>4454.71</v>
      </c>
      <c r="K28" s="271">
        <f t="shared" si="39"/>
        <v>4168.5599999999995</v>
      </c>
      <c r="L28" s="112">
        <f t="shared" si="40" ref="L28:AG28">SUM(L7:L27)</f>
        <v>4383.5849658382722</v>
      </c>
      <c r="M28" s="112">
        <f t="shared" si="40"/>
        <v>4510.0319559185518</v>
      </c>
      <c r="N28" s="112">
        <f t="shared" si="40"/>
        <v>4552.0720633845676</v>
      </c>
      <c r="O28" s="112">
        <f t="shared" si="40"/>
        <v>4604.7516745860266</v>
      </c>
      <c r="P28" s="112">
        <f t="shared" si="40"/>
        <v>4667.3728295912615</v>
      </c>
      <c r="Q28" s="112">
        <f t="shared" si="40"/>
        <v>4761.9663682311293</v>
      </c>
      <c r="R28" s="112">
        <f t="shared" si="40"/>
        <v>4860.477225470423</v>
      </c>
      <c r="S28" s="112">
        <f t="shared" si="40"/>
        <v>4979.8507294957362</v>
      </c>
      <c r="T28" s="112">
        <f t="shared" si="40"/>
        <v>5119.9312425941698</v>
      </c>
      <c r="U28" s="112">
        <f t="shared" si="40"/>
        <v>5281.6350722846919</v>
      </c>
      <c r="V28" s="112">
        <f t="shared" si="40"/>
        <v>5456.7201115939461</v>
      </c>
      <c r="W28" s="112">
        <f t="shared" si="40"/>
        <v>5641.0845900256618</v>
      </c>
      <c r="X28" s="112">
        <f t="shared" si="40"/>
        <v>5835.5926868462684</v>
      </c>
      <c r="Y28" s="112">
        <f t="shared" si="40"/>
        <v>6040.535235341622</v>
      </c>
      <c r="Z28" s="112">
        <f t="shared" si="40"/>
        <v>6242.2952649279014</v>
      </c>
      <c r="AA28" s="112">
        <f t="shared" si="40"/>
        <v>6442.6569301333775</v>
      </c>
      <c r="AB28" s="112">
        <f t="shared" si="40"/>
        <v>6651.2098815906393</v>
      </c>
      <c r="AC28" s="112">
        <f t="shared" si="40"/>
        <v>6869.4104430672523</v>
      </c>
      <c r="AD28" s="112">
        <f t="shared" si="40"/>
        <v>7095.4741062675002</v>
      </c>
      <c r="AE28" s="112">
        <f t="shared" si="40"/>
        <v>7330.2200952240746</v>
      </c>
      <c r="AF28" s="112">
        <f t="shared" si="40"/>
        <v>8538.7757214668854</v>
      </c>
      <c r="AG28" s="112">
        <f t="shared" si="40"/>
        <v>9863.0643454910041</v>
      </c>
      <c r="AH28" s="112">
        <f t="shared" si="41" ref="AH28:AK28">SUM(AH7:AH27)</f>
        <v>11422.449436536641</v>
      </c>
      <c r="AI28" s="112">
        <f t="shared" si="41"/>
        <v>12754.858659914151</v>
      </c>
      <c r="AJ28" s="112">
        <f t="shared" si="41"/>
        <v>13621.898679956652</v>
      </c>
      <c r="AK28" s="112">
        <f t="shared" si="41"/>
        <v>13909.399275797738</v>
      </c>
      <c r="AL28" s="112"/>
      <c r="AM28" s="112"/>
    </row>
    <row r="29" spans="1:39" s="29" customFormat="1" ht="15">
      <c r="A29" s="210" t="s">
        <v>263</v>
      </c>
      <c r="B29">
        <f t="shared" si="11"/>
        <v>21</v>
      </c>
      <c r="C29" s="265"/>
      <c r="D29" s="211">
        <v>0.026436281887547874</v>
      </c>
      <c r="E29" s="211">
        <v>0.020165921894981231</v>
      </c>
      <c r="F29" s="211">
        <v>0.01407744097509589</v>
      </c>
      <c r="G29" s="211">
        <v>0.0089337784405372211</v>
      </c>
      <c r="H29" s="211">
        <v>0.014827464040109817</v>
      </c>
      <c r="I29" s="211">
        <v>0.012732896737821964</v>
      </c>
      <c r="J29" s="211">
        <v>0.0072531087632679014</v>
      </c>
      <c r="K29" s="211">
        <v>-0.072462496857853442</v>
      </c>
      <c r="L29" s="211">
        <f t="shared" si="42" ref="L29:AE29">L28/K28-1</f>
        <v>0.051582552689243499</v>
      </c>
      <c r="M29" s="211">
        <f t="shared" si="42"/>
        <v>0.028845566144079404</v>
      </c>
      <c r="N29" s="211">
        <f t="shared" si="42"/>
        <v>0.0093214655410249758</v>
      </c>
      <c r="O29" s="211">
        <f t="shared" si="42"/>
        <v>0.011572666352362315</v>
      </c>
      <c r="P29" s="211">
        <f t="shared" si="42"/>
        <v>0.013599246915060759</v>
      </c>
      <c r="Q29" s="211">
        <f t="shared" si="42"/>
        <v>0.020266977182568757</v>
      </c>
      <c r="R29" s="211">
        <f t="shared" si="42"/>
        <v>0.02068701238557602</v>
      </c>
      <c r="S29" s="211">
        <f t="shared" si="42"/>
        <v>0.024560037726287121</v>
      </c>
      <c r="T29" s="211">
        <f t="shared" si="42"/>
        <v>0.028129460240391202</v>
      </c>
      <c r="U29" s="211">
        <f t="shared" si="42"/>
        <v>0.031583203372979263</v>
      </c>
      <c r="V29" s="211">
        <f t="shared" si="42"/>
        <v>0.033149779739234608</v>
      </c>
      <c r="W29" s="211">
        <f t="shared" si="42"/>
        <v>0.033786684063196626</v>
      </c>
      <c r="X29" s="211">
        <f t="shared" si="42"/>
        <v>0.034480620475808577</v>
      </c>
      <c r="Y29" s="211">
        <f t="shared" si="42"/>
        <v>0.035119405944370463</v>
      </c>
      <c r="Z29" s="211">
        <f t="shared" si="42"/>
        <v>0.033401018572962515</v>
      </c>
      <c r="AA29" s="211">
        <f t="shared" si="42"/>
        <v>0.032097434789924328</v>
      </c>
      <c r="AB29" s="211">
        <f t="shared" si="42"/>
        <v>0.032370643620929895</v>
      </c>
      <c r="AC29" s="211">
        <f t="shared" si="42"/>
        <v>0.032806145853336188</v>
      </c>
      <c r="AD29" s="211">
        <f t="shared" si="42"/>
        <v>0.032908743053546408</v>
      </c>
      <c r="AE29" s="211">
        <f t="shared" si="42"/>
        <v>0.033083904675125453</v>
      </c>
      <c r="AF29" s="211">
        <f>(AF28/AE28)^(1/5)-1</f>
        <v>0.03099300409616057</v>
      </c>
      <c r="AG29" s="211">
        <f>(AG28/AF28)^(1/5)-1</f>
        <v>0.029255631691906814</v>
      </c>
      <c r="AH29" s="211">
        <f t="shared" si="43" ref="AH29:AK29">(AH28/AG28)^(1/5)-1</f>
        <v>0.029791909668370753</v>
      </c>
      <c r="AI29" s="211">
        <f t="shared" si="43"/>
        <v>0.022311582455963652</v>
      </c>
      <c r="AJ29" s="211">
        <f t="shared" si="43"/>
        <v>0.013240169862552609</v>
      </c>
      <c r="AK29" s="211">
        <f t="shared" si="43"/>
        <v>0.0041859615008397189</v>
      </c>
      <c r="AL29" s="210"/>
      <c r="AM29" s="210"/>
    </row>
    <row r="30" spans="1:39" ht="15">
      <c r="A30" t="s">
        <v>592</v>
      </c>
      <c r="B30">
        <f t="shared" si="11"/>
        <v>22</v>
      </c>
      <c r="C30" s="264">
        <v>52.325432882070082</v>
      </c>
      <c r="D30" s="263">
        <v>53.104386458423342</v>
      </c>
      <c r="E30" s="263">
        <v>53.912365691429272</v>
      </c>
      <c r="F30" s="263">
        <v>54.750491457321111</v>
      </c>
      <c r="G30" s="263">
        <v>55.619940469824826</v>
      </c>
      <c r="H30" s="263">
        <v>56.521948041648095</v>
      </c>
      <c r="I30" s="263">
        <v>57.436000617299655</v>
      </c>
      <c r="J30" s="263">
        <v>58.364834921819444</v>
      </c>
      <c r="K30" s="263">
        <v>59.308690000000006</v>
      </c>
      <c r="L30" s="111">
        <f>INDEX(DriversGams!$A$44:$AN$44,1,MATCH(Drivers!L$3,DriversGams!$A$43:$AN$43,0))/1000</f>
        <v>59.392254999999999</v>
      </c>
      <c r="M30" s="111">
        <f>INDEX(DriversGams!$A$44:$AN$44,1,MATCH(Drivers!M$3,DriversGams!$A$43:$AN$43,0))/1000</f>
        <v>59.893885000000004</v>
      </c>
      <c r="N30" s="111">
        <f>INDEX(DriversGams!$A$44:$AN$44,1,MATCH(Drivers!N$3,DriversGams!$A$43:$AN$43,0))/1000</f>
        <v>60.414495000000002</v>
      </c>
      <c r="O30" s="111">
        <f>INDEX(DriversGams!$A$44:$AN$44,1,MATCH(Drivers!O$3,DriversGams!$A$43:$AN$43,0))/1000</f>
        <v>61.020220999999999</v>
      </c>
      <c r="P30" s="111">
        <f>INDEX(DriversGams!$A$44:$AN$44,1,MATCH(Drivers!P$3,DriversGams!$A$43:$AN$43,0))/1000</f>
        <v>61.673080999999996</v>
      </c>
      <c r="Q30" s="111">
        <f>INDEX(DriversGams!$A$44:$AN$44,1,MATCH(Drivers!Q$3,DriversGams!$A$43:$AN$43,0))/1000</f>
        <v>62.305038999999994</v>
      </c>
      <c r="R30" s="111">
        <f>INDEX(DriversGams!$A$44:$AN$44,1,MATCH(Drivers!R$3,DriversGams!$A$43:$AN$43,0))/1000</f>
        <v>62.918915999999996</v>
      </c>
      <c r="S30" s="111">
        <f>INDEX(DriversGams!$A$44:$AN$44,1,MATCH(Drivers!S$3,DriversGams!$A$43:$AN$43,0))/1000</f>
        <v>63.514502</v>
      </c>
      <c r="T30" s="111">
        <f>INDEX(DriversGams!$A$44:$AN$44,1,MATCH(Drivers!T$3,DriversGams!$A$43:$AN$43,0))/1000</f>
        <v>64.093732000000003</v>
      </c>
      <c r="U30" s="111">
        <f>INDEX(DriversGams!$A$44:$AN$44,1,MATCH(Drivers!U$3,DriversGams!$A$43:$AN$43,0))/1000</f>
        <v>64.659278</v>
      </c>
      <c r="V30" s="111">
        <f>INDEX(DriversGams!$A$44:$AN$44,1,MATCH(Drivers!V$3,DriversGams!$A$43:$AN$43,0))/1000</f>
        <v>65.211525999999992</v>
      </c>
      <c r="W30" s="111">
        <f>INDEX(DriversGams!$A$44:$AN$44,1,MATCH(Drivers!W$3,DriversGams!$A$43:$AN$43,0))/1000</f>
        <v>65.752923999999993</v>
      </c>
      <c r="X30" s="111">
        <f>INDEX(DriversGams!$A$44:$AN$44,1,MATCH(Drivers!X$3,DriversGams!$A$43:$AN$43,0))/1000</f>
        <v>66.284188999999998</v>
      </c>
      <c r="Y30" s="111">
        <f>INDEX(DriversGams!$A$44:$AN$44,1,MATCH(Drivers!Y$3,DriversGams!$A$43:$AN$43,0))/1000</f>
        <v>66.804167000000007</v>
      </c>
      <c r="Z30" s="111">
        <f>INDEX(DriversGams!$A$44:$AN$44,1,MATCH(Drivers!Z$3,DriversGams!$A$43:$AN$43,0))/1000</f>
        <v>67.314132999999998</v>
      </c>
      <c r="AA30" s="111">
        <f>INDEX(DriversGams!$A$44:$AN$44,1,MATCH(Drivers!AA$3,DriversGams!$A$43:$AN$43,0))/1000</f>
        <v>67.815933000000001</v>
      </c>
      <c r="AB30" s="111">
        <f>INDEX(DriversGams!$A$44:$AN$44,1,MATCH(Drivers!AB$3,DriversGams!$A$43:$AN$43,0))/1000</f>
        <v>68.308245999999997</v>
      </c>
      <c r="AC30" s="111">
        <f>INDEX(DriversGams!$A$44:$AN$44,1,MATCH(Drivers!AC$3,DriversGams!$A$43:$AN$43,0))/1000</f>
        <v>68.788494999999998</v>
      </c>
      <c r="AD30" s="111">
        <f>INDEX(DriversGams!$A$44:$AN$44,1,MATCH(Drivers!AD$3,DriversGams!$A$43:$AN$43,0))/1000</f>
        <v>69.256822999999997</v>
      </c>
      <c r="AE30" s="111">
        <f>INDEX(DriversGams!$A$44:$AN$44,1,MATCH(Drivers!AE$3,DriversGams!$A$43:$AN$43,0))/1000</f>
        <v>69.713937000000001</v>
      </c>
      <c r="AF30" s="111">
        <f>INDEX(DriversGams!$A$44:$AN$44,1,MATCH(Drivers!AF$3,DriversGams!$A$43:$AN$43,0))/1000</f>
        <v>71.816201000000007</v>
      </c>
      <c r="AG30" s="111">
        <f>INDEX(DriversGams!$A$44:$AN$44,1,MATCH(Drivers!AG$3,DriversGams!$A$43:$AN$43,0))/1000</f>
        <v>73.529752999999999</v>
      </c>
      <c r="AH30" s="111">
        <f>INDEX(DriversGams!$A$44:$AN$44,1,MATCH(Drivers!AH$3,DriversGams!$A$43:$AN$43,0))/1000</f>
        <v>74.799050000000008</v>
      </c>
      <c r="AI30" s="111">
        <f>INDEX(DriversGams!$A$44:$BA$44,1,MATCH(Drivers!AI$3,DriversGams!$A$43:$BA$43,0))/1000</f>
        <v>75.663198000000008</v>
      </c>
      <c r="AJ30" s="111">
        <f>INDEX(DriversGams!$A$44:$BA$44,1,MATCH(Drivers!AJ$3,DriversGams!$A$43:$BA$43,0))/1000</f>
        <v>76.208044999999998</v>
      </c>
      <c r="AK30" s="111">
        <f>INDEX(DriversGams!$A$44:$BA$44,1,MATCH(Drivers!AK$3,DriversGams!$A$43:$BA$43,0))/1000</f>
        <v>76.502155000000002</v>
      </c>
      <c r="AL30" s="111"/>
      <c r="AM30" s="111"/>
    </row>
    <row r="31" spans="1:39" ht="15">
      <c r="A31" t="s">
        <v>380</v>
      </c>
      <c r="B31">
        <f t="shared" si="11"/>
        <v>23</v>
      </c>
      <c r="C31" s="266">
        <v>0.50</v>
      </c>
      <c r="D31" s="266">
        <v>0.50</v>
      </c>
      <c r="E31" s="266">
        <v>0.50</v>
      </c>
      <c r="F31" s="266">
        <v>0.50</v>
      </c>
      <c r="G31" s="266">
        <v>0.50</v>
      </c>
      <c r="H31" s="266">
        <v>0.50</v>
      </c>
      <c r="I31" s="266">
        <v>0.50</v>
      </c>
      <c r="J31" s="266">
        <v>0.50152754832852431</v>
      </c>
      <c r="K31" s="266">
        <v>0.51748350868667314</v>
      </c>
      <c r="L31" s="22">
        <f>L81/SUM(L$81:L$83)</f>
        <v>0.4977517464816521</v>
      </c>
      <c r="M31" s="22">
        <f t="shared" si="44" ref="M31:AG33">M81/SUM(M$81:M$83)</f>
        <v>0.46920864969558745</v>
      </c>
      <c r="N31" s="22">
        <f t="shared" si="44"/>
        <v>0.45802854150869027</v>
      </c>
      <c r="O31" s="22">
        <f t="shared" si="44"/>
        <v>0.44982105076485712</v>
      </c>
      <c r="P31" s="22">
        <f t="shared" si="44"/>
        <v>0.44260227997830259</v>
      </c>
      <c r="Q31" s="22">
        <f t="shared" si="44"/>
        <v>0.43832636181986212</v>
      </c>
      <c r="R31" s="22">
        <f t="shared" si="44"/>
        <v>0.427918908801454</v>
      </c>
      <c r="S31" s="22">
        <f t="shared" si="44"/>
        <v>0.41388979801951303</v>
      </c>
      <c r="T31" s="22">
        <f t="shared" si="44"/>
        <v>0.39988623775329268</v>
      </c>
      <c r="U31" s="22">
        <f t="shared" si="44"/>
        <v>0.38564471486303931</v>
      </c>
      <c r="V31" s="22">
        <f t="shared" si="44"/>
        <v>0.3716078901589227</v>
      </c>
      <c r="W31" s="22">
        <f t="shared" si="44"/>
        <v>0.35815863211430859</v>
      </c>
      <c r="X31" s="22">
        <f t="shared" si="44"/>
        <v>0.345304742893489</v>
      </c>
      <c r="Y31" s="22">
        <f t="shared" si="44"/>
        <v>0.33303577589021155</v>
      </c>
      <c r="Z31" s="22">
        <f t="shared" si="44"/>
        <v>0.3212479958261335</v>
      </c>
      <c r="AA31" s="22">
        <f t="shared" si="44"/>
        <v>0.31033528587967801</v>
      </c>
      <c r="AB31" s="22">
        <f t="shared" si="44"/>
        <v>0.29961797342314167</v>
      </c>
      <c r="AC31" s="22">
        <f t="shared" si="44"/>
        <v>0.28915345189860775</v>
      </c>
      <c r="AD31" s="22">
        <f t="shared" si="44"/>
        <v>0.27891913196218393</v>
      </c>
      <c r="AE31" s="22">
        <f t="shared" si="44"/>
        <v>0.26895287740496782</v>
      </c>
      <c r="AF31" s="22">
        <f t="shared" si="44"/>
        <v>0.22785548901104383</v>
      </c>
      <c r="AG31" s="22">
        <f t="shared" si="44"/>
        <v>0.19572024474253735</v>
      </c>
      <c r="AH31" s="22">
        <f t="shared" si="45" ref="AH31:AK31">AH81/SUM(AH$81:AH$83)</f>
        <v>0.16758318046465476</v>
      </c>
      <c r="AI31" s="22">
        <f t="shared" si="45"/>
        <v>0.1446241609542524</v>
      </c>
      <c r="AJ31" s="22">
        <f t="shared" si="45"/>
        <v>0.12162594756218212</v>
      </c>
      <c r="AK31" s="22">
        <f t="shared" si="45"/>
        <v>0.098631620953086724</v>
      </c>
      <c r="AL31" s="111"/>
      <c r="AM31" s="111"/>
    </row>
    <row r="32" spans="1:39" ht="15">
      <c r="A32" t="s">
        <v>381</v>
      </c>
      <c r="B32">
        <f t="shared" si="11"/>
        <v>24</v>
      </c>
      <c r="C32" s="266">
        <v>0.30</v>
      </c>
      <c r="D32" s="266">
        <v>0.30</v>
      </c>
      <c r="E32" s="266">
        <v>0.30</v>
      </c>
      <c r="F32" s="266">
        <v>0.30</v>
      </c>
      <c r="G32" s="266">
        <v>0.30</v>
      </c>
      <c r="H32" s="266">
        <v>0.30</v>
      </c>
      <c r="I32" s="266">
        <v>0.30</v>
      </c>
      <c r="J32" s="266">
        <v>0.29852364948703553</v>
      </c>
      <c r="K32" s="266">
        <v>0.28256768912888669</v>
      </c>
      <c r="L32" s="22">
        <f t="shared" si="46" ref="L32:AA32">L82/SUM(L$81:L$83)</f>
        <v>0.29125715189066648</v>
      </c>
      <c r="M32" s="22">
        <f t="shared" si="46"/>
        <v>0.30545929644994796</v>
      </c>
      <c r="N32" s="22">
        <f t="shared" si="46"/>
        <v>0.3101713100236026</v>
      </c>
      <c r="O32" s="22">
        <f t="shared" si="46"/>
        <v>0.31270193032568594</v>
      </c>
      <c r="P32" s="22">
        <f t="shared" si="46"/>
        <v>0.31527520740037901</v>
      </c>
      <c r="Q32" s="22">
        <f t="shared" si="46"/>
        <v>0.31697230945861132</v>
      </c>
      <c r="R32" s="22">
        <f t="shared" si="46"/>
        <v>0.31713894101366102</v>
      </c>
      <c r="S32" s="22">
        <f t="shared" si="46"/>
        <v>0.32051233989716021</v>
      </c>
      <c r="T32" s="22">
        <f t="shared" si="46"/>
        <v>0.32346640024475881</v>
      </c>
      <c r="U32" s="22">
        <f t="shared" si="46"/>
        <v>0.32648322553319153</v>
      </c>
      <c r="V32" s="22">
        <f t="shared" si="46"/>
        <v>0.32973001654050221</v>
      </c>
      <c r="W32" s="22">
        <f t="shared" si="46"/>
        <v>0.33284136092064281</v>
      </c>
      <c r="X32" s="22">
        <f t="shared" si="46"/>
        <v>0.33583424938097356</v>
      </c>
      <c r="Y32" s="22">
        <f t="shared" si="46"/>
        <v>0.33885322625854236</v>
      </c>
      <c r="Z32" s="22">
        <f t="shared" si="46"/>
        <v>0.3417264522003694</v>
      </c>
      <c r="AA32" s="22">
        <f t="shared" si="46"/>
        <v>0.34414015004217996</v>
      </c>
      <c r="AB32" s="22">
        <f t="shared" si="44"/>
        <v>0.3465233376255642</v>
      </c>
      <c r="AC32" s="22">
        <f t="shared" si="44"/>
        <v>0.34886014910494334</v>
      </c>
      <c r="AD32" s="22">
        <f t="shared" si="44"/>
        <v>0.35102016763306931</v>
      </c>
      <c r="AE32" s="22">
        <f t="shared" si="44"/>
        <v>0.35329189706250735</v>
      </c>
      <c r="AF32" s="22">
        <f t="shared" si="44"/>
        <v>0.36286488689418889</v>
      </c>
      <c r="AG32" s="22">
        <f t="shared" si="44"/>
        <v>0.37135867649406362</v>
      </c>
      <c r="AH32" s="22">
        <f t="shared" si="47" ref="AH32:AK32">AH82/SUM(AH$81:AH$83)</f>
        <v>0.3756850654417806</v>
      </c>
      <c r="AI32" s="22">
        <f t="shared" si="47"/>
        <v>0.39049570813797735</v>
      </c>
      <c r="AJ32" s="22">
        <f t="shared" si="47"/>
        <v>0.40542168550936242</v>
      </c>
      <c r="AK32" s="22">
        <f t="shared" si="47"/>
        <v>0.42033466159259075</v>
      </c>
      <c r="AL32" s="111"/>
      <c r="AM32" s="111"/>
    </row>
    <row r="33" spans="1:39" ht="15">
      <c r="A33" t="s">
        <v>382</v>
      </c>
      <c r="B33">
        <f t="shared" si="11"/>
        <v>25</v>
      </c>
      <c r="C33" s="266">
        <v>0.19999999999999996</v>
      </c>
      <c r="D33" s="266">
        <v>0.19999999999999996</v>
      </c>
      <c r="E33" s="266">
        <v>0.19999999999999996</v>
      </c>
      <c r="F33" s="266">
        <v>0.19999999999999996</v>
      </c>
      <c r="G33" s="266">
        <v>0.19999999999999996</v>
      </c>
      <c r="H33" s="266">
        <v>0.19999999999999996</v>
      </c>
      <c r="I33" s="266">
        <v>0.19999999999999996</v>
      </c>
      <c r="J33" s="266">
        <v>0.19994880218444017</v>
      </c>
      <c r="K33" s="266">
        <v>0.19994880218444014</v>
      </c>
      <c r="L33" s="22">
        <f>L83/SUM(L$81:L$83)</f>
        <v>0.21099110162768148</v>
      </c>
      <c r="M33" s="22">
        <f t="shared" si="44"/>
        <v>0.22533205385446464</v>
      </c>
      <c r="N33" s="22">
        <f t="shared" si="44"/>
        <v>0.23180014846770708</v>
      </c>
      <c r="O33" s="22">
        <f t="shared" si="44"/>
        <v>0.23747701890945694</v>
      </c>
      <c r="P33" s="22">
        <f t="shared" si="44"/>
        <v>0.24212251262131845</v>
      </c>
      <c r="Q33" s="22">
        <f t="shared" si="44"/>
        <v>0.24470132872152664</v>
      </c>
      <c r="R33" s="22">
        <f t="shared" si="44"/>
        <v>0.25494215018488492</v>
      </c>
      <c r="S33" s="22">
        <f t="shared" si="44"/>
        <v>0.26559786208332681</v>
      </c>
      <c r="T33" s="22">
        <f t="shared" si="44"/>
        <v>0.27664736200194845</v>
      </c>
      <c r="U33" s="22">
        <f t="shared" si="44"/>
        <v>0.2878720596037691</v>
      </c>
      <c r="V33" s="22">
        <f t="shared" si="44"/>
        <v>0.29866209330057508</v>
      </c>
      <c r="W33" s="22">
        <f t="shared" si="44"/>
        <v>0.30900000696504865</v>
      </c>
      <c r="X33" s="22">
        <f t="shared" si="44"/>
        <v>0.31886100772553749</v>
      </c>
      <c r="Y33" s="22">
        <f t="shared" si="44"/>
        <v>0.32811099785124614</v>
      </c>
      <c r="Z33" s="22">
        <f t="shared" si="44"/>
        <v>0.33702555197349698</v>
      </c>
      <c r="AA33" s="22">
        <f t="shared" si="44"/>
        <v>0.34552456407814203</v>
      </c>
      <c r="AB33" s="22">
        <f t="shared" si="44"/>
        <v>0.35385868895129408</v>
      </c>
      <c r="AC33" s="22">
        <f t="shared" si="44"/>
        <v>0.36198639899644891</v>
      </c>
      <c r="AD33" s="22">
        <f t="shared" si="44"/>
        <v>0.3700607004047467</v>
      </c>
      <c r="AE33" s="22">
        <f t="shared" si="44"/>
        <v>0.37775522553252477</v>
      </c>
      <c r="AF33" s="22">
        <f t="shared" si="44"/>
        <v>0.40927962409476726</v>
      </c>
      <c r="AG33" s="22">
        <f t="shared" si="44"/>
        <v>0.43292107876339897</v>
      </c>
      <c r="AH33" s="22">
        <f t="shared" si="48" ref="AH33:AK33">AH83/SUM(AH$81:AH$83)</f>
        <v>0.45673175409356476</v>
      </c>
      <c r="AI33" s="22">
        <f t="shared" si="48"/>
        <v>0.46488013090777019</v>
      </c>
      <c r="AJ33" s="22">
        <f t="shared" si="48"/>
        <v>0.47295236692845549</v>
      </c>
      <c r="AK33" s="22">
        <f t="shared" si="48"/>
        <v>0.4810337174543225</v>
      </c>
      <c r="AL33" s="111"/>
      <c r="AM33" s="111"/>
    </row>
    <row r="34" spans="1:39" ht="15">
      <c r="A34" t="s">
        <v>383</v>
      </c>
      <c r="B34">
        <f t="shared" si="11"/>
        <v>26</v>
      </c>
      <c r="C34" s="263">
        <v>26.162716441035041</v>
      </c>
      <c r="D34" s="263">
        <v>26.124793740612695</v>
      </c>
      <c r="E34" s="263">
        <v>25.810272238913001</v>
      </c>
      <c r="F34" s="263">
        <v>25.676476665132281</v>
      </c>
      <c r="G34" s="263">
        <v>25.758415053648385</v>
      </c>
      <c r="H34" s="263">
        <v>25.755361891142741</v>
      </c>
      <c r="I34" s="263">
        <v>25.706039736299225</v>
      </c>
      <c r="J34" s="263">
        <v>25.946710085536886</v>
      </c>
      <c r="K34" s="263">
        <v>26.998265626975765</v>
      </c>
      <c r="L34" s="12">
        <f t="shared" si="49" ref="L34:AG34">L31*L$30</f>
        <v>29.562598653733634</v>
      </c>
      <c r="M34" s="12">
        <f t="shared" si="49"/>
        <v>28.102728905872802</v>
      </c>
      <c r="N34" s="12">
        <f t="shared" si="49"/>
        <v>27.671563030834061</v>
      </c>
      <c r="O34" s="12">
        <f t="shared" si="49"/>
        <v>27.4481799281238</v>
      </c>
      <c r="P34" s="12">
        <f t="shared" si="49"/>
        <v>27.296646263886533</v>
      </c>
      <c r="Q34" s="12">
        <f t="shared" si="49"/>
        <v>27.309941067914618</v>
      </c>
      <c r="R34" s="12">
        <f t="shared" si="49"/>
        <v>26.924193877690342</v>
      </c>
      <c r="S34" s="12">
        <f t="shared" si="49"/>
        <v>26.288004404089957</v>
      </c>
      <c r="T34" s="12">
        <f t="shared" si="49"/>
        <v>25.630201353047823</v>
      </c>
      <c r="U34" s="12">
        <f t="shared" si="49"/>
        <v>24.935508827559989</v>
      </c>
      <c r="V34" s="12">
        <f t="shared" si="49"/>
        <v>24.233117590903728</v>
      </c>
      <c r="W34" s="12">
        <f t="shared" si="49"/>
        <v>23.549977317356088</v>
      </c>
      <c r="X34" s="12">
        <f t="shared" si="49"/>
        <v>22.888244840548431</v>
      </c>
      <c r="Y34" s="12">
        <f t="shared" si="49"/>
        <v>22.248177589544269</v>
      </c>
      <c r="Z34" s="12">
        <f t="shared" si="49"/>
        <v>21.624530317023794</v>
      </c>
      <c r="AA34" s="12">
        <f t="shared" si="49"/>
        <v>21.045676954752089</v>
      </c>
      <c r="AB34" s="12">
        <f t="shared" si="49"/>
        <v>20.466378234609422</v>
      </c>
      <c r="AC34" s="12">
        <f t="shared" si="49"/>
        <v>19.89043078016012</v>
      </c>
      <c r="AD34" s="12">
        <f t="shared" si="49"/>
        <v>19.317052953618614</v>
      </c>
      <c r="AE34" s="12">
        <f t="shared" si="49"/>
        <v>18.74976395137865</v>
      </c>
      <c r="AF34" s="12">
        <f t="shared" si="49"/>
        <v>16.363715597770415</v>
      </c>
      <c r="AG34" s="12">
        <f t="shared" si="49"/>
        <v>14.391261253018319</v>
      </c>
      <c r="AH34" s="12">
        <f t="shared" si="50" ref="AH34:AK34">AH31*AH$30</f>
        <v>12.535062694734735</v>
      </c>
      <c r="AI34" s="12">
        <f t="shared" si="50"/>
        <v>10.942726525865469</v>
      </c>
      <c r="AJ34" s="12">
        <f t="shared" si="50"/>
        <v>9.2688756849864156</v>
      </c>
      <c r="AK34" s="12">
        <f t="shared" si="50"/>
        <v>7.5455315540542882</v>
      </c>
      <c r="AL34" s="12"/>
      <c r="AM34" s="12"/>
    </row>
    <row r="35" spans="1:39" ht="15">
      <c r="A35" t="s">
        <v>384</v>
      </c>
      <c r="B35">
        <f t="shared" si="11"/>
        <v>27</v>
      </c>
      <c r="C35" s="263">
        <v>15.697629864621025</v>
      </c>
      <c r="D35" s="263">
        <v>15.706931206012538</v>
      </c>
      <c r="E35" s="263">
        <v>16.206450010480257</v>
      </c>
      <c r="F35" s="263">
        <v>16.65350655721161</v>
      </c>
      <c r="G35" s="263">
        <v>17.096293177200256</v>
      </c>
      <c r="H35" s="263">
        <v>17.422744808714206</v>
      </c>
      <c r="I35" s="263">
        <v>17.892835083270921</v>
      </c>
      <c r="J35" s="263">
        <v>18.376375848815535</v>
      </c>
      <c r="K35" s="263">
        <v>19.311259441517389</v>
      </c>
      <c r="L35" s="12">
        <f t="shared" si="51" ref="L35:AG35">L32*L$30</f>
        <v>17.298419035664196</v>
      </c>
      <c r="M35" s="12">
        <f t="shared" si="51"/>
        <v>18.295143973754094</v>
      </c>
      <c r="N35" s="12">
        <f t="shared" si="51"/>
        <v>18.738843058564388</v>
      </c>
      <c r="O35" s="12">
        <f t="shared" si="51"/>
        <v>19.081140895599958</v>
      </c>
      <c r="P35" s="12">
        <f t="shared" si="51"/>
        <v>19.443993403295373</v>
      </c>
      <c r="Q35" s="12">
        <f t="shared" si="51"/>
        <v>19.748972102738847</v>
      </c>
      <c r="R35" s="12">
        <f t="shared" si="51"/>
        <v>19.95403838996749</v>
      </c>
      <c r="S35" s="12">
        <f t="shared" si="51"/>
        <v>20.357181653422863</v>
      </c>
      <c r="T35" s="12">
        <f t="shared" si="51"/>
        <v>20.732168768292308</v>
      </c>
      <c r="U35" s="12">
        <f t="shared" si="51"/>
        <v>21.110169642087328</v>
      </c>
      <c r="V35" s="12">
        <f t="shared" si="51"/>
        <v>21.502197546611388</v>
      </c>
      <c r="W35" s="12">
        <f t="shared" si="51"/>
        <v>21.885292708671596</v>
      </c>
      <c r="X35" s="12">
        <f t="shared" si="51"/>
        <v>22.260500858641585</v>
      </c>
      <c r="Y35" s="12">
        <f t="shared" si="51"/>
        <v>22.636807515464451</v>
      </c>
      <c r="Z35" s="12">
        <f t="shared" si="51"/>
        <v>23.003019853033809</v>
      </c>
      <c r="AA35" s="12">
        <f t="shared" si="51"/>
        <v>23.338185357870422</v>
      </c>
      <c r="AB35" s="12">
        <f t="shared" si="51"/>
        <v>23.670401391268094</v>
      </c>
      <c r="AC35" s="12">
        <f t="shared" si="51"/>
        <v>23.997564622404649</v>
      </c>
      <c r="AD35" s="12">
        <f t="shared" si="51"/>
        <v>24.31054161919381</v>
      </c>
      <c r="AE35" s="12">
        <f t="shared" si="51"/>
        <v>24.629369054426125</v>
      </c>
      <c r="AF35" s="12">
        <f t="shared" si="51"/>
        <v>26.059577653035337</v>
      </c>
      <c r="AG35" s="12">
        <f t="shared" si="51"/>
        <v>27.305911757015405</v>
      </c>
      <c r="AH35" s="12">
        <f t="shared" si="52" ref="AH35:AK35">AH32*AH$30</f>
        <v>28.100885994233021</v>
      </c>
      <c r="AI35" s="12">
        <f t="shared" si="52"/>
        <v>29.546154082993993</v>
      </c>
      <c r="AJ35" s="12">
        <f t="shared" si="52"/>
        <v>30.896394053273337</v>
      </c>
      <c r="AK35" s="12">
        <f t="shared" si="52"/>
        <v>32.156507433028928</v>
      </c>
      <c r="AL35" s="12"/>
      <c r="AM35" s="12"/>
    </row>
    <row r="36" spans="1:39" ht="15">
      <c r="A36" t="s">
        <v>385</v>
      </c>
      <c r="B36">
        <f t="shared" si="11"/>
        <v>28</v>
      </c>
      <c r="C36" s="263">
        <v>10.465086576414015</v>
      </c>
      <c r="D36" s="263">
        <v>11.272661511798107</v>
      </c>
      <c r="E36" s="263">
        <v>11.895643442036015</v>
      </c>
      <c r="F36" s="263">
        <v>12.420508234977223</v>
      </c>
      <c r="G36" s="263">
        <v>12.765232238976191</v>
      </c>
      <c r="H36" s="263">
        <v>13.343841341791148</v>
      </c>
      <c r="I36" s="263">
        <v>13.837125797729508</v>
      </c>
      <c r="J36" s="263">
        <v>14.041748987467024</v>
      </c>
      <c r="K36" s="9">
        <f t="shared" si="53" ref="K36:AG36">K33*K$30</f>
        <v>11.858701524628284</v>
      </c>
      <c r="L36" s="12">
        <f t="shared" si="53"/>
        <v>12.531237310602172</v>
      </c>
      <c r="M36" s="12">
        <f t="shared" si="53"/>
        <v>13.496012120373113</v>
      </c>
      <c r="N36" s="12">
        <f t="shared" si="53"/>
        <v>14.004088910601547</v>
      </c>
      <c r="O36" s="12">
        <f t="shared" si="53"/>
        <v>14.490900176276241</v>
      </c>
      <c r="P36" s="12">
        <f t="shared" si="53"/>
        <v>14.932441332818094</v>
      </c>
      <c r="Q36" s="12">
        <f t="shared" si="53"/>
        <v>15.246125829346536</v>
      </c>
      <c r="R36" s="12">
        <f t="shared" si="53"/>
        <v>16.040683732342156</v>
      </c>
      <c r="S36" s="12">
        <f t="shared" si="53"/>
        <v>16.869315942487184</v>
      </c>
      <c r="T36" s="12">
        <f t="shared" si="53"/>
        <v>17.731361878659868</v>
      </c>
      <c r="U36" s="12">
        <f t="shared" si="53"/>
        <v>18.613599530352676</v>
      </c>
      <c r="V36" s="12">
        <f t="shared" si="53"/>
        <v>19.476210862484876</v>
      </c>
      <c r="W36" s="12">
        <f t="shared" si="53"/>
        <v>20.317653973972313</v>
      </c>
      <c r="X36" s="12">
        <f t="shared" si="53"/>
        <v>21.135443300809985</v>
      </c>
      <c r="Y36" s="12">
        <f t="shared" si="53"/>
        <v>21.91918189499129</v>
      </c>
      <c r="Z36" s="12">
        <f t="shared" si="53"/>
        <v>22.686582829942388</v>
      </c>
      <c r="AA36" s="12">
        <f t="shared" si="53"/>
        <v>23.432070687377486</v>
      </c>
      <c r="AB36" s="12">
        <f t="shared" si="53"/>
        <v>24.171466374122478</v>
      </c>
      <c r="AC36" s="12">
        <f t="shared" si="53"/>
        <v>24.900499597435228</v>
      </c>
      <c r="AD36" s="12">
        <f t="shared" si="53"/>
        <v>25.62922842718757</v>
      </c>
      <c r="AE36" s="12">
        <f t="shared" si="53"/>
        <v>26.334803994195223</v>
      </c>
      <c r="AF36" s="12">
        <f t="shared" si="53"/>
        <v>29.392907749194251</v>
      </c>
      <c r="AG36" s="12">
        <f t="shared" si="53"/>
        <v>31.83257998996627</v>
      </c>
      <c r="AH36" s="12">
        <f t="shared" si="54" ref="AH36:AK36">AH33*AH$30</f>
        <v>34.163101311032257</v>
      </c>
      <c r="AI36" s="12">
        <f t="shared" si="54"/>
        <v>35.174317391140541</v>
      </c>
      <c r="AJ36" s="12">
        <f t="shared" si="54"/>
        <v>36.042775261740246</v>
      </c>
      <c r="AK36" s="12">
        <f t="shared" si="54"/>
        <v>36.800116012916789</v>
      </c>
      <c r="AL36" s="12"/>
      <c r="AM36" s="12"/>
    </row>
    <row r="37" spans="1:39" ht="15">
      <c r="A37" t="s">
        <v>386</v>
      </c>
      <c r="B37">
        <f t="shared" si="11"/>
        <v>29</v>
      </c>
      <c r="C37" s="267">
        <v>0.33936777226430637</v>
      </c>
      <c r="D37" s="266">
        <v>0.34922378908645002</v>
      </c>
      <c r="E37" s="266">
        <v>0.35473666462293074</v>
      </c>
      <c r="F37" s="266">
        <v>0.35856192519926422</v>
      </c>
      <c r="G37" s="266">
        <v>0.35979950950337214</v>
      </c>
      <c r="H37" s="266">
        <v>0.36519987737584303</v>
      </c>
      <c r="I37" s="266">
        <v>0.36857510729613735</v>
      </c>
      <c r="J37" s="266">
        <v>0.36699999999999999</v>
      </c>
      <c r="K37" s="266">
        <v>0.33910000000000001</v>
      </c>
      <c r="L37" s="22">
        <f t="shared" si="55" ref="L37:AG37">L75/K75*K37</f>
        <v>0.39247633252301034</v>
      </c>
      <c r="M37" s="22">
        <f t="shared" si="55"/>
        <v>0.44585266504602061</v>
      </c>
      <c r="N37" s="9">
        <f t="shared" si="55"/>
        <v>0.45239676409714313</v>
      </c>
      <c r="O37" s="9">
        <f t="shared" si="55"/>
        <v>0.45882891461300374</v>
      </c>
      <c r="P37" s="9">
        <f t="shared" si="55"/>
        <v>0.46303260575630306</v>
      </c>
      <c r="Q37" s="9">
        <f t="shared" si="55"/>
        <v>0.46723629689960239</v>
      </c>
      <c r="R37" s="9">
        <f t="shared" si="55"/>
        <v>0.48175706461959816</v>
      </c>
      <c r="S37" s="9">
        <f t="shared" si="55"/>
        <v>0.49598240867765853</v>
      </c>
      <c r="T37" s="9">
        <f t="shared" si="55"/>
        <v>0.51233781990868588</v>
      </c>
      <c r="U37" s="9">
        <f t="shared" si="55"/>
        <v>0.53048420684673714</v>
      </c>
      <c r="V37" s="9">
        <f t="shared" si="55"/>
        <v>0.54887962819890546</v>
      </c>
      <c r="W37" s="9">
        <f t="shared" si="55"/>
        <v>0.62428485156256963</v>
      </c>
      <c r="X37" s="9">
        <f t="shared" si="55"/>
        <v>0.64554284578476873</v>
      </c>
      <c r="Y37" s="9">
        <f t="shared" si="55"/>
        <v>0.6665668412368505</v>
      </c>
      <c r="Z37" s="9">
        <f t="shared" si="55"/>
        <v>0.68770455903371086</v>
      </c>
      <c r="AA37" s="9">
        <f t="shared" si="55"/>
        <v>0.71025364764583421</v>
      </c>
      <c r="AB37" s="9">
        <f t="shared" si="55"/>
        <v>0.73377555226551827</v>
      </c>
      <c r="AC37" s="9">
        <f t="shared" si="55"/>
        <v>0.75821523588191142</v>
      </c>
      <c r="AD37" s="9">
        <f t="shared" si="55"/>
        <v>0.78450622593132247</v>
      </c>
      <c r="AE37" s="9">
        <f t="shared" si="55"/>
        <v>0.81085435703017861</v>
      </c>
      <c r="AF37" s="9">
        <f t="shared" si="55"/>
        <v>1.0121010366160832</v>
      </c>
      <c r="AG37" s="9">
        <f t="shared" si="55"/>
        <v>1.1452414516403431</v>
      </c>
      <c r="AH37" s="9">
        <f t="shared" si="56" ref="AH37">AH75/AG75*AG37</f>
        <v>1.3333668065119644</v>
      </c>
      <c r="AI37" s="9">
        <f t="shared" si="57" ref="AI37">AI75/AH75*AH37</f>
        <v>1.4548801941766543</v>
      </c>
      <c r="AJ37" s="9">
        <f t="shared" si="58" ref="AJ37">AJ75/AI75*AI37</f>
        <v>1.5324050280096531</v>
      </c>
      <c r="AK37" s="9">
        <f t="shared" si="59" ref="AK37">AK75/AJ75*AJ37</f>
        <v>1.5576849907566579</v>
      </c>
      <c r="AL37" s="111"/>
      <c r="AM37" s="111"/>
    </row>
    <row r="38" spans="1:39" ht="15">
      <c r="A38" t="s">
        <v>263</v>
      </c>
      <c r="C38" s="50"/>
      <c r="D38" s="272">
        <f>(D37/C37)^(1/(D$5-C$5))-1</f>
        <v>0.029042288713459818</v>
      </c>
      <c r="E38" s="272">
        <f t="shared" si="60" ref="E38:L38">(E37/D37)^(1/(E$5-D$5))-1</f>
        <v>0.015786082474226859</v>
      </c>
      <c r="F38" s="272">
        <f t="shared" si="60"/>
        <v>0.010783380907072537</v>
      </c>
      <c r="G38" s="272">
        <f t="shared" si="60"/>
        <v>0.0034515218073423171</v>
      </c>
      <c r="H38" s="272">
        <f t="shared" si="60"/>
        <v>0.015009380863039379</v>
      </c>
      <c r="I38" s="272">
        <f t="shared" si="60"/>
        <v>0.0092421441774492852</v>
      </c>
      <c r="J38" s="272">
        <f t="shared" si="60"/>
        <v>-0.0042735042735043693</v>
      </c>
      <c r="K38" s="272">
        <f t="shared" si="60"/>
        <v>-0.076021798365122573</v>
      </c>
      <c r="L38" s="50">
        <f t="shared" si="60"/>
        <v>0.15740587591568955</v>
      </c>
      <c r="M38" s="50">
        <f t="shared" si="61" ref="M38">(M37/L37)^(1/(M$5-L$5))-1</f>
        <v>0.13599885674604573</v>
      </c>
      <c r="N38" s="50">
        <f t="shared" si="62" ref="N38">(N37/M37)^(1/(N$5-M$5))-1</f>
        <v>0.014677716573583854</v>
      </c>
      <c r="O38" s="50">
        <f t="shared" si="63" ref="O38">(O37/N37)^(1/(O$5-N$5))-1</f>
        <v>0.014217941033900505</v>
      </c>
      <c r="P38" s="50">
        <f t="shared" si="64" ref="P38">(P37/O37)^(1/(P$5-O$5))-1</f>
        <v>0.0091617834217028182</v>
      </c>
      <c r="Q38" s="50">
        <f t="shared" si="65" ref="Q38">(Q37/P37)^(1/(Q$5-P$5))-1</f>
        <v>0.0090786071888677711</v>
      </c>
      <c r="R38" s="50">
        <f t="shared" si="66" ref="R38">(R37/Q37)^(1/(R$5-Q$5))-1</f>
        <v>0.031077995901324318</v>
      </c>
      <c r="S38" s="50">
        <f t="shared" si="67" ref="S38">(S37/R37)^(1/(S$5-R$5))-1</f>
        <v>0.029528044532762365</v>
      </c>
      <c r="T38" s="50">
        <f t="shared" si="68" ref="T38">(T37/S37)^(1/(T$5-S$5))-1</f>
        <v>0.032975788949113349</v>
      </c>
      <c r="U38" s="50">
        <f t="shared" si="69" ref="U38">(U37/T37)^(1/(U$5-T$5))-1</f>
        <v>0.035418792509374963</v>
      </c>
      <c r="V38" s="50">
        <f t="shared" si="70" ref="V38">(V37/U37)^(1/(V$5-U$5))-1</f>
        <v>0.034676661651273255</v>
      </c>
      <c r="W38" s="50">
        <f t="shared" si="71" ref="W38">(W37/V37)^(1/(W$5-V$5))-1</f>
        <v>0.13738025514100238</v>
      </c>
      <c r="X38" s="50">
        <f t="shared" si="72" ref="X38">(X37/W37)^(1/(X$5-W$5))-1</f>
        <v>0.034051754049438943</v>
      </c>
      <c r="Y38" s="50">
        <f t="shared" si="73" ref="Y38">(Y37/X37)^(1/(Y$5-X$5))-1</f>
        <v>0.032567931918637383</v>
      </c>
      <c r="Z38" s="50">
        <f t="shared" si="74" ref="Z38">(Z37/Y37)^(1/(Z$5-Y$5))-1</f>
        <v>0.031711325090276299</v>
      </c>
      <c r="AA38" s="50">
        <f t="shared" si="75" ref="AA38">(AA37/Z37)^(1/(AA$5-Z$5))-1</f>
        <v>0.032788918316619675</v>
      </c>
      <c r="AB38" s="50">
        <f t="shared" si="76" ref="AB38">(AB37/AA37)^(1/(AB$5-AA$5))-1</f>
        <v>0.033117611852678808</v>
      </c>
      <c r="AC38" s="50">
        <f t="shared" si="77" ref="AC38">(AC37/AB37)^(1/(AC$5-AB$5))-1</f>
        <v>0.033306756461067843</v>
      </c>
      <c r="AD38" s="50">
        <f t="shared" si="78" ref="AD38">(AD37/AC37)^(1/(AD$5-AC$5))-1</f>
        <v>0.034674837440889617</v>
      </c>
      <c r="AE38" s="50">
        <f t="shared" si="79" ref="AE38">(AE37/AD37)^(1/(AE$5-AD$5))-1</f>
        <v>0.033585623960570965</v>
      </c>
      <c r="AF38" s="50">
        <f t="shared" si="80" ref="AF38">(AF37/AE37)^(1/(AF$5-AE$5))-1</f>
        <v>0.045336712014029112</v>
      </c>
      <c r="AG38" s="50">
        <f t="shared" si="81" ref="AG38">(AG37/AF37)^(1/(AG$5-AF$5))-1</f>
        <v>0.025025424862892054</v>
      </c>
      <c r="AH38" s="50">
        <f t="shared" si="82" ref="AH38">(AH37/AG37)^(1/(AH$5-AG$5))-1</f>
        <v>0.030885701897448437</v>
      </c>
      <c r="AI38" s="50">
        <f t="shared" si="83" ref="AI38">(AI37/AH37)^(1/(AI$5-AH$5))-1</f>
        <v>0.017596298267333221</v>
      </c>
      <c r="AJ38" s="50">
        <f t="shared" si="84" ref="AJ38">(AJ37/AI37)^(1/(AJ$5-AI$5))-1</f>
        <v>0.010437061796241043</v>
      </c>
      <c r="AK38" s="50">
        <f t="shared" si="85" ref="AK38">(AK37/AJ37)^(1/(AK$5-AJ$5))-1</f>
        <v>0.0032778251214204968</v>
      </c>
      <c r="AL38" s="50"/>
      <c r="AM38" s="50"/>
    </row>
    <row r="39" spans="12:27" ht="15">
      <c r="L39" s="12"/>
      <c r="Y39" s="50"/>
      <c r="Z39" s="50"/>
      <c r="AA39" s="50"/>
    </row>
    <row r="40" spans="1:1" ht="15">
      <c r="A40" s="183" t="s">
        <v>639</v>
      </c>
    </row>
    <row r="41" spans="3:41" ht="15">
      <c r="C41" s="31" t="s">
        <v>536</v>
      </c>
      <c r="D41" s="31" t="s">
        <v>545</v>
      </c>
      <c r="E41" s="31" t="s">
        <v>546</v>
      </c>
      <c r="F41" s="31" t="s">
        <v>537</v>
      </c>
      <c r="G41" s="31" t="s">
        <v>547</v>
      </c>
      <c r="H41" s="31" t="s">
        <v>548</v>
      </c>
      <c r="I41" s="31" t="s">
        <v>549</v>
      </c>
      <c r="J41" s="31" t="s">
        <v>550</v>
      </c>
      <c r="K41" s="31" t="s">
        <v>538</v>
      </c>
      <c r="L41" s="31" t="s">
        <v>551</v>
      </c>
      <c r="M41" s="31" t="s">
        <v>552</v>
      </c>
      <c r="N41" s="31" t="s">
        <v>553</v>
      </c>
      <c r="O41" s="31" t="s">
        <v>554</v>
      </c>
      <c r="P41" s="31" t="s">
        <v>539</v>
      </c>
      <c r="Q41" s="31" t="s">
        <v>555</v>
      </c>
      <c r="R41" s="31" t="s">
        <v>556</v>
      </c>
      <c r="S41" s="31" t="s">
        <v>557</v>
      </c>
      <c r="T41" s="31" t="s">
        <v>558</v>
      </c>
      <c r="U41" s="31" t="s">
        <v>540</v>
      </c>
      <c r="V41" s="31" t="s">
        <v>559</v>
      </c>
      <c r="W41" s="31" t="s">
        <v>560</v>
      </c>
      <c r="X41" s="31" t="s">
        <v>561</v>
      </c>
      <c r="Y41" s="31" t="s">
        <v>562</v>
      </c>
      <c r="Z41" s="31" t="s">
        <v>541</v>
      </c>
      <c r="AA41" s="31" t="s">
        <v>563</v>
      </c>
      <c r="AB41" s="31" t="s">
        <v>564</v>
      </c>
      <c r="AC41" s="31" t="s">
        <v>565</v>
      </c>
      <c r="AD41" s="31" t="s">
        <v>566</v>
      </c>
      <c r="AE41" s="31" t="s">
        <v>542</v>
      </c>
      <c r="AF41" s="31" t="s">
        <v>543</v>
      </c>
      <c r="AG41" s="31" t="s">
        <v>544</v>
      </c>
      <c r="AH41" s="31" t="s">
        <v>706</v>
      </c>
      <c r="AI41" s="31" t="s">
        <v>711</v>
      </c>
      <c r="AJ41" s="31" t="s">
        <v>716</v>
      </c>
      <c r="AK41" s="31" t="s">
        <v>721</v>
      </c>
      <c r="AL41" s="31"/>
      <c r="AM41" s="31"/>
      <c r="AN41" s="31" t="s">
        <v>782</v>
      </c>
      <c r="AO41" s="31"/>
    </row>
    <row r="43" spans="1:43" ht="15">
      <c r="A43" t="s">
        <v>590</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v>2055</v>
      </c>
      <c r="AO43">
        <v>2060</v>
      </c>
      <c r="AP43">
        <v>2065</v>
      </c>
      <c r="AQ43">
        <v>2070</v>
      </c>
    </row>
    <row r="44" spans="1:43" ht="15">
      <c r="A44" t="s">
        <v>591</v>
      </c>
      <c r="C44">
        <v>0</v>
      </c>
      <c r="D44">
        <f>C44+1</f>
        <v>1</v>
      </c>
      <c r="E44">
        <f t="shared" si="86" ref="E44">D44+1</f>
        <v>2</v>
      </c>
      <c r="F44">
        <f t="shared" si="87" ref="F44">E44+1</f>
        <v>3</v>
      </c>
      <c r="G44">
        <f t="shared" si="88" ref="G44">F44+1</f>
        <v>4</v>
      </c>
      <c r="H44">
        <f t="shared" si="89" ref="H44">G44+1</f>
        <v>5</v>
      </c>
      <c r="I44">
        <f t="shared" si="90" ref="I44">H44+1</f>
        <v>6</v>
      </c>
      <c r="J44">
        <f t="shared" si="91" ref="J44">I44+1</f>
        <v>7</v>
      </c>
      <c r="K44">
        <f t="shared" si="92" ref="K44">J44+1</f>
        <v>8</v>
      </c>
      <c r="L44">
        <f t="shared" si="93" ref="L44">K44+1</f>
        <v>9</v>
      </c>
      <c r="M44">
        <f t="shared" si="94" ref="M44">L44+1</f>
        <v>10</v>
      </c>
      <c r="N44">
        <f t="shared" si="95" ref="N44">M44+1</f>
        <v>11</v>
      </c>
      <c r="O44">
        <f t="shared" si="96" ref="O44">N44+1</f>
        <v>12</v>
      </c>
      <c r="P44">
        <f t="shared" si="97" ref="P44">O44+1</f>
        <v>13</v>
      </c>
      <c r="Q44">
        <f t="shared" si="98" ref="Q44">P44+1</f>
        <v>14</v>
      </c>
      <c r="R44">
        <f t="shared" si="99" ref="R44">Q44+1</f>
        <v>15</v>
      </c>
      <c r="S44">
        <f t="shared" si="100" ref="S44">R44+1</f>
        <v>16</v>
      </c>
      <c r="T44">
        <f t="shared" si="101" ref="T44">S44+1</f>
        <v>17</v>
      </c>
      <c r="U44">
        <f t="shared" si="102" ref="U44">T44+1</f>
        <v>18</v>
      </c>
      <c r="V44">
        <f t="shared" si="103" ref="V44">U44+1</f>
        <v>19</v>
      </c>
      <c r="W44">
        <f t="shared" si="104" ref="W44">V44+1</f>
        <v>20</v>
      </c>
      <c r="X44">
        <f t="shared" si="105" ref="X44">W44+1</f>
        <v>21</v>
      </c>
      <c r="Y44">
        <f t="shared" si="106" ref="Y44">X44+1</f>
        <v>22</v>
      </c>
      <c r="Z44">
        <f t="shared" si="107" ref="Z44">Y44+1</f>
        <v>23</v>
      </c>
      <c r="AA44">
        <f t="shared" si="108" ref="AA44">Z44+1</f>
        <v>24</v>
      </c>
      <c r="AB44">
        <f t="shared" si="109" ref="AB44">AA44+1</f>
        <v>25</v>
      </c>
      <c r="AC44">
        <f t="shared" si="110" ref="AC44">AB44+1</f>
        <v>26</v>
      </c>
      <c r="AD44">
        <f t="shared" si="111" ref="AD44">AC44+1</f>
        <v>27</v>
      </c>
      <c r="AE44">
        <f t="shared" si="112" ref="AE44">AD44+1</f>
        <v>28</v>
      </c>
      <c r="AF44">
        <f t="shared" si="113" ref="AF44">AE44+1</f>
        <v>29</v>
      </c>
      <c r="AG44">
        <f t="shared" si="114" ref="AG44">AF44+1</f>
        <v>30</v>
      </c>
      <c r="AH44">
        <f t="shared" si="115" ref="AH44">AG44+1</f>
        <v>31</v>
      </c>
      <c r="AI44">
        <f t="shared" si="116" ref="AI44">AH44+1</f>
        <v>32</v>
      </c>
      <c r="AJ44">
        <f t="shared" si="117" ref="AJ44">AI44+1</f>
        <v>33</v>
      </c>
      <c r="AK44">
        <f t="shared" si="118" ref="AK44">AJ44+1</f>
        <v>34</v>
      </c>
      <c r="AN44">
        <v>31</v>
      </c>
      <c r="AO44">
        <v>32</v>
      </c>
      <c r="AP44">
        <v>33</v>
      </c>
      <c r="AQ44">
        <v>34</v>
      </c>
    </row>
    <row r="45" spans="1:43" ht="15">
      <c r="A45" s="119" t="s">
        <v>126</v>
      </c>
      <c r="B45">
        <v>1</v>
      </c>
      <c r="C45" s="263">
        <v>96.797279590965346</v>
      </c>
      <c r="D45" s="263">
        <v>101.32801029182565</v>
      </c>
      <c r="E45" s="263">
        <v>105.4512845971946</v>
      </c>
      <c r="F45" s="263">
        <v>104.03295587682055</v>
      </c>
      <c r="G45" s="263">
        <v>102.86973222443167</v>
      </c>
      <c r="H45" s="263">
        <v>106.45368114150588</v>
      </c>
      <c r="I45" s="263">
        <v>104.83293209544796</v>
      </c>
      <c r="J45" s="12">
        <f>INDEX(DriversGams!$A$5:$BA$26,MATCH(Drivers!$A45,DriversGams!$A$5:$A$26,0),MATCH(Drivers!J$3,DriversGams!$A$5:$BA$5,0))</f>
        <v>102.81301388133485</v>
      </c>
      <c r="K45" s="12">
        <f>INDEX(DriversGams!$A$5:$BA$26,MATCH(Drivers!$A45,DriversGams!$A$5:$A$26,0),MATCH(Drivers!K$3,DriversGams!$A$5:$BA$5,0))</f>
        <v>106.8983132927723</v>
      </c>
      <c r="L45" s="12">
        <f>INDEX(DriversGams!$A$5:$BA$26,MATCH(Drivers!$A45,DriversGams!$A$5:$A$26,0),MATCH(Drivers!L$3,DriversGams!$A$5:$BA$5,0))</f>
        <v>114.16036742797075</v>
      </c>
      <c r="M45" s="12">
        <f>INDEX(DriversGams!$A$5:$BA$26,MATCH(Drivers!$A45,DriversGams!$A$5:$A$26,0),MATCH(Drivers!M$3,DriversGams!$A$5:$BA$5,0))</f>
        <v>110.42226572387352</v>
      </c>
      <c r="N45" s="12">
        <f>INDEX(DriversGams!$A$5:$BA$26,MATCH(Drivers!$A45,DriversGams!$A$5:$A$26,0),MATCH(Drivers!N$3,DriversGams!$A$5:$BA$5,0))</f>
        <v>107.99675033845062</v>
      </c>
      <c r="O45" s="12">
        <f>INDEX(DriversGams!$A$5:$BA$26,MATCH(Drivers!$A45,DriversGams!$A$5:$A$26,0),MATCH(Drivers!O$3,DriversGams!$A$5:$BA$5,0))</f>
        <v>107.01338631376144</v>
      </c>
      <c r="P45" s="12">
        <f>INDEX(DriversGams!$A$5:$BA$26,MATCH(Drivers!$A45,DriversGams!$A$5:$A$26,0),MATCH(Drivers!P$3,DriversGams!$A$5:$BA$5,0))</f>
        <v>109.04647464326628</v>
      </c>
      <c r="Q45" s="12">
        <f>INDEX(DriversGams!$A$5:$BA$26,MATCH(Drivers!$A45,DriversGams!$A$5:$A$26,0),MATCH(Drivers!Q$3,DriversGams!$A$5:$BA$5,0))</f>
        <v>110.12164501480794</v>
      </c>
      <c r="R45" s="12">
        <f>INDEX(DriversGams!$A$5:$BA$26,MATCH(Drivers!$A45,DriversGams!$A$5:$A$26,0),MATCH(Drivers!R$3,DriversGams!$A$5:$BA$5,0))</f>
        <v>111.78970512015955</v>
      </c>
      <c r="S45" s="12">
        <f>INDEX(DriversGams!$A$5:$BA$26,MATCH(Drivers!$A45,DriversGams!$A$5:$A$26,0),MATCH(Drivers!S$3,DriversGams!$A$5:$BA$5,0))</f>
        <v>113.7341358266668</v>
      </c>
      <c r="T45" s="12">
        <f>INDEX(DriversGams!$A$5:$BA$26,MATCH(Drivers!$A45,DriversGams!$A$5:$A$26,0),MATCH(Drivers!T$3,DriversGams!$A$5:$BA$5,0))</f>
        <v>115.47252625902092</v>
      </c>
      <c r="U45" s="12">
        <f>INDEX(DriversGams!$A$5:$BA$26,MATCH(Drivers!$A45,DriversGams!$A$5:$A$26,0),MATCH(Drivers!U$3,DriversGams!$A$5:$BA$5,0))</f>
        <v>118.28655829295674</v>
      </c>
      <c r="V45" s="12">
        <f>INDEX(DriversGams!$A$5:$BA$26,MATCH(Drivers!$A45,DriversGams!$A$5:$A$26,0),MATCH(Drivers!V$3,DriversGams!$A$5:$BA$5,0))</f>
        <v>121.006184741697</v>
      </c>
      <c r="W45" s="12">
        <f>INDEX(DriversGams!$A$5:$BA$26,MATCH(Drivers!$A45,DriversGams!$A$5:$A$26,0),MATCH(Drivers!W$3,DriversGams!$A$5:$BA$5,0))</f>
        <v>123.63542649267822</v>
      </c>
      <c r="X45" s="12">
        <f>INDEX(DriversGams!$A$5:$BA$26,MATCH(Drivers!$A45,DriversGams!$A$5:$A$26,0),MATCH(Drivers!X$3,DriversGams!$A$5:$BA$5,0))</f>
        <v>125.9975355856305</v>
      </c>
      <c r="Y45" s="12">
        <f>INDEX(DriversGams!$A$5:$BA$26,MATCH(Drivers!$A45,DriversGams!$A$5:$A$26,0),MATCH(Drivers!Y$3,DriversGams!$A$5:$BA$5,0))</f>
        <v>128.46680562987063</v>
      </c>
      <c r="Z45" s="12">
        <f>INDEX(DriversGams!$A$5:$BA$26,MATCH(Drivers!$A45,DriversGams!$A$5:$A$26,0),MATCH(Drivers!Z$3,DriversGams!$A$5:$BA$5,0))</f>
        <v>132.52106998163515</v>
      </c>
      <c r="AA45" s="12">
        <f>INDEX(DriversGams!$A$5:$BA$26,MATCH(Drivers!$A45,DriversGams!$A$5:$A$26,0),MATCH(Drivers!AA$3,DriversGams!$A$5:$BA$5,0))</f>
        <v>135.04251177260366</v>
      </c>
      <c r="AB45" s="12">
        <f>INDEX(DriversGams!$A$5:$BA$26,MATCH(Drivers!$A45,DriversGams!$A$5:$A$26,0),MATCH(Drivers!AB$3,DriversGams!$A$5:$BA$5,0))</f>
        <v>137.51319200165574</v>
      </c>
      <c r="AC45" s="12">
        <f>INDEX(DriversGams!$A$5:$BA$26,MATCH(Drivers!$A45,DriversGams!$A$5:$A$26,0),MATCH(Drivers!AC$3,DriversGams!$A$5:$BA$5,0))</f>
        <v>139.94008991617019</v>
      </c>
      <c r="AD45" s="12">
        <f>INDEX(DriversGams!$A$5:$BA$26,MATCH(Drivers!$A45,DriversGams!$A$5:$A$26,0),MATCH(Drivers!AD$3,DriversGams!$A$5:$BA$5,0))</f>
        <v>142.4513637865945</v>
      </c>
      <c r="AE45" s="12">
        <f>INDEX(DriversGams!$A$5:$BA$26,MATCH(Drivers!$A45,DriversGams!$A$5:$A$26,0),MATCH(Drivers!AE$3,DriversGams!$A$5:$BA$5,0))</f>
        <v>144.95006379894289</v>
      </c>
      <c r="AF45" s="12">
        <f>INDEX(DriversGams!$A$5:$BA$26,MATCH(Drivers!$A45,DriversGams!$A$5:$A$26,0),MATCH(Drivers!AF$3,DriversGams!$A$5:$BA$5,0))</f>
        <v>158.93791524161247</v>
      </c>
      <c r="AG45" s="12">
        <f>INDEX(DriversGams!$A$5:$BA$26,MATCH(Drivers!$A45,DriversGams!$A$5:$A$26,0),MATCH(Drivers!AG$3,DriversGams!$A$5:$BA$5,0))</f>
        <v>176.16462300471736</v>
      </c>
      <c r="AH45" s="12">
        <f>INDEX(DriversGams!$A$5:$BA$26,MATCH(Drivers!$A45,DriversGams!$A$5:$A$26,0),MATCH(Drivers!AH$3,DriversGams!$A$5:$BA$5,0))</f>
        <v>198.4343095736082</v>
      </c>
      <c r="AI45" s="12">
        <f>AO45/AN45*AH45</f>
        <v>221.39593430912976</v>
      </c>
      <c r="AJ45" s="12">
        <f t="shared" si="119" ref="AJ45:AK45">AP45/AO45*AI45</f>
        <v>236.31975940992444</v>
      </c>
      <c r="AK45" s="12">
        <f t="shared" si="119"/>
        <v>241.23274752155194</v>
      </c>
      <c r="AL45" s="111"/>
      <c r="AM45" s="111"/>
      <c r="AN45" s="12">
        <v>282.02525190600596</v>
      </c>
      <c r="AO45" s="12">
        <v>314.65951769462703</v>
      </c>
      <c r="AP45" s="12">
        <v>335.87004092771502</v>
      </c>
      <c r="AQ45" s="12">
        <v>342.85263739891133</v>
      </c>
    </row>
    <row r="46" spans="1:43" ht="15">
      <c r="A46" s="119" t="s">
        <v>4</v>
      </c>
      <c r="B46">
        <f>B45+1</f>
        <v>2</v>
      </c>
      <c r="C46" s="263">
        <v>2420.5059603282948</v>
      </c>
      <c r="D46" s="263">
        <v>2489.1047071827661</v>
      </c>
      <c r="E46" s="263">
        <v>2551.5982527371866</v>
      </c>
      <c r="F46" s="263">
        <v>2595.1630396206046</v>
      </c>
      <c r="G46" s="263">
        <v>2628.6516711665686</v>
      </c>
      <c r="H46" s="263">
        <v>2667.1308637985835</v>
      </c>
      <c r="I46" s="263">
        <v>2710.4237502366891</v>
      </c>
      <c r="J46" s="12">
        <f>INDEX(DriversGams!$A$5:$BA$26,MATCH(Drivers!$A46,DriversGams!$A$5:$A$26,0),MATCH(Drivers!J$3,DriversGams!$A$5:$BA$5,0))</f>
        <v>2742.3903804389338</v>
      </c>
      <c r="K46" s="12">
        <f>INDEX(DriversGams!$A$5:$BA$26,MATCH(Drivers!$A46,DriversGams!$A$5:$A$26,0),MATCH(Drivers!K$3,DriversGams!$A$5:$BA$5,0))</f>
        <v>2635.7586283782512</v>
      </c>
      <c r="L46" s="12">
        <f>INDEX(DriversGams!$A$5:$BA$26,MATCH(Drivers!$A46,DriversGams!$A$5:$A$26,0),MATCH(Drivers!L$3,DriversGams!$A$5:$BA$5,0))</f>
        <v>2728.6120209893857</v>
      </c>
      <c r="M46" s="12">
        <f>INDEX(DriversGams!$A$5:$BA$26,MATCH(Drivers!$A46,DriversGams!$A$5:$A$26,0),MATCH(Drivers!M$3,DriversGams!$A$5:$BA$5,0))</f>
        <v>2831.4475487609634</v>
      </c>
      <c r="N46" s="12">
        <f>INDEX(DriversGams!$A$5:$BA$26,MATCH(Drivers!$A46,DriversGams!$A$5:$A$26,0),MATCH(Drivers!N$3,DriversGams!$A$5:$BA$5,0))</f>
        <v>2864.7092300740151</v>
      </c>
      <c r="O46" s="12">
        <f>INDEX(DriversGams!$A$5:$BA$26,MATCH(Drivers!$A46,DriversGams!$A$5:$A$26,0),MATCH(Drivers!O$3,DriversGams!$A$5:$BA$5,0))</f>
        <v>2912.2719349551439</v>
      </c>
      <c r="P46" s="12">
        <f>INDEX(DriversGams!$A$5:$BA$26,MATCH(Drivers!$A46,DriversGams!$A$5:$A$26,0),MATCH(Drivers!P$3,DriversGams!$A$5:$BA$5,0))</f>
        <v>2960.3985887070226</v>
      </c>
      <c r="Q46" s="12">
        <f>INDEX(DriversGams!$A$5:$BA$26,MATCH(Drivers!$A46,DriversGams!$A$5:$A$26,0),MATCH(Drivers!Q$3,DriversGams!$A$5:$BA$5,0))</f>
        <v>3017.6039201091162</v>
      </c>
      <c r="R46" s="12">
        <f>INDEX(DriversGams!$A$5:$BA$26,MATCH(Drivers!$A46,DriversGams!$A$5:$A$26,0),MATCH(Drivers!R$3,DriversGams!$A$5:$BA$5,0))</f>
        <v>3093.5051401211085</v>
      </c>
      <c r="S46" s="12">
        <f>INDEX(DriversGams!$A$5:$BA$26,MATCH(Drivers!$A46,DriversGams!$A$5:$A$26,0),MATCH(Drivers!S$3,DriversGams!$A$5:$BA$5,0))</f>
        <v>3179.7457482327104</v>
      </c>
      <c r="T46" s="12">
        <f>INDEX(DriversGams!$A$5:$BA$26,MATCH(Drivers!$A46,DriversGams!$A$5:$A$26,0),MATCH(Drivers!T$3,DriversGams!$A$5:$BA$5,0))</f>
        <v>3280.1025758261671</v>
      </c>
      <c r="U46" s="12">
        <f>INDEX(DriversGams!$A$5:$BA$26,MATCH(Drivers!$A46,DriversGams!$A$5:$A$26,0),MATCH(Drivers!U$3,DriversGams!$A$5:$BA$5,0))</f>
        <v>3393.2465101213174</v>
      </c>
      <c r="V46" s="12">
        <f>INDEX(DriversGams!$A$5:$BA$26,MATCH(Drivers!$A46,DriversGams!$A$5:$A$26,0),MATCH(Drivers!V$3,DriversGams!$A$5:$BA$5,0))</f>
        <v>3516.773192778458</v>
      </c>
      <c r="W46" s="12">
        <f>INDEX(DriversGams!$A$5:$BA$26,MATCH(Drivers!$A46,DriversGams!$A$5:$A$26,0),MATCH(Drivers!W$3,DriversGams!$A$5:$BA$5,0))</f>
        <v>3647.2957777909205</v>
      </c>
      <c r="X46" s="12">
        <f>INDEX(DriversGams!$A$5:$BA$26,MATCH(Drivers!$A46,DriversGams!$A$5:$A$26,0),MATCH(Drivers!X$3,DriversGams!$A$5:$BA$5,0))</f>
        <v>3784.3706868609679</v>
      </c>
      <c r="Y46" s="12">
        <f>INDEX(DriversGams!$A$5:$BA$26,MATCH(Drivers!$A46,DriversGams!$A$5:$A$26,0),MATCH(Drivers!Y$3,DriversGams!$A$5:$BA$5,0))</f>
        <v>3924.7630460823557</v>
      </c>
      <c r="Z46" s="12">
        <f>INDEX(DriversGams!$A$5:$BA$26,MATCH(Drivers!$A46,DriversGams!$A$5:$A$26,0),MATCH(Drivers!Z$3,DriversGams!$A$5:$BA$5,0))</f>
        <v>4067.0704072049903</v>
      </c>
      <c r="AA46" s="12">
        <f>INDEX(DriversGams!$A$5:$BA$26,MATCH(Drivers!$A46,DriversGams!$A$5:$A$26,0),MATCH(Drivers!AA$3,DriversGams!$A$5:$BA$5,0))</f>
        <v>4210.4064279118738</v>
      </c>
      <c r="AB46" s="12">
        <f>INDEX(DriversGams!$A$5:$BA$26,MATCH(Drivers!$A46,DriversGams!$A$5:$A$26,0),MATCH(Drivers!AB$3,DriversGams!$A$5:$BA$5,0))</f>
        <v>4359.862279145188</v>
      </c>
      <c r="AC46" s="12">
        <f>INDEX(DriversGams!$A$5:$BA$26,MATCH(Drivers!$A46,DriversGams!$A$5:$A$26,0),MATCH(Drivers!AC$3,DriversGams!$A$5:$BA$5,0))</f>
        <v>4515.8000778550222</v>
      </c>
      <c r="AD46" s="12">
        <f>INDEX(DriversGams!$A$5:$BA$26,MATCH(Drivers!$A46,DriversGams!$A$5:$A$26,0),MATCH(Drivers!AD$3,DriversGams!$A$5:$BA$5,0))</f>
        <v>4681.6835296189183</v>
      </c>
      <c r="AE46" s="12">
        <f>INDEX(DriversGams!$A$5:$BA$26,MATCH(Drivers!$A46,DriversGams!$A$5:$A$26,0),MATCH(Drivers!AE$3,DriversGams!$A$5:$BA$5,0))</f>
        <v>4853.8274862958588</v>
      </c>
      <c r="AF46" s="12">
        <f>INDEX(DriversGams!$A$5:$BA$26,MATCH(Drivers!$A46,DriversGams!$A$5:$A$26,0),MATCH(Drivers!AF$3,DriversGams!$A$5:$BA$5,0))</f>
        <v>5743.9688674517902</v>
      </c>
      <c r="AG46" s="12">
        <f>INDEX(DriversGams!$A$5:$BA$26,MATCH(Drivers!$A46,DriversGams!$A$5:$A$26,0),MATCH(Drivers!AG$3,DriversGams!$A$5:$BA$5,0))</f>
        <v>6671.2585382981297</v>
      </c>
      <c r="AH46" s="12">
        <f>INDEX(DriversGams!$A$5:$BA$26,MATCH(Drivers!$A46,DriversGams!$A$5:$A$26,0),MATCH(Drivers!AH$3,DriversGams!$A$5:$BA$5,0))</f>
        <v>7746.977854291019</v>
      </c>
      <c r="AI46" s="12">
        <f t="shared" si="120" ref="AI46:AI65">AO46/AN46*AH46</f>
        <v>8643.4115340657445</v>
      </c>
      <c r="AJ46" s="12">
        <f t="shared" si="121" ref="AJ46:AJ65">AP46/AO46*AI46</f>
        <v>9226.0453679304555</v>
      </c>
      <c r="AK46" s="12">
        <f t="shared" si="122" ref="AK46:AK65">AQ46/AP46*AJ46</f>
        <v>9417.8509593171329</v>
      </c>
      <c r="AL46" s="111"/>
      <c r="AM46" s="111"/>
      <c r="AN46" s="12">
        <v>7135.8357778147301</v>
      </c>
      <c r="AO46" s="12">
        <v>7961.5517724759829</v>
      </c>
      <c r="AP46" s="12">
        <v>8498.2229022061783</v>
      </c>
      <c r="AQ46" s="12">
        <v>8674.8973715470001</v>
      </c>
    </row>
    <row r="47" spans="1:43" ht="15">
      <c r="A47" s="119" t="s">
        <v>508</v>
      </c>
      <c r="B47">
        <f t="shared" si="123" ref="B47:B75">B46+1</f>
        <v>3</v>
      </c>
      <c r="C47" s="263">
        <v>72.107894835057621</v>
      </c>
      <c r="D47" s="263">
        <v>74.266300997437128</v>
      </c>
      <c r="E47" s="263">
        <v>75.801027741220466</v>
      </c>
      <c r="F47" s="263">
        <v>76.644854367250801</v>
      </c>
      <c r="G47" s="263">
        <v>77.466834349241523</v>
      </c>
      <c r="H47" s="263">
        <v>78.131791577197461</v>
      </c>
      <c r="I47" s="263">
        <v>79.016580660802092</v>
      </c>
      <c r="J47" s="12">
        <f>INDEX(DriversGams!$A$5:$BA$26,MATCH(Drivers!$A47,DriversGams!$A$5:$A$26,0),MATCH(Drivers!J$3,DriversGams!$A$5:$BA$5,0))</f>
        <v>78.727153819699168</v>
      </c>
      <c r="K47" s="12">
        <f>INDEX(DriversGams!$A$5:$BA$26,MATCH(Drivers!$A47,DriversGams!$A$5:$A$26,0),MATCH(Drivers!K$3,DriversGams!$A$5:$BA$5,0))</f>
        <v>73.016207961956312</v>
      </c>
      <c r="L47" s="12">
        <f>INDEX(DriversGams!$A$5:$BA$26,MATCH(Drivers!$A47,DriversGams!$A$5:$A$26,0),MATCH(Drivers!L$3,DriversGams!$A$5:$BA$5,0))</f>
        <v>75.135122112171757</v>
      </c>
      <c r="M47" s="12">
        <f>INDEX(DriversGams!$A$5:$BA$26,MATCH(Drivers!$A47,DriversGams!$A$5:$A$26,0),MATCH(Drivers!M$3,DriversGams!$A$5:$BA$5,0))</f>
        <v>81.858236846453636</v>
      </c>
      <c r="N47" s="12">
        <f>INDEX(DriversGams!$A$5:$BA$26,MATCH(Drivers!$A47,DriversGams!$A$5:$A$26,0),MATCH(Drivers!N$3,DriversGams!$A$5:$BA$5,0))</f>
        <v>81.032580524932555</v>
      </c>
      <c r="O47" s="12">
        <f>INDEX(DriversGams!$A$5:$BA$26,MATCH(Drivers!$A47,DriversGams!$A$5:$A$26,0),MATCH(Drivers!O$3,DriversGams!$A$5:$BA$5,0))</f>
        <v>81.701141054730229</v>
      </c>
      <c r="P47" s="12">
        <f>INDEX(DriversGams!$A$5:$BA$26,MATCH(Drivers!$A47,DriversGams!$A$5:$A$26,0),MATCH(Drivers!P$3,DriversGams!$A$5:$BA$5,0))</f>
        <v>82.743899427001949</v>
      </c>
      <c r="Q47" s="12">
        <f>INDEX(DriversGams!$A$5:$BA$26,MATCH(Drivers!$A47,DriversGams!$A$5:$A$26,0),MATCH(Drivers!Q$3,DriversGams!$A$5:$BA$5,0))</f>
        <v>83.719372068910701</v>
      </c>
      <c r="R47" s="12">
        <f>INDEX(DriversGams!$A$5:$BA$26,MATCH(Drivers!$A47,DriversGams!$A$5:$A$26,0),MATCH(Drivers!R$3,DriversGams!$A$5:$BA$5,0))</f>
        <v>85.04580452753828</v>
      </c>
      <c r="S47" s="12">
        <f>INDEX(DriversGams!$A$5:$BA$26,MATCH(Drivers!$A47,DriversGams!$A$5:$A$26,0),MATCH(Drivers!S$3,DriversGams!$A$5:$BA$5,0))</f>
        <v>86.947092320281357</v>
      </c>
      <c r="T47" s="12">
        <f>INDEX(DriversGams!$A$5:$BA$26,MATCH(Drivers!$A47,DriversGams!$A$5:$A$26,0),MATCH(Drivers!T$3,DriversGams!$A$5:$BA$5,0))</f>
        <v>88.855197179293029</v>
      </c>
      <c r="U47" s="12">
        <f>INDEX(DriversGams!$A$5:$BA$26,MATCH(Drivers!$A47,DriversGams!$A$5:$A$26,0),MATCH(Drivers!U$3,DriversGams!$A$5:$BA$5,0))</f>
        <v>91.500722467973247</v>
      </c>
      <c r="V47" s="12">
        <f>INDEX(DriversGams!$A$5:$BA$26,MATCH(Drivers!$A47,DriversGams!$A$5:$A$26,0),MATCH(Drivers!V$3,DriversGams!$A$5:$BA$5,0))</f>
        <v>94.292590441071297</v>
      </c>
      <c r="W47" s="12">
        <f>INDEX(DriversGams!$A$5:$BA$26,MATCH(Drivers!$A47,DriversGams!$A$5:$A$26,0),MATCH(Drivers!W$3,DriversGams!$A$5:$BA$5,0))</f>
        <v>97.124515325725127</v>
      </c>
      <c r="X47" s="12">
        <f>INDEX(DriversGams!$A$5:$BA$26,MATCH(Drivers!$A47,DriversGams!$A$5:$A$26,0),MATCH(Drivers!X$3,DriversGams!$A$5:$BA$5,0))</f>
        <v>100.14250526383262</v>
      </c>
      <c r="Y47" s="12">
        <f>INDEX(DriversGams!$A$5:$BA$26,MATCH(Drivers!$A47,DriversGams!$A$5:$A$26,0),MATCH(Drivers!Y$3,DriversGams!$A$5:$BA$5,0))</f>
        <v>103.9949751588367</v>
      </c>
      <c r="Z47" s="12">
        <f>INDEX(DriversGams!$A$5:$BA$26,MATCH(Drivers!$A47,DriversGams!$A$5:$A$26,0),MATCH(Drivers!Z$3,DriversGams!$A$5:$BA$5,0))</f>
        <v>108.04669993352474</v>
      </c>
      <c r="AA47" s="12">
        <f>INDEX(DriversGams!$A$5:$BA$26,MATCH(Drivers!$A47,DriversGams!$A$5:$A$26,0),MATCH(Drivers!AA$3,DriversGams!$A$5:$BA$5,0))</f>
        <v>110.78913933000035</v>
      </c>
      <c r="AB47" s="12">
        <f>INDEX(DriversGams!$A$5:$BA$26,MATCH(Drivers!$A47,DriversGams!$A$5:$A$26,0),MATCH(Drivers!AB$3,DriversGams!$A$5:$BA$5,0))</f>
        <v>113.85874160558842</v>
      </c>
      <c r="AC47" s="12">
        <f>INDEX(DriversGams!$A$5:$BA$26,MATCH(Drivers!$A47,DriversGams!$A$5:$A$26,0),MATCH(Drivers!AC$3,DriversGams!$A$5:$BA$5,0))</f>
        <v>117.08359396535933</v>
      </c>
      <c r="AD47" s="12">
        <f>INDEX(DriversGams!$A$5:$BA$26,MATCH(Drivers!$A47,DriversGams!$A$5:$A$26,0),MATCH(Drivers!AD$3,DriversGams!$A$5:$BA$5,0))</f>
        <v>119.07010446655889</v>
      </c>
      <c r="AE47" s="12">
        <f>INDEX(DriversGams!$A$5:$BA$26,MATCH(Drivers!$A47,DriversGams!$A$5:$A$26,0),MATCH(Drivers!AE$3,DriversGams!$A$5:$BA$5,0))</f>
        <v>122.535577160383</v>
      </c>
      <c r="AF47" s="12">
        <f>INDEX(DriversGams!$A$5:$BA$26,MATCH(Drivers!$A47,DriversGams!$A$5:$A$26,0),MATCH(Drivers!AF$3,DriversGams!$A$5:$BA$5,0))</f>
        <v>141.2112186136257</v>
      </c>
      <c r="AG47" s="12">
        <f>INDEX(DriversGams!$A$5:$BA$26,MATCH(Drivers!$A47,DriversGams!$A$5:$A$26,0),MATCH(Drivers!AG$3,DriversGams!$A$5:$BA$5,0))</f>
        <v>159.8485732174332</v>
      </c>
      <c r="AH47" s="12">
        <f>INDEX(DriversGams!$A$5:$BA$26,MATCH(Drivers!$A47,DriversGams!$A$5:$A$26,0),MATCH(Drivers!AH$3,DriversGams!$A$5:$BA$5,0))</f>
        <v>185.18465168786301</v>
      </c>
      <c r="AI47" s="12">
        <f t="shared" si="120"/>
        <v>207.36618747468282</v>
      </c>
      <c r="AJ47" s="12">
        <f t="shared" si="121"/>
        <v>221.85676978428339</v>
      </c>
      <c r="AK47" s="12">
        <f t="shared" si="122"/>
        <v>226.77300932874809</v>
      </c>
      <c r="AL47" s="111"/>
      <c r="AM47" s="111"/>
      <c r="AN47" s="12">
        <v>213.46298674732751</v>
      </c>
      <c r="AO47" s="12">
        <v>239.03171955828549</v>
      </c>
      <c r="AP47" s="12">
        <v>255.73506376809107</v>
      </c>
      <c r="AQ47" s="12">
        <v>261.40203004829675</v>
      </c>
    </row>
    <row r="48" spans="1:43" ht="15">
      <c r="A48" s="119" t="s">
        <v>692</v>
      </c>
      <c r="B48">
        <f t="shared" si="123"/>
        <v>4</v>
      </c>
      <c r="C48" s="263">
        <v>2.4554419284149018</v>
      </c>
      <c r="D48" s="263">
        <v>2.4807404210106916</v>
      </c>
      <c r="E48" s="263">
        <v>2.5000863271133542</v>
      </c>
      <c r="F48" s="263">
        <v>2.4936376917457999</v>
      </c>
      <c r="G48" s="263">
        <v>2.4903306992496184</v>
      </c>
      <c r="H48" s="263">
        <v>2.5025665714854908</v>
      </c>
      <c r="I48" s="263">
        <v>2.5113301016003717</v>
      </c>
      <c r="J48" s="12">
        <f>INDEX(DriversGams!$A$5:$BA$26,MATCH(Drivers!$A48,DriversGams!$A$5:$A$26,0),MATCH(Drivers!J$3,DriversGams!$A$5:$BA$5,0))</f>
        <v>2.4822992718580927</v>
      </c>
      <c r="K48" s="12">
        <f>INDEX(DriversGams!$A$5:$BA$26,MATCH(Drivers!$A48,DriversGams!$A$5:$A$26,0),MATCH(Drivers!K$3,DriversGams!$A$5:$BA$5,0))</f>
        <v>2.2071301423814771</v>
      </c>
      <c r="L48" s="12">
        <f>INDEX(DriversGams!$A$5:$BA$26,MATCH(Drivers!$A48,DriversGams!$A$5:$A$26,0),MATCH(Drivers!L$3,DriversGams!$A$5:$BA$5,0))</f>
        <v>2.2658841474644604</v>
      </c>
      <c r="M48" s="12">
        <f>INDEX(DriversGams!$A$5:$BA$26,MATCH(Drivers!$A48,DriversGams!$A$5:$A$26,0),MATCH(Drivers!M$3,DriversGams!$A$5:$BA$5,0))</f>
        <v>2.4086925489767603</v>
      </c>
      <c r="N48" s="12">
        <f>INDEX(DriversGams!$A$5:$BA$26,MATCH(Drivers!$A48,DriversGams!$A$5:$A$26,0),MATCH(Drivers!N$3,DriversGams!$A$5:$BA$5,0))</f>
        <v>2.4195789758412829</v>
      </c>
      <c r="O48" s="12">
        <f>INDEX(DriversGams!$A$5:$BA$26,MATCH(Drivers!$A48,DriversGams!$A$5:$A$26,0),MATCH(Drivers!O$3,DriversGams!$A$5:$BA$5,0))</f>
        <v>2.4411264289663137</v>
      </c>
      <c r="P48" s="12">
        <f>INDEX(DriversGams!$A$5:$BA$26,MATCH(Drivers!$A48,DriversGams!$A$5:$A$26,0),MATCH(Drivers!P$3,DriversGams!$A$5:$BA$5,0))</f>
        <v>2.4727631212074122</v>
      </c>
      <c r="Q48" s="12">
        <f>INDEX(DriversGams!$A$5:$BA$26,MATCH(Drivers!$A48,DriversGams!$A$5:$A$26,0),MATCH(Drivers!Q$3,DriversGams!$A$5:$BA$5,0))</f>
        <v>2.5080972775303048</v>
      </c>
      <c r="R48" s="12">
        <f>INDEX(DriversGams!$A$5:$BA$26,MATCH(Drivers!$A48,DriversGams!$A$5:$A$26,0),MATCH(Drivers!R$3,DriversGams!$A$5:$BA$5,0))</f>
        <v>2.547905802121027</v>
      </c>
      <c r="S48" s="12">
        <f>INDEX(DriversGams!$A$5:$BA$26,MATCH(Drivers!$A48,DriversGams!$A$5:$A$26,0),MATCH(Drivers!S$3,DriversGams!$A$5:$BA$5,0))</f>
        <v>2.6053103797204962</v>
      </c>
      <c r="T48" s="12">
        <f>INDEX(DriversGams!$A$5:$BA$26,MATCH(Drivers!$A48,DriversGams!$A$5:$A$26,0),MATCH(Drivers!T$3,DriversGams!$A$5:$BA$5,0))</f>
        <v>2.6645275459795088</v>
      </c>
      <c r="U48" s="12">
        <f>INDEX(DriversGams!$A$5:$BA$26,MATCH(Drivers!$A48,DriversGams!$A$5:$A$26,0),MATCH(Drivers!U$3,DriversGams!$A$5:$BA$5,0))</f>
        <v>2.7445595935684075</v>
      </c>
      <c r="V48" s="12">
        <f>INDEX(DriversGams!$A$5:$BA$26,MATCH(Drivers!$A48,DriversGams!$A$5:$A$26,0),MATCH(Drivers!V$3,DriversGams!$A$5:$BA$5,0))</f>
        <v>2.8310560570119696</v>
      </c>
      <c r="W48" s="12">
        <f>INDEX(DriversGams!$A$5:$BA$26,MATCH(Drivers!$A48,DriversGams!$A$5:$A$26,0),MATCH(Drivers!W$3,DriversGams!$A$5:$BA$5,0))</f>
        <v>2.9192877776340405</v>
      </c>
      <c r="X48" s="12">
        <f>INDEX(DriversGams!$A$5:$BA$26,MATCH(Drivers!$A48,DriversGams!$A$5:$A$26,0),MATCH(Drivers!X$3,DriversGams!$A$5:$BA$5,0))</f>
        <v>3.0147697722362352</v>
      </c>
      <c r="Y48" s="12">
        <f>INDEX(DriversGams!$A$5:$BA$26,MATCH(Drivers!$A48,DriversGams!$A$5:$A$26,0),MATCH(Drivers!Y$3,DriversGams!$A$5:$BA$5,0))</f>
        <v>3.134317043268362</v>
      </c>
      <c r="Z48" s="12">
        <f>INDEX(DriversGams!$A$5:$BA$26,MATCH(Drivers!$A48,DriversGams!$A$5:$A$26,0),MATCH(Drivers!Z$3,DriversGams!$A$5:$BA$5,0))</f>
        <v>3.192222455353217</v>
      </c>
      <c r="AA48" s="12">
        <f>INDEX(DriversGams!$A$5:$BA$26,MATCH(Drivers!$A48,DriversGams!$A$5:$A$26,0),MATCH(Drivers!AA$3,DriversGams!$A$5:$BA$5,0))</f>
        <v>3.2770579061215916</v>
      </c>
      <c r="AB48" s="12">
        <f>INDEX(DriversGams!$A$5:$BA$26,MATCH(Drivers!$A48,DriversGams!$A$5:$A$26,0),MATCH(Drivers!AB$3,DriversGams!$A$5:$BA$5,0))</f>
        <v>3.3724324769177416</v>
      </c>
      <c r="AC48" s="12">
        <f>INDEX(DriversGams!$A$5:$BA$26,MATCH(Drivers!$A48,DriversGams!$A$5:$A$26,0),MATCH(Drivers!AC$3,DriversGams!$A$5:$BA$5,0))</f>
        <v>3.4719474385326765</v>
      </c>
      <c r="AD48" s="12">
        <f>INDEX(DriversGams!$A$5:$BA$26,MATCH(Drivers!$A48,DriversGams!$A$5:$A$26,0),MATCH(Drivers!AD$3,DriversGams!$A$5:$BA$5,0))</f>
        <v>3.5257860193262802</v>
      </c>
      <c r="AE48" s="12">
        <f>INDEX(DriversGams!$A$5:$BA$26,MATCH(Drivers!$A48,DriversGams!$A$5:$A$26,0),MATCH(Drivers!AE$3,DriversGams!$A$5:$BA$5,0))</f>
        <v>3.6337519185628313</v>
      </c>
      <c r="AF48" s="12">
        <f>INDEX(DriversGams!$A$5:$BA$26,MATCH(Drivers!$A48,DriversGams!$A$5:$A$26,0),MATCH(Drivers!AF$3,DriversGams!$A$5:$BA$5,0))</f>
        <v>4.201871517749372</v>
      </c>
      <c r="AG48" s="12">
        <f>INDEX(DriversGams!$A$5:$BA$26,MATCH(Drivers!$A48,DriversGams!$A$5:$A$26,0),MATCH(Drivers!AG$3,DriversGams!$A$5:$BA$5,0))</f>
        <v>4.7345789522639947</v>
      </c>
      <c r="AH48" s="12">
        <f>INDEX(DriversGams!$A$5:$BA$26,MATCH(Drivers!$A48,DriversGams!$A$5:$A$26,0),MATCH(Drivers!AH$3,DriversGams!$A$5:$BA$5,0))</f>
        <v>5.511065902454666</v>
      </c>
      <c r="AI48" s="12">
        <f t="shared" si="120"/>
        <v>6.1711848940915548</v>
      </c>
      <c r="AJ48" s="12">
        <f t="shared" si="121"/>
        <v>6.602422328432267</v>
      </c>
      <c r="AK48" s="12">
        <f t="shared" si="122"/>
        <v>6.7487288385822897</v>
      </c>
      <c r="AL48" s="111"/>
      <c r="AM48" s="111"/>
      <c r="AN48" s="12">
        <v>6.740936423599817</v>
      </c>
      <c r="AO48" s="12">
        <v>7.5483700913142799</v>
      </c>
      <c r="AP48" s="12">
        <v>8.0758441189923502</v>
      </c>
      <c r="AQ48" s="12">
        <v>8.2548009488935836</v>
      </c>
    </row>
    <row r="49" spans="1:43" ht="15">
      <c r="A49" s="119" t="s">
        <v>505</v>
      </c>
      <c r="B49">
        <f t="shared" si="123"/>
        <v>5</v>
      </c>
      <c r="C49" s="263">
        <v>138.08343097582718</v>
      </c>
      <c r="D49" s="263">
        <v>143.16360238477418</v>
      </c>
      <c r="E49" s="263">
        <v>146.98438355117329</v>
      </c>
      <c r="F49" s="263">
        <v>148.78204922418408</v>
      </c>
      <c r="G49" s="263">
        <v>151.86270236184362</v>
      </c>
      <c r="H49" s="263">
        <v>153.55950890468549</v>
      </c>
      <c r="I49" s="263">
        <v>155.74281242834212</v>
      </c>
      <c r="J49" s="12">
        <f>INDEX(DriversGams!$A$5:$BA$26,MATCH(Drivers!$A49,DriversGams!$A$5:$A$26,0),MATCH(Drivers!J$3,DriversGams!$A$5:$BA$5,0))</f>
        <v>155.24978901659696</v>
      </c>
      <c r="K49" s="12">
        <f>INDEX(DriversGams!$A$5:$BA$26,MATCH(Drivers!$A49,DriversGams!$A$5:$A$26,0),MATCH(Drivers!K$3,DriversGams!$A$5:$BA$5,0))</f>
        <v>147.28470676146</v>
      </c>
      <c r="L49" s="12">
        <f>INDEX(DriversGams!$A$5:$BA$26,MATCH(Drivers!$A49,DriversGams!$A$5:$A$26,0),MATCH(Drivers!L$3,DriversGams!$A$5:$BA$5,0))</f>
        <v>155.55972307307294</v>
      </c>
      <c r="M49" s="12">
        <f>INDEX(DriversGams!$A$5:$BA$26,MATCH(Drivers!$A49,DriversGams!$A$5:$A$26,0),MATCH(Drivers!M$3,DriversGams!$A$5:$BA$5,0))</f>
        <v>164.0985315917188</v>
      </c>
      <c r="N49" s="12">
        <f>INDEX(DriversGams!$A$5:$BA$26,MATCH(Drivers!$A49,DriversGams!$A$5:$A$26,0),MATCH(Drivers!N$3,DriversGams!$A$5:$BA$5,0))</f>
        <v>166.77631858618133</v>
      </c>
      <c r="O49" s="12">
        <f>INDEX(DriversGams!$A$5:$BA$26,MATCH(Drivers!$A49,DriversGams!$A$5:$A$26,0),MATCH(Drivers!O$3,DriversGams!$A$5:$BA$5,0))</f>
        <v>169.86380872561526</v>
      </c>
      <c r="P49" s="12">
        <f>INDEX(DriversGams!$A$5:$BA$26,MATCH(Drivers!$A49,DriversGams!$A$5:$A$26,0),MATCH(Drivers!P$3,DriversGams!$A$5:$BA$5,0))</f>
        <v>170.60430224543919</v>
      </c>
      <c r="Q49" s="12">
        <f>INDEX(DriversGams!$A$5:$BA$26,MATCH(Drivers!$A49,DriversGams!$A$5:$A$26,0),MATCH(Drivers!Q$3,DriversGams!$A$5:$BA$5,0))</f>
        <v>170.30484722089523</v>
      </c>
      <c r="R49" s="12">
        <f>INDEX(DriversGams!$A$5:$BA$26,MATCH(Drivers!$A49,DriversGams!$A$5:$A$26,0),MATCH(Drivers!R$3,DriversGams!$A$5:$BA$5,0))</f>
        <v>172.76565450152538</v>
      </c>
      <c r="S49" s="12">
        <f>INDEX(DriversGams!$A$5:$BA$26,MATCH(Drivers!$A49,DriversGams!$A$5:$A$26,0),MATCH(Drivers!S$3,DriversGams!$A$5:$BA$5,0))</f>
        <v>175.68477284603586</v>
      </c>
      <c r="T49" s="12">
        <f>INDEX(DriversGams!$A$5:$BA$26,MATCH(Drivers!$A49,DriversGams!$A$5:$A$26,0),MATCH(Drivers!T$3,DriversGams!$A$5:$BA$5,0))</f>
        <v>178.60020909732532</v>
      </c>
      <c r="U49" s="12">
        <f>INDEX(DriversGams!$A$5:$BA$26,MATCH(Drivers!$A49,DriversGams!$A$5:$A$26,0),MATCH(Drivers!U$3,DriversGams!$A$5:$BA$5,0))</f>
        <v>183.43324203521635</v>
      </c>
      <c r="V49" s="12">
        <f>INDEX(DriversGams!$A$5:$BA$26,MATCH(Drivers!$A49,DriversGams!$A$5:$A$26,0),MATCH(Drivers!V$3,DriversGams!$A$5:$BA$5,0))</f>
        <v>188.55208963704172</v>
      </c>
      <c r="W49" s="12">
        <f>INDEX(DriversGams!$A$5:$BA$26,MATCH(Drivers!$A49,DriversGams!$A$5:$A$26,0),MATCH(Drivers!W$3,DriversGams!$A$5:$BA$5,0))</f>
        <v>193.60962904314093</v>
      </c>
      <c r="X49" s="12">
        <f>INDEX(DriversGams!$A$5:$BA$26,MATCH(Drivers!$A49,DriversGams!$A$5:$A$26,0),MATCH(Drivers!X$3,DriversGams!$A$5:$BA$5,0))</f>
        <v>198.62951830339858</v>
      </c>
      <c r="Y49" s="12">
        <f>INDEX(DriversGams!$A$5:$BA$26,MATCH(Drivers!$A49,DriversGams!$A$5:$A$26,0),MATCH(Drivers!Y$3,DriversGams!$A$5:$BA$5,0))</f>
        <v>204.04491544579756</v>
      </c>
      <c r="Z49" s="12">
        <f>INDEX(DriversGams!$A$5:$BA$26,MATCH(Drivers!$A49,DriversGams!$A$5:$A$26,0),MATCH(Drivers!Z$3,DriversGams!$A$5:$BA$5,0))</f>
        <v>211.42116645276633</v>
      </c>
      <c r="AA49" s="12">
        <f>INDEX(DriversGams!$A$5:$BA$26,MATCH(Drivers!$A49,DriversGams!$A$5:$A$26,0),MATCH(Drivers!AA$3,DriversGams!$A$5:$BA$5,0))</f>
        <v>215.90674014754308</v>
      </c>
      <c r="AB49" s="12">
        <f>INDEX(DriversGams!$A$5:$BA$26,MATCH(Drivers!$A49,DriversGams!$A$5:$A$26,0),MATCH(Drivers!AB$3,DriversGams!$A$5:$BA$5,0))</f>
        <v>220.17454075050722</v>
      </c>
      <c r="AC49" s="12">
        <f>INDEX(DriversGams!$A$5:$BA$26,MATCH(Drivers!$A49,DriversGams!$A$5:$A$26,0),MATCH(Drivers!AC$3,DriversGams!$A$5:$BA$5,0))</f>
        <v>224.38010744525485</v>
      </c>
      <c r="AD49" s="12">
        <f>INDEX(DriversGams!$A$5:$BA$26,MATCH(Drivers!$A49,DriversGams!$A$5:$A$26,0),MATCH(Drivers!AD$3,DriversGams!$A$5:$BA$5,0))</f>
        <v>228.8727129602091</v>
      </c>
      <c r="AE49" s="12">
        <f>INDEX(DriversGams!$A$5:$BA$26,MATCH(Drivers!$A49,DriversGams!$A$5:$A$26,0),MATCH(Drivers!AE$3,DriversGams!$A$5:$BA$5,0))</f>
        <v>233.34866851490716</v>
      </c>
      <c r="AF49" s="12">
        <f>INDEX(DriversGams!$A$5:$BA$26,MATCH(Drivers!$A49,DriversGams!$A$5:$A$26,0),MATCH(Drivers!AF$3,DriversGams!$A$5:$BA$5,0))</f>
        <v>257.55974486931575</v>
      </c>
      <c r="AG49" s="12">
        <f>INDEX(DriversGams!$A$5:$BA$26,MATCH(Drivers!$A49,DriversGams!$A$5:$A$26,0),MATCH(Drivers!AG$3,DriversGams!$A$5:$BA$5,0))</f>
        <v>285.7016375440071</v>
      </c>
      <c r="AH49" s="12">
        <f>INDEX(DriversGams!$A$5:$BA$26,MATCH(Drivers!$A49,DriversGams!$A$5:$A$26,0),MATCH(Drivers!AH$3,DriversGams!$A$5:$BA$5,0))</f>
        <v>320.68038905799398</v>
      </c>
      <c r="AI49" s="12">
        <f t="shared" si="120"/>
        <v>359.09169075707206</v>
      </c>
      <c r="AJ49" s="12">
        <f t="shared" si="121"/>
        <v>384.18472913992929</v>
      </c>
      <c r="AK49" s="12">
        <f t="shared" si="122"/>
        <v>392.69807835894864</v>
      </c>
      <c r="AL49" s="111"/>
      <c r="AM49" s="111"/>
      <c r="AN49" s="12">
        <v>420.26625317254434</v>
      </c>
      <c r="AO49" s="12">
        <v>470.60601324322437</v>
      </c>
      <c r="AP49" s="12">
        <v>503.49158274392465</v>
      </c>
      <c r="AQ49" s="12">
        <v>514.64871458081916</v>
      </c>
    </row>
    <row r="50" spans="1:43" ht="15">
      <c r="A50" s="119" t="s">
        <v>580</v>
      </c>
      <c r="B50">
        <f t="shared" si="123"/>
        <v>6</v>
      </c>
      <c r="C50" s="263">
        <v>0.14875454246747444</v>
      </c>
      <c r="D50" s="263">
        <v>0.12</v>
      </c>
      <c r="E50" s="263">
        <v>0.12</v>
      </c>
      <c r="F50" s="263">
        <v>0.12</v>
      </c>
      <c r="G50" s="263">
        <v>0.12</v>
      </c>
      <c r="H50" s="263">
        <v>0.12</v>
      </c>
      <c r="I50" s="263">
        <v>0.12</v>
      </c>
      <c r="J50" s="12">
        <f>INDEX(DriversGams!$A$5:$BA$26,MATCH(Drivers!$A50,DriversGams!$A$5:$A$26,0),MATCH(Drivers!J$3,DriversGams!$A$5:$BA$5,0))</f>
        <v>0.12038694518980531</v>
      </c>
      <c r="K50" s="12">
        <f>INDEX(DriversGams!$A$5:$BA$26,MATCH(Drivers!$A50,DriversGams!$A$5:$A$26,0),MATCH(Drivers!K$3,DriversGams!$A$5:$BA$5,0))</f>
        <v>0.12038694518980536</v>
      </c>
      <c r="L50" s="12">
        <f>INDEX(DriversGams!$A$5:$BA$26,MATCH(Drivers!$A50,DriversGams!$A$5:$A$26,0),MATCH(Drivers!L$3,DriversGams!$A$5:$BA$5,0))</f>
        <v>0.12022528666913147</v>
      </c>
      <c r="M50" s="12">
        <f>INDEX(DriversGams!$A$5:$BA$26,MATCH(Drivers!$A50,DriversGams!$A$5:$A$26,0),MATCH(Drivers!M$3,DriversGams!$A$5:$BA$5,0))</f>
        <v>0.12020588390229525</v>
      </c>
      <c r="N50" s="12">
        <f>INDEX(DriversGams!$A$5:$BA$26,MATCH(Drivers!$A50,DriversGams!$A$5:$A$26,0),MATCH(Drivers!N$3,DriversGams!$A$5:$BA$5,0))</f>
        <v>0.12020588390229522</v>
      </c>
      <c r="O50" s="12">
        <f>INDEX(DriversGams!$A$5:$BA$26,MATCH(Drivers!$A50,DriversGams!$A$5:$A$26,0),MATCH(Drivers!O$3,DriversGams!$A$5:$BA$5,0))</f>
        <v>0.12020588390229527</v>
      </c>
      <c r="P50" s="12">
        <f>INDEX(DriversGams!$A$5:$BA$26,MATCH(Drivers!$A50,DriversGams!$A$5:$A$26,0),MATCH(Drivers!P$3,DriversGams!$A$5:$BA$5,0))</f>
        <v>0.12020588390229527</v>
      </c>
      <c r="Q50" s="12">
        <f>INDEX(DriversGams!$A$5:$BA$26,MATCH(Drivers!$A50,DriversGams!$A$5:$A$26,0),MATCH(Drivers!Q$3,DriversGams!$A$5:$BA$5,0))</f>
        <v>0.12020588390229515</v>
      </c>
      <c r="R50" s="12">
        <f>INDEX(DriversGams!$A$5:$BA$26,MATCH(Drivers!$A50,DriversGams!$A$5:$A$26,0),MATCH(Drivers!R$3,DriversGams!$A$5:$BA$5,0))</f>
        <v>0.12020588390229513</v>
      </c>
      <c r="S50" s="12">
        <f>INDEX(DriversGams!$A$5:$BA$26,MATCH(Drivers!$A50,DriversGams!$A$5:$A$26,0),MATCH(Drivers!S$3,DriversGams!$A$5:$BA$5,0))</f>
        <v>0.79628692474723328</v>
      </c>
      <c r="T50" s="12">
        <f>INDEX(DriversGams!$A$5:$BA$26,MATCH(Drivers!$A50,DriversGams!$A$5:$A$26,0),MATCH(Drivers!T$3,DriversGams!$A$5:$BA$5,0))</f>
        <v>0.87414594463790785</v>
      </c>
      <c r="U50" s="12">
        <f>INDEX(DriversGams!$A$5:$BA$26,MATCH(Drivers!$A50,DriversGams!$A$5:$A$26,0),MATCH(Drivers!U$3,DriversGams!$A$5:$BA$5,0))</f>
        <v>0.96540726594191928</v>
      </c>
      <c r="V50" s="12">
        <f>INDEX(DriversGams!$A$5:$BA$26,MATCH(Drivers!$A50,DriversGams!$A$5:$A$26,0),MATCH(Drivers!V$3,DriversGams!$A$5:$BA$5,0))</f>
        <v>1.0702079226512113</v>
      </c>
      <c r="W50" s="12">
        <f>INDEX(DriversGams!$A$5:$BA$26,MATCH(Drivers!$A50,DriversGams!$A$5:$A$26,0),MATCH(Drivers!W$3,DriversGams!$A$5:$BA$5,0))</f>
        <v>1.2073481930046241</v>
      </c>
      <c r="X50" s="12">
        <f>INDEX(DriversGams!$A$5:$BA$26,MATCH(Drivers!$A50,DriversGams!$A$5:$A$26,0),MATCH(Drivers!X$3,DriversGams!$A$5:$BA$5,0))</f>
        <v>1.62424563599329</v>
      </c>
      <c r="Y50" s="12">
        <f>INDEX(DriversGams!$A$5:$BA$26,MATCH(Drivers!$A50,DriversGams!$A$5:$A$26,0),MATCH(Drivers!Y$3,DriversGams!$A$5:$BA$5,0))</f>
        <v>3.3706300040352501</v>
      </c>
      <c r="Z50" s="12">
        <f>INDEX(DriversGams!$A$5:$BA$26,MATCH(Drivers!$A50,DriversGams!$A$5:$A$26,0),MATCH(Drivers!Z$3,DriversGams!$A$5:$BA$5,0))</f>
        <v>3.5159800490027906</v>
      </c>
      <c r="AA50" s="12">
        <f>INDEX(DriversGams!$A$5:$BA$26,MATCH(Drivers!$A50,DriversGams!$A$5:$A$26,0),MATCH(Drivers!AA$3,DriversGams!$A$5:$BA$5,0))</f>
        <v>3.6181963994829855</v>
      </c>
      <c r="AB50" s="12">
        <f>INDEX(DriversGams!$A$5:$BA$26,MATCH(Drivers!$A50,DriversGams!$A$5:$A$26,0),MATCH(Drivers!AB$3,DriversGams!$A$5:$BA$5,0))</f>
        <v>3.7399748805851982</v>
      </c>
      <c r="AC50" s="12">
        <f>INDEX(DriversGams!$A$5:$BA$26,MATCH(Drivers!$A50,DriversGams!$A$5:$A$26,0),MATCH(Drivers!AC$3,DriversGams!$A$5:$BA$5,0))</f>
        <v>3.8560411075916607</v>
      </c>
      <c r="AD50" s="12">
        <f>INDEX(DriversGams!$A$5:$BA$26,MATCH(Drivers!$A50,DriversGams!$A$5:$A$26,0),MATCH(Drivers!AD$3,DriversGams!$A$5:$BA$5,0))</f>
        <v>3.9895335241337699</v>
      </c>
      <c r="AE50" s="12">
        <f>INDEX(DriversGams!$A$5:$BA$26,MATCH(Drivers!$A50,DriversGams!$A$5:$A$26,0),MATCH(Drivers!AE$3,DriversGams!$A$5:$BA$5,0))</f>
        <v>4.1434181294657009</v>
      </c>
      <c r="AF50" s="12">
        <f>INDEX(DriversGams!$A$5:$BA$26,MATCH(Drivers!$A50,DriversGams!$A$5:$A$26,0),MATCH(Drivers!AF$3,DriversGams!$A$5:$BA$5,0))</f>
        <v>6.9725261708417836</v>
      </c>
      <c r="AG50" s="12">
        <f>INDEX(DriversGams!$A$5:$BA$26,MATCH(Drivers!$A50,DriversGams!$A$5:$A$26,0),MATCH(Drivers!AG$3,DriversGams!$A$5:$BA$5,0))</f>
        <v>15.718395597527099</v>
      </c>
      <c r="AH50" s="12">
        <f>INDEX(DriversGams!$A$5:$BA$26,MATCH(Drivers!$A50,DriversGams!$A$5:$A$26,0),MATCH(Drivers!AH$3,DriversGams!$A$5:$BA$5,0))</f>
        <v>21.993794181320439</v>
      </c>
      <c r="AI50" s="12">
        <f t="shared" si="120"/>
        <v>24.628224887506672</v>
      </c>
      <c r="AJ50" s="12">
        <f t="shared" si="121"/>
        <v>26.34922542389036</v>
      </c>
      <c r="AK50" s="12">
        <f t="shared" si="122"/>
        <v>26.933111613709578</v>
      </c>
      <c r="AL50" s="111"/>
      <c r="AM50" s="111"/>
      <c r="AN50" s="12">
        <v>0.32486440595661764</v>
      </c>
      <c r="AO50" s="12">
        <v>0.36377687187056762</v>
      </c>
      <c r="AP50" s="12">
        <v>0.38919730693939036</v>
      </c>
      <c r="AQ50" s="12">
        <v>0.39782173247679914</v>
      </c>
    </row>
    <row r="51" spans="1:43" ht="15">
      <c r="A51" s="119" t="s">
        <v>700</v>
      </c>
      <c r="B51">
        <f t="shared" si="123"/>
        <v>7</v>
      </c>
      <c r="C51" s="263">
        <v>0.28999999999999998</v>
      </c>
      <c r="D51" s="263">
        <v>0.28999999999999998</v>
      </c>
      <c r="E51" s="263">
        <v>0.28999999999999998</v>
      </c>
      <c r="F51" s="263">
        <v>0.28999999999999998</v>
      </c>
      <c r="G51" s="263">
        <v>0.28999999999999998</v>
      </c>
      <c r="H51" s="263">
        <v>0.28999999999999998</v>
      </c>
      <c r="I51" s="263">
        <v>0.28999999999999998</v>
      </c>
      <c r="J51" s="12">
        <f>INDEX(DriversGams!$A$5:$BA$26,MATCH(Drivers!$A51,DriversGams!$A$5:$A$26,0),MATCH(Drivers!J$3,DriversGams!$A$5:$BA$5,0))</f>
        <v>0.28999999999999998</v>
      </c>
      <c r="K51" s="12">
        <f>INDEX(DriversGams!$A$5:$BA$26,MATCH(Drivers!$A51,DriversGams!$A$5:$A$26,0),MATCH(Drivers!K$3,DriversGams!$A$5:$BA$5,0))</f>
        <v>0.29000000000000015</v>
      </c>
      <c r="L51" s="12">
        <f>INDEX(DriversGams!$A$5:$BA$26,MATCH(Drivers!$A51,DriversGams!$A$5:$A$26,0),MATCH(Drivers!L$3,DriversGams!$A$5:$BA$5,0))</f>
        <v>0.28961058094030462</v>
      </c>
      <c r="M51" s="12">
        <f>INDEX(DriversGams!$A$5:$BA$26,MATCH(Drivers!$A51,DriversGams!$A$5:$A$26,0),MATCH(Drivers!M$3,DriversGams!$A$5:$BA$5,0))</f>
        <v>0.28956384163336707</v>
      </c>
      <c r="N51" s="12">
        <f>INDEX(DriversGams!$A$5:$BA$26,MATCH(Drivers!$A51,DriversGams!$A$5:$A$26,0),MATCH(Drivers!N$3,DriversGams!$A$5:$BA$5,0))</f>
        <v>0.28956384163336696</v>
      </c>
      <c r="O51" s="12">
        <f>INDEX(DriversGams!$A$5:$BA$26,MATCH(Drivers!$A51,DriversGams!$A$5:$A$26,0),MATCH(Drivers!O$3,DriversGams!$A$5:$BA$5,0))</f>
        <v>0.28956384163336713</v>
      </c>
      <c r="P51" s="12">
        <f>INDEX(DriversGams!$A$5:$BA$26,MATCH(Drivers!$A51,DriversGams!$A$5:$A$26,0),MATCH(Drivers!P$3,DriversGams!$A$5:$BA$5,0))</f>
        <v>0.28956384163336713</v>
      </c>
      <c r="Q51" s="12">
        <f>INDEX(DriversGams!$A$5:$BA$26,MATCH(Drivers!$A51,DriversGams!$A$5:$A$26,0),MATCH(Drivers!Q$3,DriversGams!$A$5:$BA$5,0))</f>
        <v>0.28956384163336685</v>
      </c>
      <c r="R51" s="12">
        <f>INDEX(DriversGams!$A$5:$BA$26,MATCH(Drivers!$A51,DriversGams!$A$5:$A$26,0),MATCH(Drivers!R$3,DriversGams!$A$5:$BA$5,0))</f>
        <v>0.28956384163336674</v>
      </c>
      <c r="S51" s="12">
        <f>INDEX(DriversGams!$A$5:$BA$26,MATCH(Drivers!$A51,DriversGams!$A$5:$A$26,0),MATCH(Drivers!S$3,DriversGams!$A$5:$BA$5,0))</f>
        <v>0.28956384163336668</v>
      </c>
      <c r="T51" s="12">
        <f>INDEX(DriversGams!$A$5:$BA$26,MATCH(Drivers!$A51,DriversGams!$A$5:$A$26,0),MATCH(Drivers!T$3,DriversGams!$A$5:$BA$5,0))</f>
        <v>0.28956384163336674</v>
      </c>
      <c r="U51" s="12">
        <f>INDEX(DriversGams!$A$5:$BA$26,MATCH(Drivers!$A51,DriversGams!$A$5:$A$26,0),MATCH(Drivers!U$3,DriversGams!$A$5:$BA$5,0))</f>
        <v>0.28956384163336674</v>
      </c>
      <c r="V51" s="12">
        <f>INDEX(DriversGams!$A$5:$BA$26,MATCH(Drivers!$A51,DriversGams!$A$5:$A$26,0),MATCH(Drivers!V$3,DriversGams!$A$5:$BA$5,0))</f>
        <v>0.28956384163336674</v>
      </c>
      <c r="W51" s="12">
        <f>INDEX(DriversGams!$A$5:$BA$26,MATCH(Drivers!$A51,DriversGams!$A$5:$A$26,0),MATCH(Drivers!W$3,DriversGams!$A$5:$BA$5,0))</f>
        <v>0.28956384163336679</v>
      </c>
      <c r="X51" s="12">
        <f>INDEX(DriversGams!$A$5:$BA$26,MATCH(Drivers!$A51,DriversGams!$A$5:$A$26,0),MATCH(Drivers!X$3,DriversGams!$A$5:$BA$5,0))</f>
        <v>0.28956384163336685</v>
      </c>
      <c r="Y51" s="12">
        <f>INDEX(DriversGams!$A$5:$BA$26,MATCH(Drivers!$A51,DriversGams!$A$5:$A$26,0),MATCH(Drivers!Y$3,DriversGams!$A$5:$BA$5,0))</f>
        <v>0.28956384163336685</v>
      </c>
      <c r="Z51" s="12">
        <f>INDEX(DriversGams!$A$5:$BA$26,MATCH(Drivers!$A51,DriversGams!$A$5:$A$26,0),MATCH(Drivers!Z$3,DriversGams!$A$5:$BA$5,0))</f>
        <v>0.28956384163336696</v>
      </c>
      <c r="AA51" s="12">
        <f>INDEX(DriversGams!$A$5:$BA$26,MATCH(Drivers!$A51,DriversGams!$A$5:$A$26,0),MATCH(Drivers!AA$3,DriversGams!$A$5:$BA$5,0))</f>
        <v>0.28956384163336685</v>
      </c>
      <c r="AB51" s="12">
        <f>INDEX(DriversGams!$A$5:$BA$26,MATCH(Drivers!$A51,DriversGams!$A$5:$A$26,0),MATCH(Drivers!AB$3,DriversGams!$A$5:$BA$5,0))</f>
        <v>0.28956384163336668</v>
      </c>
      <c r="AC51" s="12">
        <f>INDEX(DriversGams!$A$5:$BA$26,MATCH(Drivers!$A51,DriversGams!$A$5:$A$26,0),MATCH(Drivers!AC$3,DriversGams!$A$5:$BA$5,0))</f>
        <v>0.28956384163336651</v>
      </c>
      <c r="AD51" s="12">
        <f>INDEX(DriversGams!$A$5:$BA$26,MATCH(Drivers!$A51,DriversGams!$A$5:$A$26,0),MATCH(Drivers!AD$3,DriversGams!$A$5:$BA$5,0))</f>
        <v>0.28956384163336646</v>
      </c>
      <c r="AE51" s="12">
        <f>INDEX(DriversGams!$A$5:$BA$26,MATCH(Drivers!$A51,DriversGams!$A$5:$A$26,0),MATCH(Drivers!AE$3,DriversGams!$A$5:$BA$5,0))</f>
        <v>0.28956384163336651</v>
      </c>
      <c r="AF51" s="12">
        <f>INDEX(DriversGams!$A$5:$BA$26,MATCH(Drivers!$A51,DriversGams!$A$5:$A$26,0),MATCH(Drivers!AF$3,DriversGams!$A$5:$BA$5,0))</f>
        <v>0.28956384163336635</v>
      </c>
      <c r="AG51" s="12">
        <f>INDEX(DriversGams!$A$5:$BA$26,MATCH(Drivers!$A51,DriversGams!$A$5:$A$26,0),MATCH(Drivers!AG$3,DriversGams!$A$5:$BA$5,0))</f>
        <v>0.28956384163336646</v>
      </c>
      <c r="AH51" s="12">
        <f>INDEX(DriversGams!$A$5:$BA$26,MATCH(Drivers!$A51,DriversGams!$A$5:$A$26,0),MATCH(Drivers!AH$3,DriversGams!$A$5:$BA$5,0))</f>
        <v>0.28956384163336668</v>
      </c>
      <c r="AI51" s="12">
        <f t="shared" si="120"/>
        <v>0.32424798341951078</v>
      </c>
      <c r="AJ51" s="12">
        <f t="shared" si="121"/>
        <v>0.34690617157294867</v>
      </c>
      <c r="AK51" s="12">
        <f t="shared" si="122"/>
        <v>0.35459344584708535</v>
      </c>
      <c r="AL51" s="111"/>
      <c r="AM51" s="111"/>
      <c r="AN51" s="12">
        <v>0.7850889810618259</v>
      </c>
      <c r="AO51" s="12">
        <v>0.87912744035387169</v>
      </c>
      <c r="AP51" s="12">
        <v>0.94056015843685992</v>
      </c>
      <c r="AQ51" s="12">
        <v>0.96140252015226446</v>
      </c>
    </row>
    <row r="52" spans="1:43" ht="15">
      <c r="A52" s="119" t="s">
        <v>701</v>
      </c>
      <c r="B52">
        <f t="shared" si="123"/>
        <v>8</v>
      </c>
      <c r="C52" s="263">
        <v>0.08</v>
      </c>
      <c r="D52" s="263">
        <v>0.08</v>
      </c>
      <c r="E52" s="263">
        <v>0.08</v>
      </c>
      <c r="F52" s="263">
        <v>0.08</v>
      </c>
      <c r="G52" s="263">
        <v>0.08</v>
      </c>
      <c r="H52" s="263">
        <v>0.08</v>
      </c>
      <c r="I52" s="263">
        <v>0.08</v>
      </c>
      <c r="J52" s="12">
        <f>INDEX(DriversGams!$A$5:$BA$26,MATCH(Drivers!$A52,DriversGams!$A$5:$A$26,0),MATCH(Drivers!J$3,DriversGams!$A$5:$BA$5,0))</f>
        <v>0.07816978240367306</v>
      </c>
      <c r="K52" s="12">
        <f>INDEX(DriversGams!$A$5:$BA$26,MATCH(Drivers!$A52,DriversGams!$A$5:$A$26,0),MATCH(Drivers!K$3,DriversGams!$A$5:$BA$5,0))</f>
        <v>0.078169782403673102</v>
      </c>
      <c r="L52" s="12">
        <f>INDEX(DriversGams!$A$5:$BA$26,MATCH(Drivers!$A52,DriversGams!$A$5:$A$26,0),MATCH(Drivers!L$3,DriversGams!$A$5:$BA$5,0))</f>
        <v>0.078064814116913656</v>
      </c>
      <c r="M52" s="12">
        <f>INDEX(DriversGams!$A$5:$BA$26,MATCH(Drivers!$A52,DriversGams!$A$5:$A$26,0),MATCH(Drivers!M$3,DriversGams!$A$5:$BA$5,0))</f>
        <v>0.078052215491213606</v>
      </c>
      <c r="N52" s="12">
        <f>INDEX(DriversGams!$A$5:$BA$26,MATCH(Drivers!$A52,DriversGams!$A$5:$A$26,0),MATCH(Drivers!N$3,DriversGams!$A$5:$BA$5,0))</f>
        <v>0.078052215491213592</v>
      </c>
      <c r="O52" s="12">
        <f>INDEX(DriversGams!$A$5:$BA$26,MATCH(Drivers!$A52,DriversGams!$A$5:$A$26,0),MATCH(Drivers!O$3,DriversGams!$A$5:$BA$5,0))</f>
        <v>0.078052215491213633</v>
      </c>
      <c r="P52" s="12">
        <f>INDEX(DriversGams!$A$5:$BA$26,MATCH(Drivers!$A52,DriversGams!$A$5:$A$26,0),MATCH(Drivers!P$3,DriversGams!$A$5:$BA$5,0))</f>
        <v>0.078052215491213633</v>
      </c>
      <c r="Q52" s="12">
        <f>INDEX(DriversGams!$A$5:$BA$26,MATCH(Drivers!$A52,DriversGams!$A$5:$A$26,0),MATCH(Drivers!Q$3,DriversGams!$A$5:$BA$5,0))</f>
        <v>0.078052215491213564</v>
      </c>
      <c r="R52" s="12">
        <f>INDEX(DriversGams!$A$5:$BA$26,MATCH(Drivers!$A52,DriversGams!$A$5:$A$26,0),MATCH(Drivers!R$3,DriversGams!$A$5:$BA$5,0))</f>
        <v>0.39476894375449628</v>
      </c>
      <c r="S52" s="12">
        <f>INDEX(DriversGams!$A$5:$BA$26,MATCH(Drivers!$A52,DriversGams!$A$5:$A$26,0),MATCH(Drivers!S$3,DriversGams!$A$5:$BA$5,0))</f>
        <v>0.048319974066512825</v>
      </c>
      <c r="T52" s="12">
        <f>INDEX(DriversGams!$A$5:$BA$26,MATCH(Drivers!$A52,DriversGams!$A$5:$A$26,0),MATCH(Drivers!T$3,DriversGams!$A$5:$BA$5,0))</f>
        <v>0.058553227908205857</v>
      </c>
      <c r="U52" s="12">
        <f>INDEX(DriversGams!$A$5:$BA$26,MATCH(Drivers!$A52,DriversGams!$A$5:$A$26,0),MATCH(Drivers!U$3,DriversGams!$A$5:$BA$5,0))</f>
        <v>0.054612754566393036</v>
      </c>
      <c r="V52" s="12">
        <f>INDEX(DriversGams!$A$5:$BA$26,MATCH(Drivers!$A52,DriversGams!$A$5:$A$26,0),MATCH(Drivers!V$3,DriversGams!$A$5:$BA$5,0))</f>
        <v>0.069032615412077517</v>
      </c>
      <c r="W52" s="12">
        <f>INDEX(DriversGams!$A$5:$BA$26,MATCH(Drivers!$A52,DriversGams!$A$5:$A$26,0),MATCH(Drivers!W$3,DriversGams!$A$5:$BA$5,0))</f>
        <v>0.20568645329988453</v>
      </c>
      <c r="X52" s="12">
        <f>INDEX(DriversGams!$A$5:$BA$26,MATCH(Drivers!$A52,DriversGams!$A$5:$A$26,0),MATCH(Drivers!X$3,DriversGams!$A$5:$BA$5,0))</f>
        <v>0.90854113771063749</v>
      </c>
      <c r="Y52" s="12">
        <f>INDEX(DriversGams!$A$5:$BA$26,MATCH(Drivers!$A52,DriversGams!$A$5:$A$26,0),MATCH(Drivers!Y$3,DriversGams!$A$5:$BA$5,0))</f>
        <v>0.090854113771063727</v>
      </c>
      <c r="Z52" s="12">
        <f>INDEX(DriversGams!$A$5:$BA$26,MATCH(Drivers!$A52,DriversGams!$A$5:$A$26,0),MATCH(Drivers!Z$3,DriversGams!$A$5:$BA$5,0))</f>
        <v>0.048154623080390431</v>
      </c>
      <c r="AA52" s="12">
        <f>INDEX(DriversGams!$A$5:$BA$26,MATCH(Drivers!$A52,DriversGams!$A$5:$A$26,0),MATCH(Drivers!AA$3,DriversGams!$A$5:$BA$5,0))</f>
        <v>0.022527584509679274</v>
      </c>
      <c r="AB52" s="12">
        <f>INDEX(DriversGams!$A$5:$BA$26,MATCH(Drivers!$A52,DriversGams!$A$5:$A$26,0),MATCH(Drivers!AB$3,DriversGams!$A$5:$BA$5,0))</f>
        <v>0.5322348297258046</v>
      </c>
      <c r="AC52" s="12">
        <f>INDEX(DriversGams!$A$5:$BA$26,MATCH(Drivers!$A52,DriversGams!$A$5:$A$26,0),MATCH(Drivers!AC$3,DriversGams!$A$5:$BA$5,0))</f>
        <v>0.36427910637806243</v>
      </c>
      <c r="AD52" s="12">
        <f>INDEX(DriversGams!$A$5:$BA$26,MATCH(Drivers!$A52,DriversGams!$A$5:$A$26,0),MATCH(Drivers!AD$3,DriversGams!$A$5:$BA$5,0))</f>
        <v>0.59843024204047546</v>
      </c>
      <c r="AE52" s="12">
        <f>INDEX(DriversGams!$A$5:$BA$26,MATCH(Drivers!$A52,DriversGams!$A$5:$A$26,0),MATCH(Drivers!AE$3,DriversGams!$A$5:$BA$5,0))</f>
        <v>0.25252276124662248</v>
      </c>
      <c r="AF52" s="12">
        <f>INDEX(DriversGams!$A$5:$BA$26,MATCH(Drivers!$A52,DriversGams!$A$5:$A$26,0),MATCH(Drivers!AF$3,DriversGams!$A$5:$BA$5,0))</f>
        <v>3.008798169399336</v>
      </c>
      <c r="AG52" s="12">
        <f>INDEX(DriversGams!$A$5:$BA$26,MATCH(Drivers!$A52,DriversGams!$A$5:$A$26,0),MATCH(Drivers!AG$3,DriversGams!$A$5:$BA$5,0))</f>
        <v>1.8957421079857588</v>
      </c>
      <c r="AH52" s="12">
        <f>INDEX(DriversGams!$A$5:$BA$26,MATCH(Drivers!$A52,DriversGams!$A$5:$A$26,0),MATCH(Drivers!AH$3,DriversGams!$A$5:$BA$5,0))</f>
        <v>0.38238726699116726</v>
      </c>
      <c r="AI52" s="12">
        <f t="shared" si="120"/>
        <v>0.42818985791800868</v>
      </c>
      <c r="AJ52" s="12">
        <f t="shared" si="121"/>
        <v>0.45811142061759108</v>
      </c>
      <c r="AK52" s="12">
        <f t="shared" si="122"/>
        <v>0.46826294984070638</v>
      </c>
      <c r="AL52" s="111"/>
      <c r="AM52" s="111"/>
      <c r="AN52" s="12">
        <v>0.21657627063774509</v>
      </c>
      <c r="AO52" s="12">
        <v>0.24251791458037844</v>
      </c>
      <c r="AP52" s="12">
        <v>0.25946487129292689</v>
      </c>
      <c r="AQ52" s="12">
        <v>0.26521448831786609</v>
      </c>
    </row>
    <row r="53" spans="1:43" ht="15">
      <c r="A53" s="119" t="s">
        <v>372</v>
      </c>
      <c r="B53">
        <f>B50+1</f>
        <v>7</v>
      </c>
      <c r="C53" s="263">
        <v>19.344853564503961</v>
      </c>
      <c r="D53" s="263">
        <v>19.93389877641825</v>
      </c>
      <c r="E53" s="263">
        <v>20.313674916573973</v>
      </c>
      <c r="F53" s="263">
        <v>20.822458982202448</v>
      </c>
      <c r="G53" s="263">
        <v>20.887687708565075</v>
      </c>
      <c r="H53" s="263">
        <v>21.03698901557286</v>
      </c>
      <c r="I53" s="263">
        <v>21.050034760845385</v>
      </c>
      <c r="J53" s="12">
        <f>INDEX(DriversGams!$A$5:$BA$26,MATCH(Drivers!$A53,DriversGams!$A$5:$A$26,0),MATCH(Drivers!J$3,DriversGams!$A$5:$BA$5,0))</f>
        <v>20.822016404955527</v>
      </c>
      <c r="K53" s="12">
        <f>INDEX(DriversGams!$A$5:$BA$26,MATCH(Drivers!$A53,DriversGams!$A$5:$A$26,0),MATCH(Drivers!K$3,DriversGams!$A$5:$BA$5,0))</f>
        <v>18.245672806412312</v>
      </c>
      <c r="L53" s="12">
        <f>INDEX(DriversGams!$A$5:$BA$26,MATCH(Drivers!$A53,DriversGams!$A$5:$A$26,0),MATCH(Drivers!L$3,DriversGams!$A$5:$BA$5,0))</f>
        <v>17.968277514369372</v>
      </c>
      <c r="M53" s="12">
        <f>INDEX(DriversGams!$A$5:$BA$26,MATCH(Drivers!$A53,DriversGams!$A$5:$A$26,0),MATCH(Drivers!M$3,DriversGams!$A$5:$BA$5,0))</f>
        <v>20.297778727294968</v>
      </c>
      <c r="N53" s="12">
        <f>INDEX(DriversGams!$A$5:$BA$26,MATCH(Drivers!$A53,DriversGams!$A$5:$A$26,0),MATCH(Drivers!N$3,DriversGams!$A$5:$BA$5,0))</f>
        <v>19.511739816161374</v>
      </c>
      <c r="O53" s="12">
        <f>INDEX(DriversGams!$A$5:$BA$26,MATCH(Drivers!$A53,DriversGams!$A$5:$A$26,0),MATCH(Drivers!O$3,DriversGams!$A$5:$BA$5,0))</f>
        <v>19.419933370855532</v>
      </c>
      <c r="P53" s="12">
        <f>INDEX(DriversGams!$A$5:$BA$26,MATCH(Drivers!$A53,DriversGams!$A$5:$A$26,0),MATCH(Drivers!P$3,DriversGams!$A$5:$BA$5,0))</f>
        <v>20.230287764173429</v>
      </c>
      <c r="Q53" s="12">
        <f>INDEX(DriversGams!$A$5:$BA$26,MATCH(Drivers!$A53,DriversGams!$A$5:$A$26,0),MATCH(Drivers!Q$3,DriversGams!$A$5:$BA$5,0))</f>
        <v>20.851795294301844</v>
      </c>
      <c r="R53" s="12">
        <f>INDEX(DriversGams!$A$5:$BA$26,MATCH(Drivers!$A53,DriversGams!$A$5:$A$26,0),MATCH(Drivers!R$3,DriversGams!$A$5:$BA$5,0))</f>
        <v>21.024299689464254</v>
      </c>
      <c r="S53" s="12">
        <f>INDEX(DriversGams!$A$5:$BA$26,MATCH(Drivers!$A53,DriversGams!$A$5:$A$26,0),MATCH(Drivers!S$3,DriversGams!$A$5:$BA$5,0))</f>
        <v>20.926928586078763</v>
      </c>
      <c r="T53" s="12">
        <f>INDEX(DriversGams!$A$5:$BA$26,MATCH(Drivers!$A53,DriversGams!$A$5:$A$26,0),MATCH(Drivers!T$3,DriversGams!$A$5:$BA$5,0))</f>
        <v>21.320898543174025</v>
      </c>
      <c r="U53" s="12">
        <f>INDEX(DriversGams!$A$5:$BA$26,MATCH(Drivers!$A53,DriversGams!$A$5:$A$26,0),MATCH(Drivers!U$3,DriversGams!$A$5:$BA$5,0))</f>
        <v>21.725199942329223</v>
      </c>
      <c r="V53" s="12">
        <f>INDEX(DriversGams!$A$5:$BA$26,MATCH(Drivers!$A53,DriversGams!$A$5:$A$26,0),MATCH(Drivers!V$3,DriversGams!$A$5:$BA$5,0))</f>
        <v>22.292977022765491</v>
      </c>
      <c r="W53" s="12">
        <f>INDEX(DriversGams!$A$5:$BA$26,MATCH(Drivers!$A53,DriversGams!$A$5:$A$26,0),MATCH(Drivers!W$3,DriversGams!$A$5:$BA$5,0))</f>
        <v>22.852014625999697</v>
      </c>
      <c r="X53" s="12">
        <f>INDEX(DriversGams!$A$5:$BA$26,MATCH(Drivers!$A53,DriversGams!$A$5:$A$26,0),MATCH(Drivers!X$3,DriversGams!$A$5:$BA$5,0))</f>
        <v>23.367883012444121</v>
      </c>
      <c r="Y53" s="12">
        <f>INDEX(DriversGams!$A$5:$BA$26,MATCH(Drivers!$A53,DriversGams!$A$5:$A$26,0),MATCH(Drivers!Y$3,DriversGams!$A$5:$BA$5,0))</f>
        <v>23.548303284807552</v>
      </c>
      <c r="Z53" s="12">
        <f>INDEX(DriversGams!$A$5:$BA$26,MATCH(Drivers!$A53,DriversGams!$A$5:$A$26,0),MATCH(Drivers!Z$3,DriversGams!$A$5:$BA$5,0))</f>
        <v>24.686569797245646</v>
      </c>
      <c r="AA53" s="12">
        <f>INDEX(DriversGams!$A$5:$BA$26,MATCH(Drivers!$A53,DriversGams!$A$5:$A$26,0),MATCH(Drivers!AA$3,DriversGams!$A$5:$BA$5,0))</f>
        <v>25.166541803148274</v>
      </c>
      <c r="AB53" s="12">
        <f>INDEX(DriversGams!$A$5:$BA$26,MATCH(Drivers!$A53,DriversGams!$A$5:$A$26,0),MATCH(Drivers!AB$3,DriversGams!$A$5:$BA$5,0))</f>
        <v>25.648451080370872</v>
      </c>
      <c r="AC53" s="12">
        <f>INDEX(DriversGams!$A$5:$BA$26,MATCH(Drivers!$A53,DriversGams!$A$5:$A$26,0),MATCH(Drivers!AC$3,DriversGams!$A$5:$BA$5,0))</f>
        <v>26.170862001434553</v>
      </c>
      <c r="AD53" s="12">
        <f>INDEX(DriversGams!$A$5:$BA$26,MATCH(Drivers!$A53,DriversGams!$A$5:$A$26,0),MATCH(Drivers!AD$3,DriversGams!$A$5:$BA$5,0))</f>
        <v>26.799710390822963</v>
      </c>
      <c r="AE53" s="12">
        <f>INDEX(DriversGams!$A$5:$BA$26,MATCH(Drivers!$A53,DriversGams!$A$5:$A$26,0),MATCH(Drivers!AE$3,DriversGams!$A$5:$BA$5,0))</f>
        <v>27.50629305481274</v>
      </c>
      <c r="AF53" s="12">
        <f>INDEX(DriversGams!$A$5:$BA$26,MATCH(Drivers!$A53,DriversGams!$A$5:$A$26,0),MATCH(Drivers!AF$3,DriversGams!$A$5:$BA$5,0))</f>
        <v>30.527408360949071</v>
      </c>
      <c r="AG53" s="12">
        <f>INDEX(DriversGams!$A$5:$BA$26,MATCH(Drivers!$A53,DriversGams!$A$5:$A$26,0),MATCH(Drivers!AG$3,DriversGams!$A$5:$BA$5,0))</f>
        <v>33.992601752950392</v>
      </c>
      <c r="AH53" s="12">
        <f>INDEX(DriversGams!$A$5:$BA$26,MATCH(Drivers!$A53,DriversGams!$A$5:$A$26,0),MATCH(Drivers!AH$3,DriversGams!$A$5:$BA$5,0))</f>
        <v>38.43938048003443</v>
      </c>
      <c r="AI53" s="12">
        <f t="shared" si="120"/>
        <v>43.043674010678842</v>
      </c>
      <c r="AJ53" s="12">
        <f t="shared" si="121"/>
        <v>46.051531312561806</v>
      </c>
      <c r="AK53" s="12">
        <f t="shared" si="122"/>
        <v>47.072011145303023</v>
      </c>
      <c r="AL53" s="111"/>
      <c r="AM53" s="111"/>
      <c r="AN53" s="12">
        <v>56.445190534962315</v>
      </c>
      <c r="AO53" s="12">
        <v>63.206231487511133</v>
      </c>
      <c r="AP53" s="12">
        <v>67.623032080719071</v>
      </c>
      <c r="AQ53" s="12">
        <v>69.121526017843848</v>
      </c>
    </row>
    <row r="54" spans="1:43" ht="15">
      <c r="A54" s="119" t="s">
        <v>371</v>
      </c>
      <c r="B54">
        <f t="shared" si="123"/>
        <v>8</v>
      </c>
      <c r="C54" s="263">
        <v>186.51301855651582</v>
      </c>
      <c r="D54" s="263">
        <v>191.20040429598868</v>
      </c>
      <c r="E54" s="263">
        <v>192.19084947996168</v>
      </c>
      <c r="F54" s="263">
        <v>198.3568473622208</v>
      </c>
      <c r="G54" s="263">
        <v>195.64424405359443</v>
      </c>
      <c r="H54" s="263">
        <v>201.78663829260577</v>
      </c>
      <c r="I54" s="263">
        <v>200.62824410860065</v>
      </c>
      <c r="J54" s="12">
        <f>INDEX(DriversGams!$A$5:$BA$26,MATCH(Drivers!$A54,DriversGams!$A$5:$A$26,0),MATCH(Drivers!J$3,DriversGams!$A$5:$BA$5,0))</f>
        <v>195.00072986244979</v>
      </c>
      <c r="K54" s="12">
        <f>INDEX(DriversGams!$A$5:$BA$26,MATCH(Drivers!$A54,DriversGams!$A$5:$A$26,0),MATCH(Drivers!K$3,DriversGams!$A$5:$BA$5,0))</f>
        <v>179.73255596926907</v>
      </c>
      <c r="L54" s="12">
        <f>INDEX(DriversGams!$A$5:$BA$26,MATCH(Drivers!$A54,DriversGams!$A$5:$A$26,0),MATCH(Drivers!L$3,DriversGams!$A$5:$BA$5,0))</f>
        <v>198.79605458683457</v>
      </c>
      <c r="M54" s="12">
        <f>INDEX(DriversGams!$A$5:$BA$26,MATCH(Drivers!$A54,DriversGams!$A$5:$A$26,0),MATCH(Drivers!M$3,DriversGams!$A$5:$BA$5,0))</f>
        <v>187.41039382948765</v>
      </c>
      <c r="N54" s="12">
        <f>INDEX(DriversGams!$A$5:$BA$26,MATCH(Drivers!$A54,DriversGams!$A$5:$A$26,0),MATCH(Drivers!N$3,DriversGams!$A$5:$BA$5,0))</f>
        <v>189.51550412720701</v>
      </c>
      <c r="O54" s="12">
        <f>INDEX(DriversGams!$A$5:$BA$26,MATCH(Drivers!$A54,DriversGams!$A$5:$A$26,0),MATCH(Drivers!O$3,DriversGams!$A$5:$BA$5,0))</f>
        <v>190.12361450302745</v>
      </c>
      <c r="P54" s="12">
        <f>INDEX(DriversGams!$A$5:$BA$26,MATCH(Drivers!$A54,DriversGams!$A$5:$A$26,0),MATCH(Drivers!P$3,DriversGams!$A$5:$BA$5,0))</f>
        <v>192.3480062503094</v>
      </c>
      <c r="Q54" s="12">
        <f>INDEX(DriversGams!$A$5:$BA$26,MATCH(Drivers!$A54,DriversGams!$A$5:$A$26,0),MATCH(Drivers!Q$3,DriversGams!$A$5:$BA$5,0))</f>
        <v>195.96592984419848</v>
      </c>
      <c r="R54" s="12">
        <f>INDEX(DriversGams!$A$5:$BA$26,MATCH(Drivers!$A54,DriversGams!$A$5:$A$26,0),MATCH(Drivers!R$3,DriversGams!$A$5:$BA$5,0))</f>
        <v>198.31811927110249</v>
      </c>
      <c r="S54" s="12">
        <f>INDEX(DriversGams!$A$5:$BA$26,MATCH(Drivers!$A54,DriversGams!$A$5:$A$26,0),MATCH(Drivers!S$3,DriversGams!$A$5:$BA$5,0))</f>
        <v>200.80447545499288</v>
      </c>
      <c r="T54" s="12">
        <f>INDEX(DriversGams!$A$5:$BA$26,MATCH(Drivers!$A54,DriversGams!$A$5:$A$26,0),MATCH(Drivers!T$3,DriversGams!$A$5:$BA$5,0))</f>
        <v>204.52138895807218</v>
      </c>
      <c r="U54" s="12">
        <f>INDEX(DriversGams!$A$5:$BA$26,MATCH(Drivers!$A54,DriversGams!$A$5:$A$26,0),MATCH(Drivers!U$3,DriversGams!$A$5:$BA$5,0))</f>
        <v>208.73075661773726</v>
      </c>
      <c r="V54" s="12">
        <f>INDEX(DriversGams!$A$5:$BA$26,MATCH(Drivers!$A54,DriversGams!$A$5:$A$26,0),MATCH(Drivers!V$3,DriversGams!$A$5:$BA$5,0))</f>
        <v>213.75568070850454</v>
      </c>
      <c r="W54" s="12">
        <f>INDEX(DriversGams!$A$5:$BA$26,MATCH(Drivers!$A54,DriversGams!$A$5:$A$26,0),MATCH(Drivers!W$3,DriversGams!$A$5:$BA$5,0))</f>
        <v>218.97100237243149</v>
      </c>
      <c r="X54" s="12">
        <f>INDEX(DriversGams!$A$5:$BA$26,MATCH(Drivers!$A54,DriversGams!$A$5:$A$26,0),MATCH(Drivers!X$3,DriversGams!$A$5:$BA$5,0))</f>
        <v>224.48638037976906</v>
      </c>
      <c r="Y54" s="12">
        <f>INDEX(DriversGams!$A$5:$BA$26,MATCH(Drivers!$A54,DriversGams!$A$5:$A$26,0),MATCH(Drivers!Y$3,DriversGams!$A$5:$BA$5,0))</f>
        <v>230.45571053803792</v>
      </c>
      <c r="Z54" s="12">
        <f>INDEX(DriversGams!$A$5:$BA$26,MATCH(Drivers!$A54,DriversGams!$A$5:$A$26,0),MATCH(Drivers!Z$3,DriversGams!$A$5:$BA$5,0))</f>
        <v>238.38873936635258</v>
      </c>
      <c r="AA54" s="12">
        <f>INDEX(DriversGams!$A$5:$BA$26,MATCH(Drivers!$A54,DriversGams!$A$5:$A$26,0),MATCH(Drivers!AA$3,DriversGams!$A$5:$BA$5,0))</f>
        <v>243.91962662957428</v>
      </c>
      <c r="AB54" s="12">
        <f>INDEX(DriversGams!$A$5:$BA$26,MATCH(Drivers!$A54,DriversGams!$A$5:$A$26,0),MATCH(Drivers!AB$3,DriversGams!$A$5:$BA$5,0))</f>
        <v>249.47050386875429</v>
      </c>
      <c r="AC54" s="12">
        <f>INDEX(DriversGams!$A$5:$BA$26,MATCH(Drivers!$A54,DriversGams!$A$5:$A$26,0),MATCH(Drivers!AC$3,DriversGams!$A$5:$BA$5,0))</f>
        <v>255.2667612223425</v>
      </c>
      <c r="AD54" s="12">
        <f>INDEX(DriversGams!$A$5:$BA$26,MATCH(Drivers!$A54,DriversGams!$A$5:$A$26,0),MATCH(Drivers!AD$3,DriversGams!$A$5:$BA$5,0))</f>
        <v>261.28221837925156</v>
      </c>
      <c r="AE54" s="12">
        <f>INDEX(DriversGams!$A$5:$BA$26,MATCH(Drivers!$A54,DriversGams!$A$5:$A$26,0),MATCH(Drivers!AE$3,DriversGams!$A$5:$BA$5,0))</f>
        <v>268.04911850568794</v>
      </c>
      <c r="AF54" s="12">
        <f>INDEX(DriversGams!$A$5:$BA$26,MATCH(Drivers!$A54,DriversGams!$A$5:$A$26,0),MATCH(Drivers!AF$3,DriversGams!$A$5:$BA$5,0))</f>
        <v>300.40611099435932</v>
      </c>
      <c r="AG54" s="12">
        <f>INDEX(DriversGams!$A$5:$BA$26,MATCH(Drivers!$A54,DriversGams!$A$5:$A$26,0),MATCH(Drivers!AG$3,DriversGams!$A$5:$BA$5,0))</f>
        <v>346.55220454417588</v>
      </c>
      <c r="AH54" s="12">
        <f>INDEX(DriversGams!$A$5:$BA$26,MATCH(Drivers!$A54,DriversGams!$A$5:$A$26,0),MATCH(Drivers!AH$3,DriversGams!$A$5:$BA$5,0))</f>
        <v>398.56545153716036</v>
      </c>
      <c r="AI54" s="12">
        <f t="shared" si="120"/>
        <v>444.68504824604099</v>
      </c>
      <c r="AJ54" s="12">
        <f t="shared" si="121"/>
        <v>474.66031362600989</v>
      </c>
      <c r="AK54" s="12">
        <f t="shared" si="122"/>
        <v>484.52830132085523</v>
      </c>
      <c r="AL54" s="111"/>
      <c r="AM54" s="111"/>
      <c r="AN54" s="12">
        <v>525.77604326701203</v>
      </c>
      <c r="AO54" s="12">
        <v>586.61568448815979</v>
      </c>
      <c r="AP54" s="12">
        <v>626.15818965657195</v>
      </c>
      <c r="AQ54" s="12">
        <v>639.17575428790974</v>
      </c>
    </row>
    <row r="55" spans="1:43" ht="15">
      <c r="A55" s="119" t="s">
        <v>698</v>
      </c>
      <c r="B55">
        <f t="shared" si="123"/>
        <v>9</v>
      </c>
      <c r="C55" s="263">
        <v>91.99927686334776</v>
      </c>
      <c r="D55" s="263">
        <v>94.311373368720652</v>
      </c>
      <c r="E55" s="263">
        <v>94.799919645026264</v>
      </c>
      <c r="F55" s="263">
        <v>97.841355308332979</v>
      </c>
      <c r="G55" s="263">
        <v>96.503338558927737</v>
      </c>
      <c r="H55" s="263">
        <v>99.533131506208818</v>
      </c>
      <c r="I55" s="263">
        <v>98.961742827413289</v>
      </c>
      <c r="J55" s="12">
        <f>INDEX(DriversGams!$A$5:$BA$26,MATCH(Drivers!$A55,DriversGams!$A$5:$A$26,0),MATCH(Drivers!J$3,DriversGams!$A$5:$BA$5,0))</f>
        <v>97.599403971329423</v>
      </c>
      <c r="K55" s="12">
        <f>INDEX(DriversGams!$A$5:$BA$26,MATCH(Drivers!$A55,DriversGams!$A$5:$A$26,0),MATCH(Drivers!K$3,DriversGams!$A$5:$BA$5,0))</f>
        <v>88.821641527190579</v>
      </c>
      <c r="L55" s="12">
        <f>INDEX(DriversGams!$A$5:$BA$26,MATCH(Drivers!$A55,DriversGams!$A$5:$A$26,0),MATCH(Drivers!L$3,DriversGams!$A$5:$BA$5,0))</f>
        <v>137.12826869870725</v>
      </c>
      <c r="M55" s="12">
        <f>INDEX(DriversGams!$A$5:$BA$26,MATCH(Drivers!$A55,DriversGams!$A$5:$A$26,0),MATCH(Drivers!M$3,DriversGams!$A$5:$BA$5,0))</f>
        <v>107.35865439435716</v>
      </c>
      <c r="N55" s="12">
        <f>INDEX(DriversGams!$A$5:$BA$26,MATCH(Drivers!$A55,DriversGams!$A$5:$A$26,0),MATCH(Drivers!N$3,DriversGams!$A$5:$BA$5,0))</f>
        <v>115.68514865824622</v>
      </c>
      <c r="O55" s="12">
        <f>INDEX(DriversGams!$A$5:$BA$26,MATCH(Drivers!$A55,DriversGams!$A$5:$A$26,0),MATCH(Drivers!O$3,DriversGams!$A$5:$BA$5,0))</f>
        <v>119.8450832672882</v>
      </c>
      <c r="P55" s="12">
        <f>INDEX(DriversGams!$A$5:$BA$26,MATCH(Drivers!$A55,DriversGams!$A$5:$A$26,0),MATCH(Drivers!P$3,DriversGams!$A$5:$BA$5,0))</f>
        <v>123.32518267018244</v>
      </c>
      <c r="Q55" s="12">
        <f>INDEX(DriversGams!$A$5:$BA$26,MATCH(Drivers!$A55,DriversGams!$A$5:$A$26,0),MATCH(Drivers!Q$3,DriversGams!$A$5:$BA$5,0))</f>
        <v>126.70762284135432</v>
      </c>
      <c r="R55" s="12">
        <f>INDEX(DriversGams!$A$5:$BA$26,MATCH(Drivers!$A55,DriversGams!$A$5:$A$26,0),MATCH(Drivers!R$3,DriversGams!$A$5:$BA$5,0))</f>
        <v>131.97839148023411</v>
      </c>
      <c r="S55" s="12">
        <f>INDEX(DriversGams!$A$5:$BA$26,MATCH(Drivers!$A55,DriversGams!$A$5:$A$26,0),MATCH(Drivers!S$3,DriversGams!$A$5:$BA$5,0))</f>
        <v>137.11411320045573</v>
      </c>
      <c r="T55" s="12">
        <f>INDEX(DriversGams!$A$5:$BA$26,MATCH(Drivers!$A55,DriversGams!$A$5:$A$26,0),MATCH(Drivers!T$3,DriversGams!$A$5:$BA$5,0))</f>
        <v>143.5365499204319</v>
      </c>
      <c r="U55" s="12">
        <f>INDEX(DriversGams!$A$5:$BA$26,MATCH(Drivers!$A55,DriversGams!$A$5:$A$26,0),MATCH(Drivers!U$3,DriversGams!$A$5:$BA$5,0))</f>
        <v>149.88586159222774</v>
      </c>
      <c r="V55" s="12">
        <f>INDEX(DriversGams!$A$5:$BA$26,MATCH(Drivers!$A55,DriversGams!$A$5:$A$26,0),MATCH(Drivers!V$3,DriversGams!$A$5:$BA$5,0))</f>
        <v>156.80273370104427</v>
      </c>
      <c r="W55" s="12">
        <f>INDEX(DriversGams!$A$5:$BA$26,MATCH(Drivers!$A55,DriversGams!$A$5:$A$26,0),MATCH(Drivers!W$3,DriversGams!$A$5:$BA$5,0))</f>
        <v>163.91167811527436</v>
      </c>
      <c r="X55" s="12">
        <f>INDEX(DriversGams!$A$5:$BA$26,MATCH(Drivers!$A55,DriversGams!$A$5:$A$26,0),MATCH(Drivers!X$3,DriversGams!$A$5:$BA$5,0))</f>
        <v>171.39097393497522</v>
      </c>
      <c r="Y55" s="12">
        <f>INDEX(DriversGams!$A$5:$BA$26,MATCH(Drivers!$A55,DriversGams!$A$5:$A$26,0),MATCH(Drivers!Y$3,DriversGams!$A$5:$BA$5,0))</f>
        <v>179.66639718664979</v>
      </c>
      <c r="Z55" s="12">
        <f>INDEX(DriversGams!$A$5:$BA$26,MATCH(Drivers!$A55,DriversGams!$A$5:$A$26,0),MATCH(Drivers!Z$3,DriversGams!$A$5:$BA$5,0))</f>
        <v>191.65871867859605</v>
      </c>
      <c r="AA55" s="12">
        <f>INDEX(DriversGams!$A$5:$BA$26,MATCH(Drivers!$A55,DriversGams!$A$5:$A$26,0),MATCH(Drivers!AA$3,DriversGams!$A$5:$BA$5,0))</f>
        <v>201.02207238907511</v>
      </c>
      <c r="AB55" s="12">
        <f>INDEX(DriversGams!$A$5:$BA$26,MATCH(Drivers!$A55,DriversGams!$A$5:$A$26,0),MATCH(Drivers!AB$3,DriversGams!$A$5:$BA$5,0))</f>
        <v>210.12988162189822</v>
      </c>
      <c r="AC55" s="12">
        <f>INDEX(DriversGams!$A$5:$BA$26,MATCH(Drivers!$A55,DriversGams!$A$5:$A$26,0),MATCH(Drivers!AC$3,DriversGams!$A$5:$BA$5,0))</f>
        <v>219.12818280897704</v>
      </c>
      <c r="AD55" s="12">
        <f>INDEX(DriversGams!$A$5:$BA$26,MATCH(Drivers!$A55,DriversGams!$A$5:$A$26,0),MATCH(Drivers!AD$3,DriversGams!$A$5:$BA$5,0))</f>
        <v>227.90130211423406</v>
      </c>
      <c r="AE55" s="12">
        <f>INDEX(DriversGams!$A$5:$BA$26,MATCH(Drivers!$A55,DriversGams!$A$5:$A$26,0),MATCH(Drivers!AE$3,DriversGams!$A$5:$BA$5,0))</f>
        <v>236.49186859487747</v>
      </c>
      <c r="AF55" s="12">
        <f>INDEX(DriversGams!$A$5:$BA$26,MATCH(Drivers!$A55,DriversGams!$A$5:$A$26,0),MATCH(Drivers!AF$3,DriversGams!$A$5:$BA$5,0))</f>
        <v>274.33958323211903</v>
      </c>
      <c r="AG55" s="12">
        <f>INDEX(DriversGams!$A$5:$BA$26,MATCH(Drivers!$A55,DriversGams!$A$5:$A$26,0),MATCH(Drivers!AG$3,DriversGams!$A$5:$BA$5,0))</f>
        <v>314.49579131717167</v>
      </c>
      <c r="AH55" s="12">
        <f>INDEX(DriversGams!$A$5:$BA$26,MATCH(Drivers!$A55,DriversGams!$A$5:$A$26,0),MATCH(Drivers!AH$3,DriversGams!$A$5:$BA$5,0))</f>
        <v>380.09919984608592</v>
      </c>
      <c r="AI55" s="12">
        <f t="shared" si="120"/>
        <v>425.62772462976329</v>
      </c>
      <c r="AJ55" s="12">
        <f t="shared" si="121"/>
        <v>455.37024751695571</v>
      </c>
      <c r="AK55" s="12">
        <f t="shared" si="122"/>
        <v>465.46103365971032</v>
      </c>
      <c r="AL55" s="111"/>
      <c r="AM55" s="111"/>
      <c r="AN55" s="12">
        <v>264.46669848251645</v>
      </c>
      <c r="AO55" s="12">
        <v>296.1446884419646</v>
      </c>
      <c r="AP55" s="12">
        <v>316.83904095757532</v>
      </c>
      <c r="AQ55" s="12">
        <v>323.8600420471542</v>
      </c>
    </row>
    <row r="56" spans="1:43" ht="15">
      <c r="A56" s="119" t="s">
        <v>510</v>
      </c>
      <c r="B56">
        <f t="shared" si="123"/>
        <v>10</v>
      </c>
      <c r="C56" s="263">
        <v>18.748363502594032</v>
      </c>
      <c r="D56" s="263">
        <v>15.909210489014884</v>
      </c>
      <c r="E56" s="263">
        <v>14.603991495393339</v>
      </c>
      <c r="F56" s="263">
        <v>14.80978596739901</v>
      </c>
      <c r="G56" s="263">
        <v>14.414883061658401</v>
      </c>
      <c r="H56" s="263">
        <v>13.877221828490436</v>
      </c>
      <c r="I56" s="263">
        <v>13.621369241672575</v>
      </c>
      <c r="J56" s="12">
        <f>INDEX(DriversGams!$A$5:$BA$26,MATCH(Drivers!$A56,DriversGams!$A$5:$A$26,0),MATCH(Drivers!J$3,DriversGams!$A$5:$BA$5,0))</f>
        <v>13.081394956063207</v>
      </c>
      <c r="K56" s="12">
        <f>INDEX(DriversGams!$A$5:$BA$26,MATCH(Drivers!$A56,DriversGams!$A$5:$A$26,0),MATCH(Drivers!K$3,DriversGams!$A$5:$BA$5,0))</f>
        <v>11.008047680789192</v>
      </c>
      <c r="L56" s="12">
        <f>INDEX(DriversGams!$A$5:$BA$26,MATCH(Drivers!$A56,DriversGams!$A$5:$A$26,0),MATCH(Drivers!L$3,DriversGams!$A$5:$BA$5,0))</f>
        <v>10.362961607996095</v>
      </c>
      <c r="M56" s="12">
        <f>INDEX(DriversGams!$A$5:$BA$26,MATCH(Drivers!$A56,DriversGams!$A$5:$A$26,0),MATCH(Drivers!M$3,DriversGams!$A$5:$BA$5,0))</f>
        <v>11.943759156694888</v>
      </c>
      <c r="N56" s="12">
        <f>INDEX(DriversGams!$A$5:$BA$26,MATCH(Drivers!$A56,DriversGams!$A$5:$A$26,0),MATCH(Drivers!N$3,DriversGams!$A$5:$BA$5,0))</f>
        <v>11.302647340740405</v>
      </c>
      <c r="O56" s="12">
        <f>INDEX(DriversGams!$A$5:$BA$26,MATCH(Drivers!$A56,DriversGams!$A$5:$A$26,0),MATCH(Drivers!O$3,DriversGams!$A$5:$BA$5,0))</f>
        <v>11.225176815463819</v>
      </c>
      <c r="P56" s="12">
        <f>INDEX(DriversGams!$A$5:$BA$26,MATCH(Drivers!$A56,DriversGams!$A$5:$A$26,0),MATCH(Drivers!P$3,DriversGams!$A$5:$BA$5,0))</f>
        <v>11.278665916925577</v>
      </c>
      <c r="Q56" s="12">
        <f>INDEX(DriversGams!$A$5:$BA$26,MATCH(Drivers!$A56,DriversGams!$A$5:$A$26,0),MATCH(Drivers!Q$3,DriversGams!$A$5:$BA$5,0))</f>
        <v>11.543391847825426</v>
      </c>
      <c r="R56" s="12">
        <f>INDEX(DriversGams!$A$5:$BA$26,MATCH(Drivers!$A56,DriversGams!$A$5:$A$26,0),MATCH(Drivers!R$3,DriversGams!$A$5:$BA$5,0))</f>
        <v>11.532402438164802</v>
      </c>
      <c r="S56" s="12">
        <f>INDEX(DriversGams!$A$5:$BA$26,MATCH(Drivers!$A56,DriversGams!$A$5:$A$26,0),MATCH(Drivers!S$3,DriversGams!$A$5:$BA$5,0))</f>
        <v>11.52740801681389</v>
      </c>
      <c r="T56" s="12">
        <f>INDEX(DriversGams!$A$5:$BA$26,MATCH(Drivers!$A56,DriversGams!$A$5:$A$26,0),MATCH(Drivers!T$3,DriversGams!$A$5:$BA$5,0))</f>
        <v>11.667432918222428</v>
      </c>
      <c r="U56" s="12">
        <f>INDEX(DriversGams!$A$5:$BA$26,MATCH(Drivers!$A56,DriversGams!$A$5:$A$26,0),MATCH(Drivers!U$3,DriversGams!$A$5:$BA$5,0))</f>
        <v>11.875968779944991</v>
      </c>
      <c r="V56" s="12">
        <f>INDEX(DriversGams!$A$5:$BA$26,MATCH(Drivers!$A56,DriversGams!$A$5:$A$26,0),MATCH(Drivers!V$3,DriversGams!$A$5:$BA$5,0))</f>
        <v>12.127891442455146</v>
      </c>
      <c r="W56" s="12">
        <f>INDEX(DriversGams!$A$5:$BA$26,MATCH(Drivers!$A56,DriversGams!$A$5:$A$26,0),MATCH(Drivers!W$3,DriversGams!$A$5:$BA$5,0))</f>
        <v>12.393640097119745</v>
      </c>
      <c r="X56" s="12">
        <f>INDEX(DriversGams!$A$5:$BA$26,MATCH(Drivers!$A56,DriversGams!$A$5:$A$26,0),MATCH(Drivers!X$3,DriversGams!$A$5:$BA$5,0))</f>
        <v>12.690834951211119</v>
      </c>
      <c r="Y56" s="12">
        <f>INDEX(DriversGams!$A$5:$BA$26,MATCH(Drivers!$A56,DriversGams!$A$5:$A$26,0),MATCH(Drivers!Y$3,DriversGams!$A$5:$BA$5,0))</f>
        <v>12.96829598282878</v>
      </c>
      <c r="Z56" s="12">
        <f>INDEX(DriversGams!$A$5:$BA$26,MATCH(Drivers!$A56,DriversGams!$A$5:$A$26,0),MATCH(Drivers!Z$3,DriversGams!$A$5:$BA$5,0))</f>
        <v>13.77563211275554</v>
      </c>
      <c r="AA56" s="12">
        <f>INDEX(DriversGams!$A$5:$BA$26,MATCH(Drivers!$A56,DriversGams!$A$5:$A$26,0),MATCH(Drivers!AA$3,DriversGams!$A$5:$BA$5,0))</f>
        <v>14.007952517180815</v>
      </c>
      <c r="AB56" s="12">
        <f>INDEX(DriversGams!$A$5:$BA$26,MATCH(Drivers!$A56,DriversGams!$A$5:$A$26,0),MATCH(Drivers!AB$3,DriversGams!$A$5:$BA$5,0))</f>
        <v>14.332367529651002</v>
      </c>
      <c r="AC56" s="12">
        <f>INDEX(DriversGams!$A$5:$BA$26,MATCH(Drivers!$A56,DriversGams!$A$5:$A$26,0),MATCH(Drivers!AC$3,DriversGams!$A$5:$BA$5,0))</f>
        <v>14.677600300657661</v>
      </c>
      <c r="AD56" s="12">
        <f>INDEX(DriversGams!$A$5:$BA$26,MATCH(Drivers!$A56,DriversGams!$A$5:$A$26,0),MATCH(Drivers!AD$3,DriversGams!$A$5:$BA$5,0))</f>
        <v>15.064222342814331</v>
      </c>
      <c r="AE56" s="12">
        <f>INDEX(DriversGams!$A$5:$BA$26,MATCH(Drivers!$A56,DriversGams!$A$5:$A$26,0),MATCH(Drivers!AE$3,DriversGams!$A$5:$BA$5,0))</f>
        <v>15.469084059968909</v>
      </c>
      <c r="AF56" s="12">
        <f>INDEX(DriversGams!$A$5:$BA$26,MATCH(Drivers!$A56,DriversGams!$A$5:$A$26,0),MATCH(Drivers!AF$3,DriversGams!$A$5:$BA$5,0))</f>
        <v>17.257297106921268</v>
      </c>
      <c r="AG56" s="12">
        <f>INDEX(DriversGams!$A$5:$BA$26,MATCH(Drivers!$A56,DriversGams!$A$5:$A$26,0),MATCH(Drivers!AG$3,DriversGams!$A$5:$BA$5,0))</f>
        <v>19.610694675490787</v>
      </c>
      <c r="AH56" s="12">
        <f>INDEX(DriversGams!$A$5:$BA$26,MATCH(Drivers!$A56,DriversGams!$A$5:$A$26,0),MATCH(Drivers!AH$3,DriversGams!$A$5:$BA$5,0))</f>
        <v>22.701952906930313</v>
      </c>
      <c r="AI56" s="12">
        <f t="shared" si="120"/>
        <v>25.421207317304191</v>
      </c>
      <c r="AJ56" s="12">
        <f t="shared" si="121"/>
        <v>27.197620827755561</v>
      </c>
      <c r="AK56" s="12">
        <f t="shared" si="122"/>
        <v>27.800307052560775</v>
      </c>
      <c r="AL56" s="111"/>
      <c r="AM56" s="111"/>
      <c r="AN56" s="12">
        <v>35.410220249271326</v>
      </c>
      <c r="AO56" s="12">
        <v>39.651679033891874</v>
      </c>
      <c r="AP56" s="12">
        <v>42.422506456393549</v>
      </c>
      <c r="AQ56" s="12">
        <v>43.362568839971111</v>
      </c>
    </row>
    <row r="57" spans="1:43" ht="15">
      <c r="A57" s="119" t="s">
        <v>509</v>
      </c>
      <c r="B57">
        <f t="shared" si="123"/>
        <v>11</v>
      </c>
      <c r="C57" s="263">
        <v>16.099074173411047</v>
      </c>
      <c r="D57" s="263">
        <v>16.518849146566016</v>
      </c>
      <c r="E57" s="263">
        <v>16.808536607755151</v>
      </c>
      <c r="F57" s="263">
        <v>17.0461507724374</v>
      </c>
      <c r="G57" s="263">
        <v>17.232929214387152</v>
      </c>
      <c r="H57" s="263">
        <v>17.424562753451802</v>
      </c>
      <c r="I57" s="263">
        <v>17.64894439854638</v>
      </c>
      <c r="J57" s="12">
        <f>INDEX(DriversGams!$A$5:$BA$26,MATCH(Drivers!$A57,DriversGams!$A$5:$A$26,0),MATCH(Drivers!J$3,DriversGams!$A$5:$BA$5,0))</f>
        <v>9.7246298269513964</v>
      </c>
      <c r="K57" s="12">
        <f>INDEX(DriversGams!$A$5:$BA$26,MATCH(Drivers!$A57,DriversGams!$A$5:$A$26,0),MATCH(Drivers!K$3,DriversGams!$A$5:$BA$5,0))</f>
        <v>8.6551165688435123</v>
      </c>
      <c r="L57" s="12">
        <f>INDEX(DriversGams!$A$5:$BA$26,MATCH(Drivers!$A57,DriversGams!$A$5:$A$26,0),MATCH(Drivers!L$3,DriversGams!$A$5:$BA$5,0))</f>
        <v>9.1819649162671766</v>
      </c>
      <c r="M57" s="12">
        <f>INDEX(DriversGams!$A$5:$BA$26,MATCH(Drivers!$A57,DriversGams!$A$5:$A$26,0),MATCH(Drivers!M$3,DriversGams!$A$5:$BA$5,0))</f>
        <v>9.5274832018279394</v>
      </c>
      <c r="N57" s="12">
        <f>INDEX(DriversGams!$A$5:$BA$26,MATCH(Drivers!$A57,DriversGams!$A$5:$A$26,0),MATCH(Drivers!N$3,DriversGams!$A$5:$BA$5,0))</f>
        <v>9.5174211521779526</v>
      </c>
      <c r="O57" s="12">
        <f>INDEX(DriversGams!$A$5:$BA$26,MATCH(Drivers!$A57,DriversGams!$A$5:$A$26,0),MATCH(Drivers!O$3,DriversGams!$A$5:$BA$5,0))</f>
        <v>9.5694454571086105</v>
      </c>
      <c r="P57" s="12">
        <f>INDEX(DriversGams!$A$5:$BA$26,MATCH(Drivers!$A57,DriversGams!$A$5:$A$26,0),MATCH(Drivers!P$3,DriversGams!$A$5:$BA$5,0))</f>
        <v>9.7894548194419269</v>
      </c>
      <c r="Q57" s="12">
        <f>INDEX(DriversGams!$A$5:$BA$26,MATCH(Drivers!$A57,DriversGams!$A$5:$A$26,0),MATCH(Drivers!Q$3,DriversGams!$A$5:$BA$5,0))</f>
        <v>10.166230977694678</v>
      </c>
      <c r="R57" s="12">
        <f>INDEX(DriversGams!$A$5:$BA$26,MATCH(Drivers!$A57,DriversGams!$A$5:$A$26,0),MATCH(Drivers!R$3,DriversGams!$A$5:$BA$5,0))</f>
        <v>10.31958699320222</v>
      </c>
      <c r="S57" s="12">
        <f>INDEX(DriversGams!$A$5:$BA$26,MATCH(Drivers!$A57,DriversGams!$A$5:$A$26,0),MATCH(Drivers!S$3,DriversGams!$A$5:$BA$5,0))</f>
        <v>10.502687709865743</v>
      </c>
      <c r="T57" s="12">
        <f>INDEX(DriversGams!$A$5:$BA$26,MATCH(Drivers!$A57,DriversGams!$A$5:$A$26,0),MATCH(Drivers!T$3,DriversGams!$A$5:$BA$5,0))</f>
        <v>10.765512739488209</v>
      </c>
      <c r="U57" s="12">
        <f>INDEX(DriversGams!$A$5:$BA$26,MATCH(Drivers!$A57,DriversGams!$A$5:$A$26,0),MATCH(Drivers!U$3,DriversGams!$A$5:$BA$5,0))</f>
        <v>11.117953957993082</v>
      </c>
      <c r="V57" s="12">
        <f>INDEX(DriversGams!$A$5:$BA$26,MATCH(Drivers!$A57,DriversGams!$A$5:$A$26,0),MATCH(Drivers!V$3,DriversGams!$A$5:$BA$5,0))</f>
        <v>11.480067384565944</v>
      </c>
      <c r="W57" s="12">
        <f>INDEX(DriversGams!$A$5:$BA$26,MATCH(Drivers!$A57,DriversGams!$A$5:$A$26,0),MATCH(Drivers!W$3,DriversGams!$A$5:$BA$5,0))</f>
        <v>11.850017654712977</v>
      </c>
      <c r="X57" s="12">
        <f>INDEX(DriversGams!$A$5:$BA$26,MATCH(Drivers!$A57,DriversGams!$A$5:$A$26,0),MATCH(Drivers!X$3,DriversGams!$A$5:$BA$5,0))</f>
        <v>12.223176961819227</v>
      </c>
      <c r="Y57" s="12">
        <f>INDEX(DriversGams!$A$5:$BA$26,MATCH(Drivers!$A57,DriversGams!$A$5:$A$26,0),MATCH(Drivers!Y$3,DriversGams!$A$5:$BA$5,0))</f>
        <v>12.622486767279653</v>
      </c>
      <c r="Z57" s="12">
        <f>INDEX(DriversGams!$A$5:$BA$26,MATCH(Drivers!$A57,DriversGams!$A$5:$A$26,0),MATCH(Drivers!Z$3,DriversGams!$A$5:$BA$5,0))</f>
        <v>13.142261603522272</v>
      </c>
      <c r="AA57" s="12">
        <f>INDEX(DriversGams!$A$5:$BA$26,MATCH(Drivers!$A57,DriversGams!$A$5:$A$26,0),MATCH(Drivers!AA$3,DriversGams!$A$5:$BA$5,0))</f>
        <v>13.563119910889171</v>
      </c>
      <c r="AB57" s="12">
        <f>INDEX(DriversGams!$A$5:$BA$26,MATCH(Drivers!$A57,DriversGams!$A$5:$A$26,0),MATCH(Drivers!AB$3,DriversGams!$A$5:$BA$5,0))</f>
        <v>13.986719673324739</v>
      </c>
      <c r="AC57" s="12">
        <f>INDEX(DriversGams!$A$5:$BA$26,MATCH(Drivers!$A57,DriversGams!$A$5:$A$26,0),MATCH(Drivers!AC$3,DriversGams!$A$5:$BA$5,0))</f>
        <v>14.424792520465388</v>
      </c>
      <c r="AD57" s="12">
        <f>INDEX(DriversGams!$A$5:$BA$26,MATCH(Drivers!$A57,DriversGams!$A$5:$A$26,0),MATCH(Drivers!AD$3,DriversGams!$A$5:$BA$5,0))</f>
        <v>14.870868783037519</v>
      </c>
      <c r="AE57" s="12">
        <f>INDEX(DriversGams!$A$5:$BA$26,MATCH(Drivers!$A57,DriversGams!$A$5:$A$26,0),MATCH(Drivers!AE$3,DriversGams!$A$5:$BA$5,0))</f>
        <v>15.297626437648004</v>
      </c>
      <c r="AF57" s="12">
        <f>INDEX(DriversGams!$A$5:$BA$26,MATCH(Drivers!$A57,DriversGams!$A$5:$A$26,0),MATCH(Drivers!AF$3,DriversGams!$A$5:$BA$5,0))</f>
        <v>17.614200659748274</v>
      </c>
      <c r="AG57" s="12">
        <f>INDEX(DriversGams!$A$5:$BA$26,MATCH(Drivers!$A57,DriversGams!$A$5:$A$26,0),MATCH(Drivers!AG$3,DriversGams!$A$5:$BA$5,0))</f>
        <v>17.569521925295778</v>
      </c>
      <c r="AH57" s="12">
        <f>INDEX(DriversGams!$A$5:$BA$26,MATCH(Drivers!$A57,DriversGams!$A$5:$A$26,0),MATCH(Drivers!AH$3,DriversGams!$A$5:$BA$5,0))</f>
        <v>20.813395886118247</v>
      </c>
      <c r="AI57" s="12">
        <f t="shared" si="120"/>
        <v>23.306437731029622</v>
      </c>
      <c r="AJ57" s="12">
        <f t="shared" si="121"/>
        <v>24.935072844583505</v>
      </c>
      <c r="AK57" s="12">
        <f t="shared" si="122"/>
        <v>25.487622091928284</v>
      </c>
      <c r="AL57" s="111"/>
      <c r="AM57" s="111"/>
      <c r="AN57" s="12">
        <v>47.727995641793072</v>
      </c>
      <c r="AO57" s="12">
        <v>53.444885425650895</v>
      </c>
      <c r="AP57" s="12">
        <v>57.179571011178766</v>
      </c>
      <c r="AQ57" s="12">
        <v>58.446642863049739</v>
      </c>
    </row>
    <row r="58" spans="1:43" ht="15">
      <c r="A58" s="119" t="s">
        <v>506</v>
      </c>
      <c r="B58">
        <f t="shared" si="123"/>
        <v>12</v>
      </c>
      <c r="C58" s="263">
        <v>335.77331305186084</v>
      </c>
      <c r="D58" s="263">
        <v>345.12368336779264</v>
      </c>
      <c r="E58" s="263">
        <v>351.73654833895557</v>
      </c>
      <c r="F58" s="263">
        <v>356.62847152051233</v>
      </c>
      <c r="G58" s="263">
        <v>360.31274126727499</v>
      </c>
      <c r="H58" s="263">
        <v>363.08022098030375</v>
      </c>
      <c r="I58" s="263">
        <v>367.26352107202263</v>
      </c>
      <c r="J58" s="12">
        <f>INDEX(DriversGams!$A$5:$BA$26,MATCH(Drivers!$A58,DriversGams!$A$5:$A$26,0),MATCH(Drivers!J$3,DriversGams!$A$5:$BA$5,0))</f>
        <v>361.17597823920806</v>
      </c>
      <c r="K58" s="12">
        <f>INDEX(DriversGams!$A$5:$BA$26,MATCH(Drivers!$A58,DriversGams!$A$5:$A$26,0),MATCH(Drivers!K$3,DriversGams!$A$5:$BA$5,0))</f>
        <v>313.3394059290336</v>
      </c>
      <c r="L58" s="12">
        <f>INDEX(DriversGams!$A$5:$BA$26,MATCH(Drivers!$A58,DriversGams!$A$5:$A$26,0),MATCH(Drivers!L$3,DriversGams!$A$5:$BA$5,0))</f>
        <v>331.25367948256167</v>
      </c>
      <c r="M58" s="12">
        <f>INDEX(DriversGams!$A$5:$BA$26,MATCH(Drivers!$A58,DriversGams!$A$5:$A$26,0),MATCH(Drivers!M$3,DriversGams!$A$5:$BA$5,0))</f>
        <v>344.41541533397231</v>
      </c>
      <c r="N58" s="12">
        <f>INDEX(DriversGams!$A$5:$BA$26,MATCH(Drivers!$A58,DriversGams!$A$5:$A$26,0),MATCH(Drivers!N$3,DriversGams!$A$5:$BA$5,0))</f>
        <v>344.42538255438393</v>
      </c>
      <c r="O58" s="12">
        <f>INDEX(DriversGams!$A$5:$BA$26,MATCH(Drivers!$A58,DriversGams!$A$5:$A$26,0),MATCH(Drivers!O$3,DriversGams!$A$5:$BA$5,0))</f>
        <v>346.42734726800495</v>
      </c>
      <c r="P58" s="12">
        <f>INDEX(DriversGams!$A$5:$BA$26,MATCH(Drivers!$A58,DriversGams!$A$5:$A$26,0),MATCH(Drivers!P$3,DriversGams!$A$5:$BA$5,0))</f>
        <v>358.54388016552559</v>
      </c>
      <c r="Q58" s="12">
        <f>INDEX(DriversGams!$A$5:$BA$26,MATCH(Drivers!$A58,DriversGams!$A$5:$A$26,0),MATCH(Drivers!Q$3,DriversGams!$A$5:$BA$5,0))</f>
        <v>376.74656759493075</v>
      </c>
      <c r="R58" s="12">
        <f>INDEX(DriversGams!$A$5:$BA$26,MATCH(Drivers!$A58,DriversGams!$A$5:$A$26,0),MATCH(Drivers!R$3,DriversGams!$A$5:$BA$5,0))</f>
        <v>380.89056156209591</v>
      </c>
      <c r="S58" s="12">
        <f>INDEX(DriversGams!$A$5:$BA$26,MATCH(Drivers!$A58,DriversGams!$A$5:$A$26,0),MATCH(Drivers!S$3,DriversGams!$A$5:$BA$5,0))</f>
        <v>386.90995034025752</v>
      </c>
      <c r="T58" s="12">
        <f>INDEX(DriversGams!$A$5:$BA$26,MATCH(Drivers!$A58,DriversGams!$A$5:$A$26,0),MATCH(Drivers!T$3,DriversGams!$A$5:$BA$5,0))</f>
        <v>395.75581868532515</v>
      </c>
      <c r="U58" s="12">
        <f>INDEX(DriversGams!$A$5:$BA$26,MATCH(Drivers!$A58,DriversGams!$A$5:$A$26,0),MATCH(Drivers!U$3,DriversGams!$A$5:$BA$5,0))</f>
        <v>409.49349260740973</v>
      </c>
      <c r="V58" s="12">
        <f>INDEX(DriversGams!$A$5:$BA$26,MATCH(Drivers!$A58,DriversGams!$A$5:$A$26,0),MATCH(Drivers!V$3,DriversGams!$A$5:$BA$5,0))</f>
        <v>422.49544233040774</v>
      </c>
      <c r="W58" s="12">
        <f>INDEX(DriversGams!$A$5:$BA$26,MATCH(Drivers!$A58,DriversGams!$A$5:$A$26,0),MATCH(Drivers!W$3,DriversGams!$A$5:$BA$5,0))</f>
        <v>435.85088635261229</v>
      </c>
      <c r="X58" s="12">
        <f>INDEX(DriversGams!$A$5:$BA$26,MATCH(Drivers!$A58,DriversGams!$A$5:$A$26,0),MATCH(Drivers!X$3,DriversGams!$A$5:$BA$5,0))</f>
        <v>449.21477206982513</v>
      </c>
      <c r="Y58" s="12">
        <f>INDEX(DriversGams!$A$5:$BA$26,MATCH(Drivers!$A58,DriversGams!$A$5:$A$26,0),MATCH(Drivers!Y$3,DriversGams!$A$5:$BA$5,0))</f>
        <v>463.7875850925559</v>
      </c>
      <c r="Z58" s="12">
        <f>INDEX(DriversGams!$A$5:$BA$26,MATCH(Drivers!$A58,DriversGams!$A$5:$A$26,0),MATCH(Drivers!Z$3,DriversGams!$A$5:$BA$5,0))</f>
        <v>479.89382123528765</v>
      </c>
      <c r="AA58" s="12">
        <f>INDEX(DriversGams!$A$5:$BA$26,MATCH(Drivers!$A58,DriversGams!$A$5:$A$26,0),MATCH(Drivers!AA$3,DriversGams!$A$5:$BA$5,0))</f>
        <v>494.50644903755733</v>
      </c>
      <c r="AB58" s="12">
        <f>INDEX(DriversGams!$A$5:$BA$26,MATCH(Drivers!$A58,DriversGams!$A$5:$A$26,0),MATCH(Drivers!AB$3,DriversGams!$A$5:$BA$5,0))</f>
        <v>509.64726008547092</v>
      </c>
      <c r="AC58" s="12">
        <f>INDEX(DriversGams!$A$5:$BA$26,MATCH(Drivers!$A58,DriversGams!$A$5:$A$26,0),MATCH(Drivers!AC$3,DriversGams!$A$5:$BA$5,0))</f>
        <v>525.55551394008444</v>
      </c>
      <c r="AD58" s="12">
        <f>INDEX(DriversGams!$A$5:$BA$26,MATCH(Drivers!$A58,DriversGams!$A$5:$A$26,0),MATCH(Drivers!AD$3,DriversGams!$A$5:$BA$5,0))</f>
        <v>541.07568822853227</v>
      </c>
      <c r="AE58" s="12">
        <f>INDEX(DriversGams!$A$5:$BA$26,MATCH(Drivers!$A58,DriversGams!$A$5:$A$26,0),MATCH(Drivers!AE$3,DriversGams!$A$5:$BA$5,0))</f>
        <v>554.08451042916363</v>
      </c>
      <c r="AF58" s="12">
        <f>INDEX(DriversGams!$A$5:$BA$26,MATCH(Drivers!$A58,DriversGams!$A$5:$A$26,0),MATCH(Drivers!AF$3,DriversGams!$A$5:$BA$5,0))</f>
        <v>633.04392843938103</v>
      </c>
      <c r="AG58" s="12">
        <f>INDEX(DriversGams!$A$5:$BA$26,MATCH(Drivers!$A58,DriversGams!$A$5:$A$26,0),MATCH(Drivers!AG$3,DriversGams!$A$5:$BA$5,0))</f>
        <v>738.41109461452356</v>
      </c>
      <c r="AH58" s="12">
        <f>INDEX(DriversGams!$A$5:$BA$26,MATCH(Drivers!$A58,DriversGams!$A$5:$A$26,0),MATCH(Drivers!AH$3,DriversGams!$A$5:$BA$5,0))</f>
        <v>880.71021252834203</v>
      </c>
      <c r="AI58" s="12">
        <f t="shared" si="120"/>
        <v>986.20224396269134</v>
      </c>
      <c r="AJ58" s="12">
        <f t="shared" si="121"/>
        <v>1055.1172631569316</v>
      </c>
      <c r="AK58" s="12">
        <f t="shared" si="122"/>
        <v>1078.4981553344528</v>
      </c>
      <c r="AL58" s="111"/>
      <c r="AM58" s="111"/>
      <c r="AN58" s="12">
        <v>993.19170511086941</v>
      </c>
      <c r="AO58" s="12">
        <v>1112.156841526293</v>
      </c>
      <c r="AP58" s="12">
        <v>1189.8734666404512</v>
      </c>
      <c r="AQ58" s="12">
        <v>1216.2404916146943</v>
      </c>
    </row>
    <row r="59" spans="1:43" ht="15">
      <c r="A59" s="119" t="s">
        <v>512</v>
      </c>
      <c r="B59">
        <f t="shared" si="123"/>
        <v>13</v>
      </c>
      <c r="C59" s="263">
        <v>49.680584563226056</v>
      </c>
      <c r="D59" s="263">
        <v>48.564231533814059</v>
      </c>
      <c r="E59" s="263">
        <v>47.459267978951466</v>
      </c>
      <c r="F59" s="263">
        <v>46.356109920093544</v>
      </c>
      <c r="G59" s="263">
        <v>46.356109920093544</v>
      </c>
      <c r="H59" s="263">
        <v>46.356109920093544</v>
      </c>
      <c r="I59" s="263">
        <v>46.327221984018706</v>
      </c>
      <c r="J59" s="12">
        <f>INDEX(DriversGams!$A$5:$BA$26,MATCH(Drivers!$A59,DriversGams!$A$5:$A$26,0),MATCH(Drivers!J$3,DriversGams!$A$5:$BA$5,0))</f>
        <v>46.84347202985203</v>
      </c>
      <c r="K59" s="12">
        <f>INDEX(DriversGams!$A$5:$BA$26,MATCH(Drivers!$A59,DriversGams!$A$5:$A$26,0),MATCH(Drivers!K$3,DriversGams!$A$5:$BA$5,0))</f>
        <v>30.530274246117472</v>
      </c>
      <c r="L59" s="12">
        <f>INDEX(DriversGams!$A$5:$BA$26,MATCH(Drivers!$A59,DriversGams!$A$5:$A$26,0),MATCH(Drivers!L$3,DriversGams!$A$5:$BA$5,0))</f>
        <v>29.535526213824049</v>
      </c>
      <c r="M59" s="12">
        <f>INDEX(DriversGams!$A$5:$BA$26,MATCH(Drivers!$A59,DriversGams!$A$5:$A$26,0),MATCH(Drivers!M$3,DriversGams!$A$5:$BA$5,0))</f>
        <v>17.615110509761688</v>
      </c>
      <c r="N59" s="12">
        <f>INDEX(DriversGams!$A$5:$BA$26,MATCH(Drivers!$A59,DriversGams!$A$5:$A$26,0),MATCH(Drivers!N$3,DriversGams!$A$5:$BA$5,0))</f>
        <v>24.993850478822516</v>
      </c>
      <c r="O59" s="12">
        <f>INDEX(DriversGams!$A$5:$BA$26,MATCH(Drivers!$A59,DriversGams!$A$5:$A$26,0),MATCH(Drivers!O$3,DriversGams!$A$5:$BA$5,0))</f>
        <v>24.99385047882253</v>
      </c>
      <c r="P59" s="12">
        <f>INDEX(DriversGams!$A$5:$BA$26,MATCH(Drivers!$A59,DriversGams!$A$5:$A$26,0),MATCH(Drivers!P$3,DriversGams!$A$5:$BA$5,0))</f>
        <v>24.993850478822527</v>
      </c>
      <c r="Q59" s="12">
        <f>INDEX(DriversGams!$A$5:$BA$26,MATCH(Drivers!$A59,DriversGams!$A$5:$A$26,0),MATCH(Drivers!Q$3,DriversGams!$A$5:$BA$5,0))</f>
        <v>24.993850478822509</v>
      </c>
      <c r="R59" s="12">
        <f>INDEX(DriversGams!$A$5:$BA$26,MATCH(Drivers!$A59,DriversGams!$A$5:$A$26,0),MATCH(Drivers!R$3,DriversGams!$A$5:$BA$5,0))</f>
        <v>24.993850478822505</v>
      </c>
      <c r="S59" s="12">
        <f>INDEX(DriversGams!$A$5:$BA$26,MATCH(Drivers!$A59,DriversGams!$A$5:$A$26,0),MATCH(Drivers!S$3,DriversGams!$A$5:$BA$5,0))</f>
        <v>24.993850478822498</v>
      </c>
      <c r="T59" s="12">
        <f>INDEX(DriversGams!$A$5:$BA$26,MATCH(Drivers!$A59,DriversGams!$A$5:$A$26,0),MATCH(Drivers!T$3,DriversGams!$A$5:$BA$5,0))</f>
        <v>24.993850478822502</v>
      </c>
      <c r="U59" s="12">
        <f>INDEX(DriversGams!$A$5:$BA$26,MATCH(Drivers!$A59,DriversGams!$A$5:$A$26,0),MATCH(Drivers!U$3,DriversGams!$A$5:$BA$5,0))</f>
        <v>24.993850478822502</v>
      </c>
      <c r="V59" s="12">
        <f>INDEX(DriversGams!$A$5:$BA$26,MATCH(Drivers!$A59,DriversGams!$A$5:$A$26,0),MATCH(Drivers!V$3,DriversGams!$A$5:$BA$5,0))</f>
        <v>24.993850478822502</v>
      </c>
      <c r="W59" s="12">
        <f>INDEX(DriversGams!$A$5:$BA$26,MATCH(Drivers!$A59,DriversGams!$A$5:$A$26,0),MATCH(Drivers!W$3,DriversGams!$A$5:$BA$5,0))</f>
        <v>24.993850478822505</v>
      </c>
      <c r="X59" s="12">
        <f>INDEX(DriversGams!$A$5:$BA$26,MATCH(Drivers!$A59,DriversGams!$A$5:$A$26,0),MATCH(Drivers!X$3,DriversGams!$A$5:$BA$5,0))</f>
        <v>24.993850478822512</v>
      </c>
      <c r="Y59" s="12">
        <f>INDEX(DriversGams!$A$5:$BA$26,MATCH(Drivers!$A59,DriversGams!$A$5:$A$26,0),MATCH(Drivers!Y$3,DriversGams!$A$5:$BA$5,0))</f>
        <v>24.993850478822512</v>
      </c>
      <c r="Z59" s="12">
        <f>INDEX(DriversGams!$A$5:$BA$26,MATCH(Drivers!$A59,DriversGams!$A$5:$A$26,0),MATCH(Drivers!Z$3,DriversGams!$A$5:$BA$5,0))</f>
        <v>9.6319710273997607</v>
      </c>
      <c r="AA59" s="12">
        <f>INDEX(DriversGams!$A$5:$BA$26,MATCH(Drivers!$A59,DriversGams!$A$5:$A$26,0),MATCH(Drivers!AA$3,DriversGams!$A$5:$BA$5,0))</f>
        <v>9.6319710273997572</v>
      </c>
      <c r="AB59" s="12">
        <f>INDEX(DriversGams!$A$5:$BA$26,MATCH(Drivers!$A59,DriversGams!$A$5:$A$26,0),MATCH(Drivers!AB$3,DriversGams!$A$5:$BA$5,0))</f>
        <v>9.6319710273997519</v>
      </c>
      <c r="AC59" s="12">
        <f>INDEX(DriversGams!$A$5:$BA$26,MATCH(Drivers!$A59,DriversGams!$A$5:$A$26,0),MATCH(Drivers!AC$3,DriversGams!$A$5:$BA$5,0))</f>
        <v>9.6319710273997465</v>
      </c>
      <c r="AD59" s="12">
        <f>INDEX(DriversGams!$A$5:$BA$26,MATCH(Drivers!$A59,DriversGams!$A$5:$A$26,0),MATCH(Drivers!AD$3,DriversGams!$A$5:$BA$5,0))</f>
        <v>9.6319710273997465</v>
      </c>
      <c r="AE59" s="12">
        <f>INDEX(DriversGams!$A$5:$BA$26,MATCH(Drivers!$A59,DriversGams!$A$5:$A$26,0),MATCH(Drivers!AE$3,DriversGams!$A$5:$BA$5,0))</f>
        <v>9.6319710273997465</v>
      </c>
      <c r="AF59" s="12">
        <f>INDEX(DriversGams!$A$5:$BA$26,MATCH(Drivers!$A59,DriversGams!$A$5:$A$26,0),MATCH(Drivers!AF$3,DriversGams!$A$5:$BA$5,0))</f>
        <v>9.6319710273997448</v>
      </c>
      <c r="AG59" s="12">
        <f>INDEX(DriversGams!$A$5:$BA$26,MATCH(Drivers!$A59,DriversGams!$A$5:$A$26,0),MATCH(Drivers!AG$3,DriversGams!$A$5:$BA$5,0))</f>
        <v>0.19263942054799491</v>
      </c>
      <c r="AH59" s="12">
        <f>INDEX(DriversGams!$A$5:$BA$26,MATCH(Drivers!$A59,DriversGams!$A$5:$A$26,0),MATCH(Drivers!AH$3,DriversGams!$A$5:$BA$5,0))</f>
        <v>0.19263942054799507</v>
      </c>
      <c r="AI59" s="12">
        <f t="shared" si="120"/>
        <v>0.21571389330743293</v>
      </c>
      <c r="AJ59" s="12">
        <f t="shared" si="121"/>
        <v>0.23078780658308393</v>
      </c>
      <c r="AK59" s="12">
        <f t="shared" si="122"/>
        <v>0.2359019536168086</v>
      </c>
      <c r="AL59" s="111"/>
      <c r="AM59" s="111"/>
      <c r="AN59" s="12">
        <v>125.3976606992544</v>
      </c>
      <c r="AO59" s="12">
        <v>140.41787254203911</v>
      </c>
      <c r="AP59" s="12">
        <v>150.23016047860466</v>
      </c>
      <c r="AQ59" s="12">
        <v>153.55918873604446</v>
      </c>
    </row>
    <row r="60" spans="1:43" ht="15">
      <c r="A60" s="119" t="s">
        <v>507</v>
      </c>
      <c r="B60">
        <f t="shared" si="123"/>
        <v>14</v>
      </c>
      <c r="C60" s="263">
        <v>21.771602125906632</v>
      </c>
      <c r="D60" s="263">
        <v>22.321967288291042</v>
      </c>
      <c r="E60" s="263">
        <v>22.799481809844082</v>
      </c>
      <c r="F60" s="263">
        <v>23.061502598593702</v>
      </c>
      <c r="G60" s="263">
        <v>23.492490064200549</v>
      </c>
      <c r="H60" s="263">
        <v>23.649212778966675</v>
      </c>
      <c r="I60" s="263">
        <v>24.045917150718431</v>
      </c>
      <c r="J60" s="12">
        <f>INDEX(DriversGams!$A$5:$BA$26,MATCH(Drivers!$A60,DriversGams!$A$5:$A$26,0),MATCH(Drivers!J$3,DriversGams!$A$5:$BA$5,0))</f>
        <v>24.014738063745313</v>
      </c>
      <c r="K60" s="12">
        <f>INDEX(DriversGams!$A$5:$BA$26,MATCH(Drivers!$A60,DriversGams!$A$5:$A$26,0),MATCH(Drivers!K$3,DriversGams!$A$5:$BA$5,0))</f>
        <v>22.596620440610813</v>
      </c>
      <c r="L60" s="12">
        <f>INDEX(DriversGams!$A$5:$BA$26,MATCH(Drivers!$A60,DriversGams!$A$5:$A$26,0),MATCH(Drivers!L$3,DriversGams!$A$5:$BA$5,0))</f>
        <v>23.228300781710633</v>
      </c>
      <c r="M60" s="12">
        <f>INDEX(DriversGams!$A$5:$BA$26,MATCH(Drivers!$A60,DriversGams!$A$5:$A$26,0),MATCH(Drivers!M$3,DriversGams!$A$5:$BA$5,0))</f>
        <v>25.218381683353012</v>
      </c>
      <c r="N60" s="12">
        <f>INDEX(DriversGams!$A$5:$BA$26,MATCH(Drivers!$A60,DriversGams!$A$5:$A$26,0),MATCH(Drivers!N$3,DriversGams!$A$5:$BA$5,0))</f>
        <v>25.309527143686296</v>
      </c>
      <c r="O60" s="12">
        <f>INDEX(DriversGams!$A$5:$BA$26,MATCH(Drivers!$A60,DriversGams!$A$5:$A$26,0),MATCH(Drivers!O$3,DriversGams!$A$5:$BA$5,0))</f>
        <v>25.702034808065715</v>
      </c>
      <c r="P60" s="12">
        <f>INDEX(DriversGams!$A$5:$BA$26,MATCH(Drivers!$A60,DriversGams!$A$5:$A$26,0),MATCH(Drivers!P$3,DriversGams!$A$5:$BA$5,0))</f>
        <v>25.984873850547928</v>
      </c>
      <c r="Q60" s="12">
        <f>INDEX(DriversGams!$A$5:$BA$26,MATCH(Drivers!$A60,DriversGams!$A$5:$A$26,0),MATCH(Drivers!Q$3,DriversGams!$A$5:$BA$5,0))</f>
        <v>26.319989705137868</v>
      </c>
      <c r="R60" s="12">
        <f>INDEX(DriversGams!$A$5:$BA$26,MATCH(Drivers!$A60,DriversGams!$A$5:$A$26,0),MATCH(Drivers!R$3,DriversGams!$A$5:$BA$5,0))</f>
        <v>26.755565092891811</v>
      </c>
      <c r="S60" s="12">
        <f>INDEX(DriversGams!$A$5:$BA$26,MATCH(Drivers!$A60,DriversGams!$A$5:$A$26,0),MATCH(Drivers!S$3,DriversGams!$A$5:$BA$5,0))</f>
        <v>27.299737233320634</v>
      </c>
      <c r="T60" s="12">
        <f>INDEX(DriversGams!$A$5:$BA$26,MATCH(Drivers!$A60,DriversGams!$A$5:$A$26,0),MATCH(Drivers!T$3,DriversGams!$A$5:$BA$5,0))</f>
        <v>27.915550506271479</v>
      </c>
      <c r="U60" s="12">
        <f>INDEX(DriversGams!$A$5:$BA$26,MATCH(Drivers!$A60,DriversGams!$A$5:$A$26,0),MATCH(Drivers!U$3,DriversGams!$A$5:$BA$5,0))</f>
        <v>28.763038262320375</v>
      </c>
      <c r="V60" s="12">
        <f>INDEX(DriversGams!$A$5:$BA$26,MATCH(Drivers!$A60,DriversGams!$A$5:$A$26,0),MATCH(Drivers!V$3,DriversGams!$A$5:$BA$5,0))</f>
        <v>29.708222689638419</v>
      </c>
      <c r="W60" s="12">
        <f>INDEX(DriversGams!$A$5:$BA$26,MATCH(Drivers!$A60,DriversGams!$A$5:$A$26,0),MATCH(Drivers!W$3,DriversGams!$A$5:$BA$5,0))</f>
        <v>30.678420590984651</v>
      </c>
      <c r="X60" s="12">
        <f>INDEX(DriversGams!$A$5:$BA$26,MATCH(Drivers!$A60,DriversGams!$A$5:$A$26,0),MATCH(Drivers!X$3,DriversGams!$A$5:$BA$5,0))</f>
        <v>31.682383262000858</v>
      </c>
      <c r="Y60" s="12">
        <f>INDEX(DriversGams!$A$5:$BA$26,MATCH(Drivers!$A60,DriversGams!$A$5:$A$26,0),MATCH(Drivers!Y$3,DriversGams!$A$5:$BA$5,0))</f>
        <v>32.744361691415953</v>
      </c>
      <c r="Z60" s="12">
        <f>INDEX(DriversGams!$A$5:$BA$26,MATCH(Drivers!$A60,DriversGams!$A$5:$A$26,0),MATCH(Drivers!Z$3,DriversGams!$A$5:$BA$5,0))</f>
        <v>34.065825963929775</v>
      </c>
      <c r="AA60" s="12">
        <f>INDEX(DriversGams!$A$5:$BA$26,MATCH(Drivers!$A60,DriversGams!$A$5:$A$26,0),MATCH(Drivers!AA$3,DriversGams!$A$5:$BA$5,0))</f>
        <v>34.968520882166068</v>
      </c>
      <c r="AB60" s="12">
        <f>INDEX(DriversGams!$A$5:$BA$26,MATCH(Drivers!$A60,DriversGams!$A$5:$A$26,0),MATCH(Drivers!AB$3,DriversGams!$A$5:$BA$5,0))</f>
        <v>35.901574867034483</v>
      </c>
      <c r="AC60" s="12">
        <f>INDEX(DriversGams!$A$5:$BA$26,MATCH(Drivers!$A60,DriversGams!$A$5:$A$26,0),MATCH(Drivers!AC$3,DriversGams!$A$5:$BA$5,0))</f>
        <v>36.884882251602754</v>
      </c>
      <c r="AD60" s="12">
        <f>INDEX(DriversGams!$A$5:$BA$26,MATCH(Drivers!$A60,DriversGams!$A$5:$A$26,0),MATCH(Drivers!AD$3,DriversGams!$A$5:$BA$5,0))</f>
        <v>37.927608731939131</v>
      </c>
      <c r="AE60" s="12">
        <f>INDEX(DriversGams!$A$5:$BA$26,MATCH(Drivers!$A60,DriversGams!$A$5:$A$26,0),MATCH(Drivers!AE$3,DriversGams!$A$5:$BA$5,0))</f>
        <v>39.013336327555741</v>
      </c>
      <c r="AF60" s="12">
        <f>INDEX(DriversGams!$A$5:$BA$26,MATCH(Drivers!$A60,DriversGams!$A$5:$A$26,0),MATCH(Drivers!AF$3,DriversGams!$A$5:$BA$5,0))</f>
        <v>44.816158076062315</v>
      </c>
      <c r="AG60" s="12">
        <f>INDEX(DriversGams!$A$5:$BA$26,MATCH(Drivers!$A60,DriversGams!$A$5:$A$26,0),MATCH(Drivers!AG$3,DriversGams!$A$5:$BA$5,0))</f>
        <v>51.678536710340857</v>
      </c>
      <c r="AH60" s="12">
        <f>INDEX(DriversGams!$A$5:$BA$26,MATCH(Drivers!$A60,DriversGams!$A$5:$A$26,0),MATCH(Drivers!AH$3,DriversGams!$A$5:$BA$5,0))</f>
        <v>59.550788584362962</v>
      </c>
      <c r="AI60" s="12">
        <f t="shared" si="120"/>
        <v>66.68382005364407</v>
      </c>
      <c r="AJ60" s="12">
        <f t="shared" si="121"/>
        <v>71.343631737378175</v>
      </c>
      <c r="AK60" s="12">
        <f t="shared" si="122"/>
        <v>72.924572377296727</v>
      </c>
      <c r="AL60" s="111"/>
      <c r="AM60" s="111"/>
      <c r="AN60" s="12">
        <v>65.054097292812685</v>
      </c>
      <c r="AO60" s="12">
        <v>72.846318592081175</v>
      </c>
      <c r="AP60" s="12">
        <v>77.936760714612916</v>
      </c>
      <c r="AQ60" s="12">
        <v>79.663801928479032</v>
      </c>
    </row>
    <row r="61" spans="1:43" ht="15">
      <c r="A61" s="119" t="s">
        <v>577</v>
      </c>
      <c r="B61">
        <f t="shared" si="123"/>
        <v>15</v>
      </c>
      <c r="C61" s="263">
        <v>234.64829421512601</v>
      </c>
      <c r="D61" s="263">
        <v>241.75157173268613</v>
      </c>
      <c r="E61" s="263">
        <v>247.49716491255998</v>
      </c>
      <c r="F61" s="263">
        <v>250.49509082227485</v>
      </c>
      <c r="G61" s="263">
        <v>252.5592931181983</v>
      </c>
      <c r="H61" s="263">
        <v>256.25966914032193</v>
      </c>
      <c r="I61" s="263">
        <v>259.56135726080817</v>
      </c>
      <c r="J61" s="12">
        <f>INDEX(DriversGams!$A$5:$BA$26,MATCH(Drivers!$A61,DriversGams!$A$5:$A$26,0),MATCH(Drivers!J$3,DriversGams!$A$5:$BA$5,0))</f>
        <v>227.80708143759773</v>
      </c>
      <c r="K61" s="12">
        <f>INDEX(DriversGams!$A$5:$BA$26,MATCH(Drivers!$A61,DriversGams!$A$5:$A$26,0),MATCH(Drivers!K$3,DriversGams!$A$5:$BA$5,0))</f>
        <v>199.76770252320048</v>
      </c>
      <c r="L61" s="12">
        <f>INDEX(DriversGams!$A$5:$BA$26,MATCH(Drivers!$A61,DriversGams!$A$5:$A$26,0),MATCH(Drivers!L$3,DriversGams!$A$5:$BA$5,0))</f>
        <v>211.8755283767928</v>
      </c>
      <c r="M61" s="12">
        <f>INDEX(DriversGams!$A$5:$BA$26,MATCH(Drivers!$A61,DriversGams!$A$5:$A$26,0),MATCH(Drivers!M$3,DriversGams!$A$5:$BA$5,0))</f>
        <v>233.73158152099637</v>
      </c>
      <c r="N61" s="12">
        <f>INDEX(DriversGams!$A$5:$BA$26,MATCH(Drivers!$A61,DriversGams!$A$5:$A$26,0),MATCH(Drivers!N$3,DriversGams!$A$5:$BA$5,0))</f>
        <v>234.173680963848</v>
      </c>
      <c r="O61" s="12">
        <f>INDEX(DriversGams!$A$5:$BA$26,MATCH(Drivers!$A61,DriversGams!$A$5:$A$26,0),MATCH(Drivers!O$3,DriversGams!$A$5:$BA$5,0))</f>
        <v>234.39928131986068</v>
      </c>
      <c r="P61" s="12">
        <f>INDEX(DriversGams!$A$5:$BA$26,MATCH(Drivers!$A61,DriversGams!$A$5:$A$26,0),MATCH(Drivers!P$3,DriversGams!$A$5:$BA$5,0))</f>
        <v>237.15136900351627</v>
      </c>
      <c r="Q61" s="12">
        <f>INDEX(DriversGams!$A$5:$BA$26,MATCH(Drivers!$A61,DriversGams!$A$5:$A$26,0),MATCH(Drivers!Q$3,DriversGams!$A$5:$BA$5,0))</f>
        <v>241.14675329761619</v>
      </c>
      <c r="R61" s="12">
        <f>INDEX(DriversGams!$A$5:$BA$26,MATCH(Drivers!$A61,DriversGams!$A$5:$A$26,0),MATCH(Drivers!R$3,DriversGams!$A$5:$BA$5,0))</f>
        <v>248.08538837163542</v>
      </c>
      <c r="S61" s="12">
        <f>INDEX(DriversGams!$A$5:$BA$26,MATCH(Drivers!$A61,DriversGams!$A$5:$A$26,0),MATCH(Drivers!S$3,DriversGams!$A$5:$BA$5,0))</f>
        <v>256.24538595005038</v>
      </c>
      <c r="T61" s="12">
        <f>INDEX(DriversGams!$A$5:$BA$26,MATCH(Drivers!$A61,DriversGams!$A$5:$A$26,0),MATCH(Drivers!T$3,DriversGams!$A$5:$BA$5,0))</f>
        <v>266.42255716726817</v>
      </c>
      <c r="U61" s="12">
        <f>INDEX(DriversGams!$A$5:$BA$26,MATCH(Drivers!$A61,DriversGams!$A$5:$A$26,0),MATCH(Drivers!U$3,DriversGams!$A$5:$BA$5,0))</f>
        <v>276.40901282850319</v>
      </c>
      <c r="V61" s="12">
        <f>INDEX(DriversGams!$A$5:$BA$26,MATCH(Drivers!$A61,DriversGams!$A$5:$A$26,0),MATCH(Drivers!V$3,DriversGams!$A$5:$BA$5,0))</f>
        <v>284.71501717612017</v>
      </c>
      <c r="W61" s="12">
        <f>INDEX(DriversGams!$A$5:$BA$26,MATCH(Drivers!$A61,DriversGams!$A$5:$A$26,0),MATCH(Drivers!W$3,DriversGams!$A$5:$BA$5,0))</f>
        <v>293.82733977297573</v>
      </c>
      <c r="X61" s="12">
        <f>INDEX(DriversGams!$A$5:$BA$26,MATCH(Drivers!$A61,DriversGams!$A$5:$A$26,0),MATCH(Drivers!X$3,DriversGams!$A$5:$BA$5,0))</f>
        <v>304.72907230134342</v>
      </c>
      <c r="Y61" s="12">
        <f>INDEX(DriversGams!$A$5:$BA$26,MATCH(Drivers!$A61,DriversGams!$A$5:$A$26,0),MATCH(Drivers!Y$3,DriversGams!$A$5:$BA$5,0))</f>
        <v>314.8419390652769</v>
      </c>
      <c r="Z61" s="12">
        <f>INDEX(DriversGams!$A$5:$BA$26,MATCH(Drivers!$A61,DriversGams!$A$5:$A$26,0),MATCH(Drivers!Z$3,DriversGams!$A$5:$BA$5,0))</f>
        <v>325.22588657450592</v>
      </c>
      <c r="AA61" s="12">
        <f>INDEX(DriversGams!$A$5:$BA$26,MATCH(Drivers!$A61,DriversGams!$A$5:$A$26,0),MATCH(Drivers!AA$3,DriversGams!$A$5:$BA$5,0))</f>
        <v>334.32690417409293</v>
      </c>
      <c r="AB61" s="12">
        <f>INDEX(DriversGams!$A$5:$BA$26,MATCH(Drivers!$A61,DriversGams!$A$5:$A$26,0),MATCH(Drivers!AB$3,DriversGams!$A$5:$BA$5,0))</f>
        <v>345.63835606243873</v>
      </c>
      <c r="AC61" s="12">
        <f>INDEX(DriversGams!$A$5:$BA$26,MATCH(Drivers!$A61,DriversGams!$A$5:$A$26,0),MATCH(Drivers!AC$3,DriversGams!$A$5:$BA$5,0))</f>
        <v>358.50660771109079</v>
      </c>
      <c r="AD61" s="12">
        <f>INDEX(DriversGams!$A$5:$BA$26,MATCH(Drivers!$A61,DriversGams!$A$5:$A$26,0),MATCH(Drivers!AD$3,DriversGams!$A$5:$BA$5,0))</f>
        <v>371.53652303894961</v>
      </c>
      <c r="AE61" s="12">
        <f>INDEX(DriversGams!$A$5:$BA$26,MATCH(Drivers!$A61,DriversGams!$A$5:$A$26,0),MATCH(Drivers!AE$3,DriversGams!$A$5:$BA$5,0))</f>
        <v>386.43122672458691</v>
      </c>
      <c r="AF61" s="12">
        <f>INDEX(DriversGams!$A$5:$BA$26,MATCH(Drivers!$A61,DriversGams!$A$5:$A$26,0),MATCH(Drivers!AF$3,DriversGams!$A$5:$BA$5,0))</f>
        <v>454.62657855359004</v>
      </c>
      <c r="AG61" s="12">
        <f>INDEX(DriversGams!$A$5:$BA$26,MATCH(Drivers!$A61,DriversGams!$A$5:$A$26,0),MATCH(Drivers!AG$3,DriversGams!$A$5:$BA$5,0))</f>
        <v>521.16151713362444</v>
      </c>
      <c r="AH61" s="12">
        <f>INDEX(DriversGams!$A$5:$BA$26,MATCH(Drivers!$A61,DriversGams!$A$5:$A$26,0),MATCH(Drivers!AH$3,DriversGams!$A$5:$BA$5,0))</f>
        <v>592.51222747921076</v>
      </c>
      <c r="AI61" s="12">
        <f t="shared" si="120"/>
        <v>663.48372030093356</v>
      </c>
      <c r="AJ61" s="12">
        <f t="shared" si="121"/>
        <v>709.84742875882523</v>
      </c>
      <c r="AK61" s="12">
        <f t="shared" si="122"/>
        <v>725.57730710868987</v>
      </c>
      <c r="AL61" s="111"/>
      <c r="AM61" s="111"/>
      <c r="AN61" s="12">
        <v>704.5496804184146</v>
      </c>
      <c r="AO61" s="12">
        <v>788.94109086929359</v>
      </c>
      <c r="AP61" s="12">
        <v>844.07165942480287</v>
      </c>
      <c r="AQ61" s="12">
        <v>862.77588230905815</v>
      </c>
    </row>
    <row r="62" spans="1:43" ht="15">
      <c r="A62" s="119" t="s">
        <v>576</v>
      </c>
      <c r="B62">
        <f t="shared" si="123"/>
        <v>16</v>
      </c>
      <c r="C62" s="263">
        <v>40.911909200944407</v>
      </c>
      <c r="D62" s="263">
        <v>43.472466890059046</v>
      </c>
      <c r="E62" s="263">
        <v>46.683336524652951</v>
      </c>
      <c r="F62" s="263">
        <v>48.977367480453168</v>
      </c>
      <c r="G62" s="263">
        <v>50.507366203925315</v>
      </c>
      <c r="H62" s="263">
        <v>54.114758895803412</v>
      </c>
      <c r="I62" s="263">
        <v>58.020027445348646</v>
      </c>
      <c r="J62" s="12">
        <f>INDEX(DriversGams!$A$5:$BA$26,MATCH(Drivers!$A62,DriversGams!$A$5:$A$26,0),MATCH(Drivers!J$3,DriversGams!$A$5:$BA$5,0))</f>
        <v>65.034909150272583</v>
      </c>
      <c r="K62" s="12">
        <f>INDEX(DriversGams!$A$5:$BA$26,MATCH(Drivers!$A62,DriversGams!$A$5:$A$26,0),MATCH(Drivers!K$3,DriversGams!$A$5:$BA$5,0))</f>
        <v>54.044533442129755</v>
      </c>
      <c r="L62" s="12">
        <f>INDEX(DriversGams!$A$5:$BA$26,MATCH(Drivers!$A62,DriversGams!$A$5:$A$26,0),MATCH(Drivers!L$3,DriversGams!$A$5:$BA$5,0))</f>
        <v>57.181972515376259</v>
      </c>
      <c r="M62" s="12">
        <f>INDEX(DriversGams!$A$5:$BA$26,MATCH(Drivers!$A62,DriversGams!$A$5:$A$26,0),MATCH(Drivers!M$3,DriversGams!$A$5:$BA$5,0))</f>
        <v>67.978749230557511</v>
      </c>
      <c r="N62" s="12">
        <f>INDEX(DriversGams!$A$5:$BA$26,MATCH(Drivers!$A62,DriversGams!$A$5:$A$26,0),MATCH(Drivers!N$3,DriversGams!$A$5:$BA$5,0))</f>
        <v>72.023151259936242</v>
      </c>
      <c r="O62" s="12">
        <f>INDEX(DriversGams!$A$5:$BA$26,MATCH(Drivers!$A62,DriversGams!$A$5:$A$26,0),MATCH(Drivers!O$3,DriversGams!$A$5:$BA$5,0))</f>
        <v>73.530119677952626</v>
      </c>
      <c r="P62" s="12">
        <f>INDEX(DriversGams!$A$5:$BA$26,MATCH(Drivers!$A62,DriversGams!$A$5:$A$26,0),MATCH(Drivers!P$3,DriversGams!$A$5:$BA$5,0))</f>
        <v>74.610187893955839</v>
      </c>
      <c r="Q62" s="12">
        <f>INDEX(DriversGams!$A$5:$BA$26,MATCH(Drivers!$A62,DriversGams!$A$5:$A$26,0),MATCH(Drivers!Q$3,DriversGams!$A$5:$BA$5,0))</f>
        <v>74.80091518304701</v>
      </c>
      <c r="R62" s="12">
        <f>INDEX(DriversGams!$A$5:$BA$26,MATCH(Drivers!$A62,DriversGams!$A$5:$A$26,0),MATCH(Drivers!R$3,DriversGams!$A$5:$BA$5,0))</f>
        <v>77.503073262803028</v>
      </c>
      <c r="S62" s="12">
        <f>INDEX(DriversGams!$A$5:$BA$26,MATCH(Drivers!$A62,DriversGams!$A$5:$A$26,0),MATCH(Drivers!S$3,DriversGams!$A$5:$BA$5,0))</f>
        <v>80.127506991793553</v>
      </c>
      <c r="T62" s="12">
        <f>INDEX(DriversGams!$A$5:$BA$26,MATCH(Drivers!$A62,DriversGams!$A$5:$A$26,0),MATCH(Drivers!T$3,DriversGams!$A$5:$BA$5,0))</f>
        <v>82.60552518021268</v>
      </c>
      <c r="U62" s="12">
        <f>INDEX(DriversGams!$A$5:$BA$26,MATCH(Drivers!$A62,DriversGams!$A$5:$A$26,0),MATCH(Drivers!U$3,DriversGams!$A$5:$BA$5,0))</f>
        <v>84.88033245225148</v>
      </c>
      <c r="V62" s="12">
        <f>INDEX(DriversGams!$A$5:$BA$26,MATCH(Drivers!$A62,DriversGams!$A$5:$A$26,0),MATCH(Drivers!V$3,DriversGams!$A$5:$BA$5,0))</f>
        <v>87.213325173323597</v>
      </c>
      <c r="W62" s="12">
        <f>INDEX(DriversGams!$A$5:$BA$26,MATCH(Drivers!$A62,DriversGams!$A$5:$A$26,0),MATCH(Drivers!W$3,DriversGams!$A$5:$BA$5,0))</f>
        <v>89.567380843415222</v>
      </c>
      <c r="X62" s="12">
        <f>INDEX(DriversGams!$A$5:$BA$26,MATCH(Drivers!$A62,DriversGams!$A$5:$A$26,0),MATCH(Drivers!X$3,DriversGams!$A$5:$BA$5,0))</f>
        <v>91.964034426281486</v>
      </c>
      <c r="Y62" s="12">
        <f>INDEX(DriversGams!$A$5:$BA$26,MATCH(Drivers!$A62,DriversGams!$A$5:$A$26,0),MATCH(Drivers!Y$3,DriversGams!$A$5:$BA$5,0))</f>
        <v>94.388916469684304</v>
      </c>
      <c r="Z62" s="12">
        <f>INDEX(DriversGams!$A$5:$BA$26,MATCH(Drivers!$A62,DriversGams!$A$5:$A$26,0),MATCH(Drivers!Z$3,DriversGams!$A$5:$BA$5,0))</f>
        <v>97.144130022835313</v>
      </c>
      <c r="AA62" s="12">
        <f>INDEX(DriversGams!$A$5:$BA$26,MATCH(Drivers!$A62,DriversGams!$A$5:$A$26,0),MATCH(Drivers!AA$3,DriversGams!$A$5:$BA$5,0))</f>
        <v>99.323099563934079</v>
      </c>
      <c r="AB62" s="12">
        <f>INDEX(DriversGams!$A$5:$BA$26,MATCH(Drivers!$A62,DriversGams!$A$5:$A$26,0),MATCH(Drivers!AB$3,DriversGams!$A$5:$BA$5,0))</f>
        <v>101.43960939806566</v>
      </c>
      <c r="AC62" s="12">
        <f>INDEX(DriversGams!$A$5:$BA$26,MATCH(Drivers!$A62,DriversGams!$A$5:$A$26,0),MATCH(Drivers!AC$3,DriversGams!$A$5:$BA$5,0))</f>
        <v>103.4617220264274</v>
      </c>
      <c r="AD62" s="12">
        <f>INDEX(DriversGams!$A$5:$BA$26,MATCH(Drivers!$A62,DriversGams!$A$5:$A$26,0),MATCH(Drivers!AD$3,DriversGams!$A$5:$BA$5,0))</f>
        <v>105.46728009184447</v>
      </c>
      <c r="AE62" s="12">
        <f>INDEX(DriversGams!$A$5:$BA$26,MATCH(Drivers!$A62,DriversGams!$A$5:$A$26,0),MATCH(Drivers!AE$3,DriversGams!$A$5:$BA$5,0))</f>
        <v>107.43299929637493</v>
      </c>
      <c r="AF62" s="12">
        <f>INDEX(DriversGams!$A$5:$BA$26,MATCH(Drivers!$A62,DriversGams!$A$5:$A$26,0),MATCH(Drivers!AF$3,DriversGams!$A$5:$BA$5,0))</f>
        <v>115.90505978065366</v>
      </c>
      <c r="AG62" s="12">
        <f>INDEX(DriversGams!$A$5:$BA$26,MATCH(Drivers!$A62,DriversGams!$A$5:$A$26,0),MATCH(Drivers!AG$3,DriversGams!$A$5:$BA$5,0))</f>
        <v>123.74477496578093</v>
      </c>
      <c r="AH62" s="12">
        <f>INDEX(DriversGams!$A$5:$BA$26,MATCH(Drivers!$A62,DriversGams!$A$5:$A$26,0),MATCH(Drivers!AH$3,DriversGams!$A$5:$BA$5,0))</f>
        <v>132.68863558020996</v>
      </c>
      <c r="AI62" s="12">
        <f t="shared" si="120"/>
        <v>148.58216504823343</v>
      </c>
      <c r="AJ62" s="12">
        <f t="shared" si="121"/>
        <v>158.96496717518556</v>
      </c>
      <c r="AK62" s="12">
        <f t="shared" si="122"/>
        <v>162.48755455699526</v>
      </c>
      <c r="AL62" s="111"/>
      <c r="AM62" s="111"/>
      <c r="AN62" s="12">
        <v>164.08359704192165</v>
      </c>
      <c r="AO62" s="12">
        <v>183.73763503395921</v>
      </c>
      <c r="AP62" s="12">
        <v>196.57707311330375</v>
      </c>
      <c r="AQ62" s="12">
        <v>200.93312671182329</v>
      </c>
    </row>
    <row r="63" spans="1:43" ht="15">
      <c r="A63" s="119" t="s">
        <v>801</v>
      </c>
      <c r="B63">
        <f t="shared" si="123"/>
        <v>17</v>
      </c>
      <c r="C63" s="263">
        <v>6.4158612357306808</v>
      </c>
      <c r="D63" s="263">
        <v>6.604363287904599</v>
      </c>
      <c r="E63" s="263">
        <v>6.7999637989778527</v>
      </c>
      <c r="F63" s="263">
        <v>6.9251895229982949</v>
      </c>
      <c r="G63" s="263">
        <v>6.9893547700170355</v>
      </c>
      <c r="H63" s="263">
        <v>7.0969867972742753</v>
      </c>
      <c r="I63" s="263">
        <v>7.234631601362862</v>
      </c>
      <c r="J63" s="12">
        <f>INDEX(DriversGams!$A$5:$BA$26,MATCH(Drivers!$A63,DriversGams!$A$5:$A$26,0),MATCH(Drivers!J$3,DriversGams!$A$5:$BA$5,0))</f>
        <v>21.484668648898612</v>
      </c>
      <c r="K63" s="12">
        <f>INDEX(DriversGams!$A$5:$BA$26,MATCH(Drivers!$A63,DriversGams!$A$5:$A$26,0),MATCH(Drivers!K$3,DriversGams!$A$5:$BA$5,0))</f>
        <v>18.15906473530341</v>
      </c>
      <c r="L63" s="12">
        <f>INDEX(DriversGams!$A$5:$BA$26,MATCH(Drivers!$A63,DriversGams!$A$5:$A$26,0),MATCH(Drivers!L$3,DriversGams!$A$5:$BA$5,0))</f>
        <v>19.070267733876236</v>
      </c>
      <c r="M63" s="12">
        <f>INDEX(DriversGams!$A$5:$BA$26,MATCH(Drivers!$A63,DriversGams!$A$5:$A$26,0),MATCH(Drivers!M$3,DriversGams!$A$5:$BA$5,0))</f>
        <v>21.88053527685851</v>
      </c>
      <c r="N63" s="12">
        <f>INDEX(DriversGams!$A$5:$BA$26,MATCH(Drivers!$A63,DriversGams!$A$5:$A$26,0),MATCH(Drivers!N$3,DriversGams!$A$5:$BA$5,0))</f>
        <v>22.524719795279225</v>
      </c>
      <c r="O63" s="12">
        <f>INDEX(DriversGams!$A$5:$BA$26,MATCH(Drivers!$A63,DriversGams!$A$5:$A$26,0),MATCH(Drivers!O$3,DriversGams!$A$5:$BA$5,0))</f>
        <v>22.794883785932011</v>
      </c>
      <c r="P63" s="12">
        <f>INDEX(DriversGams!$A$5:$BA$26,MATCH(Drivers!$A63,DriversGams!$A$5:$A$26,0),MATCH(Drivers!P$3,DriversGams!$A$5:$BA$5,0))</f>
        <v>23.089255429157635</v>
      </c>
      <c r="Q63" s="12">
        <f>INDEX(DriversGams!$A$5:$BA$26,MATCH(Drivers!$A63,DriversGams!$A$5:$A$26,0),MATCH(Drivers!Q$3,DriversGams!$A$5:$BA$5,0))</f>
        <v>23.380417358148659</v>
      </c>
      <c r="R63" s="12">
        <f>INDEX(DriversGams!$A$5:$BA$26,MATCH(Drivers!$A63,DriversGams!$A$5:$A$26,0),MATCH(Drivers!R$3,DriversGams!$A$5:$BA$5,0))</f>
        <v>24.193455146545801</v>
      </c>
      <c r="S63" s="12">
        <f>INDEX(DriversGams!$A$5:$BA$26,MATCH(Drivers!$A63,DriversGams!$A$5:$A$26,0),MATCH(Drivers!S$3,DriversGams!$A$5:$BA$5,0))</f>
        <v>25.080417868685494</v>
      </c>
      <c r="T63" s="12">
        <f>INDEX(DriversGams!$A$5:$BA$26,MATCH(Drivers!$A63,DriversGams!$A$5:$A$26,0),MATCH(Drivers!T$3,DriversGams!$A$5:$BA$5,0))</f>
        <v>26.051211582299722</v>
      </c>
      <c r="U63" s="12">
        <f>INDEX(DriversGams!$A$5:$BA$26,MATCH(Drivers!$A63,DriversGams!$A$5:$A$26,0),MATCH(Drivers!U$3,DriversGams!$A$5:$BA$5,0))</f>
        <v>27.02001990476753</v>
      </c>
      <c r="V63" s="12">
        <f>INDEX(DriversGams!$A$5:$BA$26,MATCH(Drivers!$A63,DriversGams!$A$5:$A$26,0),MATCH(Drivers!V$3,DriversGams!$A$5:$BA$5,0))</f>
        <v>27.917377660404128</v>
      </c>
      <c r="W63" s="12">
        <f>INDEX(DriversGams!$A$5:$BA$26,MATCH(Drivers!$A63,DriversGams!$A$5:$A$26,0),MATCH(Drivers!W$3,DriversGams!$A$5:$BA$5,0))</f>
        <v>28.832492923442221</v>
      </c>
      <c r="X63" s="12">
        <f>INDEX(DriversGams!$A$5:$BA$26,MATCH(Drivers!$A63,DriversGams!$A$5:$A$26,0),MATCH(Drivers!X$3,DriversGams!$A$5:$BA$5,0))</f>
        <v>29.801114454337416</v>
      </c>
      <c r="Y63" s="12">
        <f>INDEX(DriversGams!$A$5:$BA$26,MATCH(Drivers!$A63,DriversGams!$A$5:$A$26,0),MATCH(Drivers!Y$3,DriversGams!$A$5:$BA$5,0))</f>
        <v>30.715158008249404</v>
      </c>
      <c r="Z63" s="12">
        <f>INDEX(DriversGams!$A$5:$BA$26,MATCH(Drivers!$A63,DriversGams!$A$5:$A$26,0),MATCH(Drivers!Z$3,DriversGams!$A$5:$BA$5,0))</f>
        <v>31.682757951902161</v>
      </c>
      <c r="AA63" s="12">
        <f>INDEX(DriversGams!$A$5:$BA$26,MATCH(Drivers!$A63,DriversGams!$A$5:$A$26,0),MATCH(Drivers!AA$3,DriversGams!$A$5:$BA$5,0))</f>
        <v>32.446867651890841</v>
      </c>
      <c r="AB63" s="12">
        <f>INDEX(DriversGams!$A$5:$BA$26,MATCH(Drivers!$A63,DriversGams!$A$5:$A$26,0),MATCH(Drivers!AB$3,DriversGams!$A$5:$BA$5,0))</f>
        <v>33.256123923593968</v>
      </c>
      <c r="AC63" s="12">
        <f>INDEX(DriversGams!$A$5:$BA$26,MATCH(Drivers!$A63,DriversGams!$A$5:$A$26,0),MATCH(Drivers!AC$3,DriversGams!$A$5:$BA$5,0))</f>
        <v>34.078096858682827</v>
      </c>
      <c r="AD63" s="12">
        <f>INDEX(DriversGams!$A$5:$BA$26,MATCH(Drivers!$A63,DriversGams!$A$5:$A$26,0),MATCH(Drivers!AD$3,DriversGams!$A$5:$BA$5,0))</f>
        <v>34.906161249443052</v>
      </c>
      <c r="AE63" s="12">
        <f>INDEX(DriversGams!$A$5:$BA$26,MATCH(Drivers!$A63,DriversGams!$A$5:$A$26,0),MATCH(Drivers!AE$3,DriversGams!$A$5:$BA$5,0))</f>
        <v>35.775282786458767</v>
      </c>
      <c r="AF63" s="12">
        <f>INDEX(DriversGams!$A$5:$BA$26,MATCH(Drivers!$A63,DriversGams!$A$5:$A$26,0),MATCH(Drivers!AF$3,DriversGams!$A$5:$BA$5,0))</f>
        <v>39.978607171809244</v>
      </c>
      <c r="AG63" s="12">
        <f>INDEX(DriversGams!$A$5:$BA$26,MATCH(Drivers!$A63,DriversGams!$A$5:$A$26,0),MATCH(Drivers!AG$3,DriversGams!$A$5:$BA$5,0))</f>
        <v>44.118005824147517</v>
      </c>
      <c r="AH63" s="12">
        <f>INDEX(DriversGams!$A$5:$BA$26,MATCH(Drivers!$A63,DriversGams!$A$5:$A$26,0),MATCH(Drivers!AH$3,DriversGams!$A$5:$BA$5,0))</f>
        <v>49.084069755035877</v>
      </c>
      <c r="AI63" s="12">
        <f t="shared" si="120"/>
        <v>54.963390961791404</v>
      </c>
      <c r="AJ63" s="12">
        <f t="shared" si="121"/>
        <v>58.8041884922173</v>
      </c>
      <c r="AK63" s="12">
        <f t="shared" si="122"/>
        <v>60.107261087778348</v>
      </c>
      <c r="AL63" s="111"/>
      <c r="AM63" s="111"/>
      <c r="AN63" s="12">
        <v>19.735512661864522</v>
      </c>
      <c r="AO63" s="12">
        <v>22.099444966136986</v>
      </c>
      <c r="AP63" s="12">
        <v>23.643736396567963</v>
      </c>
      <c r="AQ63" s="12">
        <v>24.167670247965546</v>
      </c>
    </row>
    <row r="64" spans="1:43" ht="15">
      <c r="A64" s="119" t="s">
        <v>581</v>
      </c>
      <c r="B64">
        <f t="shared" si="123"/>
        <v>18</v>
      </c>
      <c r="C64" s="263">
        <v>125.48003402211921</v>
      </c>
      <c r="D64" s="263">
        <v>127.1852732099033</v>
      </c>
      <c r="E64" s="263">
        <v>121.33259319855085</v>
      </c>
      <c r="F64" s="263">
        <v>115.48558072755804</v>
      </c>
      <c r="G64" s="263">
        <v>115.29855189569106</v>
      </c>
      <c r="H64" s="263">
        <v>115.15875256682079</v>
      </c>
      <c r="I64" s="263">
        <v>113.64929765104591</v>
      </c>
      <c r="J64" s="12">
        <f>INDEX(DriversGams!$A$5:$BA$26,MATCH(Drivers!$A64,DriversGams!$A$5:$A$26,0),MATCH(Drivers!J$3,DriversGams!$A$5:$BA$5,0))</f>
        <v>94.108496528502243</v>
      </c>
      <c r="K64" s="12">
        <f>INDEX(DriversGams!$A$5:$BA$26,MATCH(Drivers!$A64,DriversGams!$A$5:$A$26,0),MATCH(Drivers!K$3,DriversGams!$A$5:$BA$5,0))</f>
        <v>89.904190941820815</v>
      </c>
      <c r="L64" s="12">
        <f>INDEX(DriversGams!$A$5:$BA$26,MATCH(Drivers!$A64,DriversGams!$A$5:$A$26,0),MATCH(Drivers!L$3,DriversGams!$A$5:$BA$5,0))</f>
        <v>89.546872171053238</v>
      </c>
      <c r="M64" s="12">
        <f>INDEX(DriversGams!$A$5:$BA$26,MATCH(Drivers!$A64,DriversGams!$A$5:$A$26,0),MATCH(Drivers!M$3,DriversGams!$A$5:$BA$5,0))</f>
        <v>88.48421496996113</v>
      </c>
      <c r="N64" s="12">
        <f>INDEX(DriversGams!$A$5:$BA$26,MATCH(Drivers!$A64,DriversGams!$A$5:$A$26,0),MATCH(Drivers!N$3,DriversGams!$A$5:$BA$5,0))</f>
        <v>84.442073396567309</v>
      </c>
      <c r="O64" s="12">
        <f>INDEX(DriversGams!$A$5:$BA$26,MATCH(Drivers!$A64,DriversGams!$A$5:$A$26,0),MATCH(Drivers!O$3,DriversGams!$A$5:$BA$5,0))</f>
        <v>80.270058885719138</v>
      </c>
      <c r="P64" s="12">
        <f>INDEX(DriversGams!$A$5:$BA$26,MATCH(Drivers!$A64,DriversGams!$A$5:$A$26,0),MATCH(Drivers!P$3,DriversGams!$A$5:$BA$5,0))</f>
        <v>73.313210419290016</v>
      </c>
      <c r="Q64" s="12">
        <f>INDEX(DriversGams!$A$5:$BA$26,MATCH(Drivers!$A64,DriversGams!$A$5:$A$26,0),MATCH(Drivers!Q$3,DriversGams!$A$5:$BA$5,0))</f>
        <v>71.130947383627486</v>
      </c>
      <c r="R64" s="12">
        <f>INDEX(DriversGams!$A$5:$BA$26,MATCH(Drivers!$A64,DriversGams!$A$5:$A$26,0),MATCH(Drivers!R$3,DriversGams!$A$5:$BA$5,0))</f>
        <v>67.488224761727565</v>
      </c>
      <c r="S64" s="12">
        <f>INDEX(DriversGams!$A$5:$BA$26,MATCH(Drivers!$A64,DriversGams!$A$5:$A$26,0),MATCH(Drivers!S$3,DriversGams!$A$5:$BA$5,0))</f>
        <v>64.295781784494054</v>
      </c>
      <c r="T64" s="12">
        <f>INDEX(DriversGams!$A$5:$BA$26,MATCH(Drivers!$A64,DriversGams!$A$5:$A$26,0),MATCH(Drivers!T$3,DriversGams!$A$5:$BA$5,0))</f>
        <v>62.047819561047383</v>
      </c>
      <c r="U64" s="12">
        <f>INDEX(DriversGams!$A$5:$BA$26,MATCH(Drivers!$A64,DriversGams!$A$5:$A$26,0),MATCH(Drivers!U$3,DriversGams!$A$5:$BA$5,0))</f>
        <v>59.290369528251816</v>
      </c>
      <c r="V64" s="12">
        <f>INDEX(DriversGams!$A$5:$BA$26,MATCH(Drivers!$A64,DriversGams!$A$5:$A$26,0),MATCH(Drivers!V$3,DriversGams!$A$5:$BA$5,0))</f>
        <v>58.324070109596121</v>
      </c>
      <c r="W64" s="12">
        <f>INDEX(DriversGams!$A$5:$BA$26,MATCH(Drivers!$A64,DriversGams!$A$5:$A$26,0),MATCH(Drivers!W$3,DriversGams!$A$5:$BA$5,0))</f>
        <v>57.497418771655887</v>
      </c>
      <c r="X64" s="12">
        <f>INDEX(DriversGams!$A$5:$BA$26,MATCH(Drivers!$A64,DriversGams!$A$5:$A$26,0),MATCH(Drivers!X$3,DriversGams!$A$5:$BA$5,0))</f>
        <v>56.654789269713049</v>
      </c>
      <c r="Y64" s="12">
        <f>INDEX(DriversGams!$A$5:$BA$26,MATCH(Drivers!$A64,DriversGams!$A$5:$A$26,0),MATCH(Drivers!Y$3,DriversGams!$A$5:$BA$5,0))</f>
        <v>55.27027028390696</v>
      </c>
      <c r="Z64" s="12">
        <f>INDEX(DriversGams!$A$5:$BA$26,MATCH(Drivers!$A64,DriversGams!$A$5:$A$26,0),MATCH(Drivers!Z$3,DriversGams!$A$5:$BA$5,0))</f>
        <v>54.940729566865478</v>
      </c>
      <c r="AA64" s="12">
        <f>INDEX(DriversGams!$A$5:$BA$26,MATCH(Drivers!$A64,DriversGams!$A$5:$A$26,0),MATCH(Drivers!AA$3,DriversGams!$A$5:$BA$5,0))</f>
        <v>53.978780028664801</v>
      </c>
      <c r="AB64" s="12">
        <f>INDEX(DriversGams!$A$5:$BA$26,MATCH(Drivers!$A64,DriversGams!$A$5:$A$26,0),MATCH(Drivers!AB$3,DriversGams!$A$5:$BA$5,0))</f>
        <v>52.539527619738081</v>
      </c>
      <c r="AC64" s="12">
        <f>INDEX(DriversGams!$A$5:$BA$26,MATCH(Drivers!$A64,DriversGams!$A$5:$A$26,0),MATCH(Drivers!AC$3,DriversGams!$A$5:$BA$5,0))</f>
        <v>51.002162948954741</v>
      </c>
      <c r="AD64" s="12">
        <f>INDEX(DriversGams!$A$5:$BA$26,MATCH(Drivers!$A64,DriversGams!$A$5:$A$26,0),MATCH(Drivers!AD$3,DriversGams!$A$5:$BA$5,0))</f>
        <v>48.848931079237701</v>
      </c>
      <c r="AE64" s="12">
        <f>INDEX(DriversGams!$A$5:$BA$26,MATCH(Drivers!$A64,DriversGams!$A$5:$A$26,0),MATCH(Drivers!AE$3,DriversGams!$A$5:$BA$5,0))</f>
        <v>46.692754482779144</v>
      </c>
      <c r="AF64" s="12">
        <f>INDEX(DriversGams!$A$5:$BA$26,MATCH(Drivers!$A64,DriversGams!$A$5:$A$26,0),MATCH(Drivers!AF$3,DriversGams!$A$5:$BA$5,0))</f>
        <v>34.694636212440741</v>
      </c>
      <c r="AG64" s="12">
        <f>INDEX(DriversGams!$A$5:$BA$26,MATCH(Drivers!$A64,DriversGams!$A$5:$A$26,0),MATCH(Drivers!AG$3,DriversGams!$A$5:$BA$5,0))</f>
        <v>11.704945518482393</v>
      </c>
      <c r="AH64" s="12">
        <f>INDEX(DriversGams!$A$5:$BA$26,MATCH(Drivers!$A64,DriversGams!$A$5:$A$26,0),MATCH(Drivers!AH$3,DriversGams!$A$5:$BA$5,0))</f>
        <v>11.94942051347957</v>
      </c>
      <c r="AI64" s="12">
        <f t="shared" si="120"/>
        <v>11.249457198166251</v>
      </c>
      <c r="AJ64" s="12">
        <f t="shared" si="121"/>
        <v>10.590495757565748</v>
      </c>
      <c r="AK64" s="12">
        <f t="shared" si="122"/>
        <v>9.9701344176233508</v>
      </c>
      <c r="AL64" s="111"/>
      <c r="AM64" s="111"/>
      <c r="AN64" s="12">
        <v>81.728458246781216</v>
      </c>
      <c r="AO64" s="12">
        <v>76.941035917361077</v>
      </c>
      <c r="AP64" s="12">
        <v>72.434047271040967</v>
      </c>
      <c r="AQ64" s="12">
        <v>68.19106529445007</v>
      </c>
    </row>
    <row r="65" spans="1:43" ht="15">
      <c r="A65" s="119" t="s">
        <v>511</v>
      </c>
      <c r="B65">
        <f t="shared" si="123"/>
        <v>19</v>
      </c>
      <c r="C65" s="263">
        <v>154.18842101590053</v>
      </c>
      <c r="D65" s="263">
        <v>151.87047226763119</v>
      </c>
      <c r="E65" s="263">
        <v>148.71168942836181</v>
      </c>
      <c r="F65" s="263">
        <v>145.49800306349678</v>
      </c>
      <c r="G65" s="263">
        <v>142.32274916654868</v>
      </c>
      <c r="H65" s="263">
        <v>141.64560568420242</v>
      </c>
      <c r="I65" s="263">
        <v>143.22499710383713</v>
      </c>
      <c r="J65" s="12">
        <f>INDEX(DriversGams!$A$5:$BA$26,MATCH(Drivers!$A65,DriversGams!$A$5:$A$26,0),MATCH(Drivers!J$3,DriversGams!$A$5:$BA$5,0))</f>
        <v>142.1654628389569</v>
      </c>
      <c r="K65" s="12">
        <f>INDEX(DriversGams!$A$5:$BA$26,MATCH(Drivers!$A65,DriversGams!$A$5:$A$26,0),MATCH(Drivers!K$3,DriversGams!$A$5:$BA$5,0))</f>
        <v>135.46633297828973</v>
      </c>
      <c r="L65" s="12">
        <f>INDEX(DriversGams!$A$5:$BA$26,MATCH(Drivers!$A65,DriversGams!$A$5:$A$26,0),MATCH(Drivers!L$3,DriversGams!$A$5:$BA$5,0))</f>
        <v>144.16974142524791</v>
      </c>
      <c r="M65" s="12">
        <f>INDEX(DriversGams!$A$5:$BA$26,MATCH(Drivers!$A65,DriversGams!$A$5:$A$26,0),MATCH(Drivers!M$3,DriversGams!$A$5:$BA$5,0))</f>
        <v>146.0015217941517</v>
      </c>
      <c r="N65" s="12">
        <f>INDEX(DriversGams!$A$5:$BA$26,MATCH(Drivers!$A65,DriversGams!$A$5:$A$26,0),MATCH(Drivers!N$3,DriversGams!$A$5:$BA$5,0))</f>
        <v>140.99247158102477</v>
      </c>
      <c r="O65" s="12">
        <f>INDEX(DriversGams!$A$5:$BA$26,MATCH(Drivers!$A65,DriversGams!$A$5:$A$26,0),MATCH(Drivers!O$3,DriversGams!$A$5:$BA$5,0))</f>
        <v>140.70016455869595</v>
      </c>
      <c r="P65" s="12">
        <f>INDEX(DriversGams!$A$5:$BA$26,MATCH(Drivers!$A65,DriversGams!$A$5:$A$26,0),MATCH(Drivers!P$3,DriversGams!$A$5:$BA$5,0))</f>
        <v>136.14096238061538</v>
      </c>
      <c r="Q65" s="12">
        <f>INDEX(DriversGams!$A$5:$BA$26,MATCH(Drivers!$A65,DriversGams!$A$5:$A$26,0),MATCH(Drivers!Q$3,DriversGams!$A$5:$BA$5,0))</f>
        <v>142.04836437977761</v>
      </c>
      <c r="R65" s="12">
        <f>INDEX(DriversGams!$A$5:$BA$26,MATCH(Drivers!$A65,DriversGams!$A$5:$A$26,0),MATCH(Drivers!R$3,DriversGams!$A$5:$BA$5,0))</f>
        <v>141.1713724137999</v>
      </c>
      <c r="S65" s="12">
        <f>INDEX(DriversGams!$A$5:$BA$26,MATCH(Drivers!$A65,DriversGams!$A$5:$A$26,0),MATCH(Drivers!S$3,DriversGams!$A$5:$BA$5,0))</f>
        <v>145.08533967491445</v>
      </c>
      <c r="T65" s="12">
        <f>INDEX(DriversGams!$A$5:$BA$26,MATCH(Drivers!$A65,DriversGams!$A$5:$A$26,0),MATCH(Drivers!T$3,DriversGams!$A$5:$BA$5,0))</f>
        <v>146.83520234605228</v>
      </c>
      <c r="U65" s="12">
        <f>INDEX(DriversGams!$A$5:$BA$26,MATCH(Drivers!$A65,DriversGams!$A$5:$A$26,0),MATCH(Drivers!U$3,DriversGams!$A$5:$BA$5,0))</f>
        <v>148.70559542165128</v>
      </c>
      <c r="V65" s="12">
        <f>INDEX(DriversGams!$A$5:$BA$26,MATCH(Drivers!$A65,DriversGams!$A$5:$A$26,0),MATCH(Drivers!V$3,DriversGams!$A$5:$BA$5,0))</f>
        <v>152.45834863156287</v>
      </c>
      <c r="W65" s="12">
        <f>INDEX(DriversGams!$A$5:$BA$26,MATCH(Drivers!$A65,DriversGams!$A$5:$A$26,0),MATCH(Drivers!W$3,DriversGams!$A$5:$BA$5,0))</f>
        <v>156.74975426977034</v>
      </c>
      <c r="X65" s="12">
        <f>INDEX(DriversGams!$A$5:$BA$26,MATCH(Drivers!$A65,DriversGams!$A$5:$A$26,0),MATCH(Drivers!X$3,DriversGams!$A$5:$BA$5,0))</f>
        <v>161.67039367507846</v>
      </c>
      <c r="Y65" s="12">
        <f>INDEX(DriversGams!$A$5:$BA$26,MATCH(Drivers!$A65,DriversGams!$A$5:$A$26,0),MATCH(Drivers!Y$3,DriversGams!$A$5:$BA$5,0))</f>
        <v>170.48916112229026</v>
      </c>
      <c r="Z65" s="12">
        <f>INDEX(DriversGams!$A$5:$BA$26,MATCH(Drivers!$A65,DriversGams!$A$5:$A$26,0),MATCH(Drivers!Z$3,DriversGams!$A$5:$BA$5,0))</f>
        <v>175.82953022629869</v>
      </c>
      <c r="AA65" s="12">
        <f>INDEX(DriversGams!$A$5:$BA$26,MATCH(Drivers!$A65,DriversGams!$A$5:$A$26,0),MATCH(Drivers!AA$3,DriversGams!$A$5:$BA$5,0))</f>
        <v>181.39384286731183</v>
      </c>
      <c r="AB65" s="12">
        <f>INDEX(DriversGams!$A$5:$BA$26,MATCH(Drivers!$A65,DriversGams!$A$5:$A$26,0),MATCH(Drivers!AB$3,DriversGams!$A$5:$BA$5,0))</f>
        <v>186.43316964714808</v>
      </c>
      <c r="AC65" s="12">
        <f>INDEX(DriversGams!$A$5:$BA$26,MATCH(Drivers!$A65,DriversGams!$A$5:$A$26,0),MATCH(Drivers!AC$3,DriversGams!$A$5:$BA$5,0))</f>
        <v>191.87447637436713</v>
      </c>
      <c r="AD65" s="12">
        <f>INDEX(DriversGams!$A$5:$BA$26,MATCH(Drivers!$A65,DriversGams!$A$5:$A$26,0),MATCH(Drivers!AD$3,DriversGams!$A$5:$BA$5,0))</f>
        <v>197.14502592117469</v>
      </c>
      <c r="AE65" s="12">
        <f>INDEX(DriversGams!$A$5:$BA$26,MATCH(Drivers!$A65,DriversGams!$A$5:$A$26,0),MATCH(Drivers!AE$3,DriversGams!$A$5:$BA$5,0))</f>
        <v>203.05581121014166</v>
      </c>
      <c r="AF65" s="12">
        <f>INDEX(DriversGams!$A$5:$BA$26,MATCH(Drivers!$A65,DriversGams!$A$5:$A$26,0),MATCH(Drivers!AF$3,DriversGams!$A$5:$BA$5,0))</f>
        <v>233.49569600080574</v>
      </c>
      <c r="AG65" s="12">
        <f>INDEX(DriversGams!$A$5:$BA$26,MATCH(Drivers!$A65,DriversGams!$A$5:$A$26,0),MATCH(Drivers!AG$3,DriversGams!$A$5:$BA$5,0))</f>
        <v>312.58129449068952</v>
      </c>
      <c r="AH65" s="12">
        <f>INDEX(DriversGams!$A$5:$BA$26,MATCH(Drivers!$A65,DriversGams!$A$5:$A$26,0),MATCH(Drivers!AH$3,DriversGams!$A$5:$BA$5,0))</f>
        <v>343.92980018811841</v>
      </c>
      <c r="AI65" s="12">
        <f t="shared" si="120"/>
        <v>385.12593119299981</v>
      </c>
      <c r="AJ65" s="12">
        <f t="shared" si="121"/>
        <v>412.03822134731968</v>
      </c>
      <c r="AK65" s="12">
        <f t="shared" si="122"/>
        <v>421.16879058614984</v>
      </c>
      <c r="AL65" s="111"/>
      <c r="AM65" s="111"/>
      <c r="AN65" s="12">
        <v>384.91017699093248</v>
      </c>
      <c r="AO65" s="12">
        <v>431.01496368797757</v>
      </c>
      <c r="AP65" s="12">
        <v>461.13394250535436</v>
      </c>
      <c r="AQ65" s="12">
        <v>471.35244936292753</v>
      </c>
    </row>
    <row r="66" spans="1:43" ht="15">
      <c r="A66" s="8" t="s">
        <v>5</v>
      </c>
      <c r="B66">
        <f t="shared" si="123"/>
        <v>20</v>
      </c>
      <c r="C66" s="286">
        <f>SUM(C45:C65)</f>
        <v>4032.0433682922144</v>
      </c>
      <c r="D66" s="286">
        <f t="shared" si="124" ref="D66:I66">SUM(D45:D65)</f>
        <v>4135.6011269326036</v>
      </c>
      <c r="E66" s="286">
        <f t="shared" si="124"/>
        <v>4214.5620530894539</v>
      </c>
      <c r="F66" s="286">
        <f t="shared" si="124"/>
        <v>4269.9104508291794</v>
      </c>
      <c r="G66" s="286">
        <f t="shared" si="124"/>
        <v>4306.3530098044157</v>
      </c>
      <c r="H66" s="286">
        <f t="shared" si="124"/>
        <v>4369.2882721535752</v>
      </c>
      <c r="I66" s="286">
        <f t="shared" si="124"/>
        <v>4424.2547121291227</v>
      </c>
      <c r="J66" s="112">
        <f t="shared" si="125" ref="J66:AK66">SUM(J45:J65)</f>
        <v>4401.0141751148003</v>
      </c>
      <c r="K66" s="112">
        <f t="shared" si="125"/>
        <v>4135.9247030534243</v>
      </c>
      <c r="L66" s="112">
        <f t="shared" si="125"/>
        <v>4355.5204344564081</v>
      </c>
      <c r="M66" s="112">
        <f t="shared" si="125"/>
        <v>4472.5866770422872</v>
      </c>
      <c r="N66" s="112">
        <f t="shared" si="125"/>
        <v>4517.8395987085296</v>
      </c>
      <c r="O66" s="112">
        <f t="shared" si="125"/>
        <v>4572.7802136160417</v>
      </c>
      <c r="P66" s="112">
        <f t="shared" si="125"/>
        <v>4636.553037127429</v>
      </c>
      <c r="Q66" s="112">
        <f t="shared" si="125"/>
        <v>4730.5484798187708</v>
      </c>
      <c r="R66" s="112">
        <f t="shared" si="125"/>
        <v>4830.7130397042329</v>
      </c>
      <c r="S66" s="112">
        <f t="shared" si="125"/>
        <v>4950.7648136364069</v>
      </c>
      <c r="T66" s="112">
        <f t="shared" si="125"/>
        <v>5091.3566175086526</v>
      </c>
      <c r="U66" s="112">
        <f t="shared" si="125"/>
        <v>5253.4126287473846</v>
      </c>
      <c r="V66" s="112">
        <f t="shared" si="125"/>
        <v>5429.1689225441887</v>
      </c>
      <c r="W66" s="112">
        <f t="shared" si="125"/>
        <v>5614.2631317872529</v>
      </c>
      <c r="X66" s="112">
        <f t="shared" si="125"/>
        <v>5809.8470255790235</v>
      </c>
      <c r="Y66" s="112">
        <f t="shared" si="125"/>
        <v>6014.6475432913739</v>
      </c>
      <c r="Z66" s="112">
        <f t="shared" si="125"/>
        <v>6216.1718386694838</v>
      </c>
      <c r="AA66" s="112">
        <f t="shared" si="125"/>
        <v>6417.6079133766534</v>
      </c>
      <c r="AB66" s="112">
        <f t="shared" si="125"/>
        <v>6627.3984759366904</v>
      </c>
      <c r="AC66" s="112">
        <f t="shared" si="125"/>
        <v>6845.8493326684284</v>
      </c>
      <c r="AD66" s="112">
        <f t="shared" si="125"/>
        <v>7072.938535838095</v>
      </c>
      <c r="AE66" s="112">
        <f t="shared" si="125"/>
        <v>7307.9129353584567</v>
      </c>
      <c r="AF66" s="112">
        <f t="shared" si="125"/>
        <v>8522.4877414922084</v>
      </c>
      <c r="AG66" s="67">
        <f t="shared" si="125"/>
        <v>9851.4252754569188</v>
      </c>
      <c r="AH66" s="67">
        <f t="shared" si="125"/>
        <v>11410.691190508524</v>
      </c>
      <c r="AI66" s="67">
        <f t="shared" si="125"/>
        <v>12741.40772877615</v>
      </c>
      <c r="AJ66" s="67">
        <f t="shared" si="125"/>
        <v>13607.315061968979</v>
      </c>
      <c r="AK66" s="67">
        <f t="shared" si="125"/>
        <v>13894.378444067319</v>
      </c>
      <c r="AL66" s="112"/>
      <c r="AM66" s="112"/>
      <c r="AN66" s="67">
        <v>11528.13477236027</v>
      </c>
      <c r="AO66" s="67">
        <v>12862.10118730256</v>
      </c>
      <c r="AP66" s="67">
        <v>13729.107842808744</v>
      </c>
      <c r="AQ66" s="67">
        <v>14014.530203526238</v>
      </c>
    </row>
    <row r="67" spans="1:43" s="29" customFormat="1" ht="15">
      <c r="A67" s="210" t="s">
        <v>263</v>
      </c>
      <c r="B67">
        <f t="shared" si="123"/>
        <v>21</v>
      </c>
      <c r="C67" s="265"/>
      <c r="D67" s="211">
        <v>0.026436281887547874</v>
      </c>
      <c r="E67" s="211">
        <v>0.020165921894981231</v>
      </c>
      <c r="F67" s="211">
        <v>0.01407744097509589</v>
      </c>
      <c r="G67" s="211">
        <v>0.0089337784405372211</v>
      </c>
      <c r="H67" s="211">
        <v>0.014827464040109817</v>
      </c>
      <c r="I67" s="211">
        <v>0.012732896737821964</v>
      </c>
      <c r="J67" s="211">
        <v>0.0072531087632679014</v>
      </c>
      <c r="K67" s="211">
        <v>-0.072462496857853442</v>
      </c>
      <c r="L67" s="211">
        <f t="shared" si="126" ref="L67">L66/K66-1</f>
        <v>0.053094712106548592</v>
      </c>
      <c r="M67" s="211">
        <f t="shared" si="127" ref="M67">M66/L66-1</f>
        <v>0.026877670383490981</v>
      </c>
      <c r="N67" s="211">
        <f t="shared" si="128" ref="N67">N66/M66-1</f>
        <v>0.010117841180926623</v>
      </c>
      <c r="O67" s="211">
        <f t="shared" si="129" ref="O67">O66/N66-1</f>
        <v>0.012160815741049547</v>
      </c>
      <c r="P67" s="211">
        <f t="shared" si="130" ref="P67">P66/O66-1</f>
        <v>0.013946181651480982</v>
      </c>
      <c r="Q67" s="211">
        <f t="shared" si="131" ref="Q67">Q66/P66-1</f>
        <v>0.020272698692038738</v>
      </c>
      <c r="R67" s="211">
        <f t="shared" si="132" ref="R67">R66/Q66-1</f>
        <v>0.021173984436007487</v>
      </c>
      <c r="S67" s="211">
        <f t="shared" si="133" ref="S67">S66/R66-1</f>
        <v>0.024851770938462581</v>
      </c>
      <c r="T67" s="211">
        <f t="shared" si="134" ref="T67">T66/S66-1</f>
        <v>0.028397996908477552</v>
      </c>
      <c r="U67" s="211">
        <f t="shared" si="135" ref="U67">U66/T66-1</f>
        <v>0.031829632731173785</v>
      </c>
      <c r="V67" s="211">
        <f t="shared" si="136" ref="V67">V66/U66-1</f>
        <v>0.033455642306686961</v>
      </c>
      <c r="W67" s="211">
        <f t="shared" si="137" ref="W67">W66/V66-1</f>
        <v>0.03409254931716621</v>
      </c>
      <c r="X67" s="211">
        <f t="shared" si="138" ref="X67">X66/W66-1</f>
        <v>0.034836965991921431</v>
      </c>
      <c r="Y67" s="211">
        <f t="shared" si="139" ref="Y67">Y66/X66-1</f>
        <v>0.035250586945004825</v>
      </c>
      <c r="Z67" s="211">
        <f t="shared" si="140" ref="Z67">Z66/Y66-1</f>
        <v>0.033505586807474064</v>
      </c>
      <c r="AA67" s="211">
        <f t="shared" si="141" ref="AA67">AA66/Z66-1</f>
        <v>0.032405165097605382</v>
      </c>
      <c r="AB67" s="211">
        <f t="shared" si="142" ref="AB67">AB66/AA66-1</f>
        <v>0.032689837925865772</v>
      </c>
      <c r="AC67" s="211">
        <f t="shared" si="143" ref="AC67">AC66/AB66-1</f>
        <v>0.032961780934843032</v>
      </c>
      <c r="AD67" s="211">
        <f t="shared" si="144" ref="AD67">AD66/AC66-1</f>
        <v>0.033171808512640677</v>
      </c>
      <c r="AE67" s="211">
        <f t="shared" si="145" ref="AE67">AE66/AD66-1</f>
        <v>0.03322160914162664</v>
      </c>
      <c r="AF67" s="211">
        <f>(AF66/AE66)^(1/5)-1</f>
        <v>0.031227780614942358</v>
      </c>
      <c r="AG67" s="211">
        <f>(AG66/AF66)^(1/5)-1</f>
        <v>0.029405623605046838</v>
      </c>
      <c r="AH67" s="211">
        <f t="shared" si="146" ref="AH67:AK67">(AH66/AG66)^(1/5)-1</f>
        <v>0.02982297586987559</v>
      </c>
      <c r="AI67" s="211">
        <f t="shared" si="146"/>
        <v>0.02230642972544894</v>
      </c>
      <c r="AJ67" s="211">
        <f t="shared" si="146"/>
        <v>0.01323691840053054</v>
      </c>
      <c r="AK67" s="211">
        <f t="shared" si="146"/>
        <v>0.0041840908691050949</v>
      </c>
      <c r="AL67" s="210"/>
      <c r="AM67" s="210"/>
      <c r="AN67" s="211">
        <v>0.031148792311749718</v>
      </c>
      <c r="AO67" s="211">
        <v>0.022140450115355259</v>
      </c>
      <c r="AP67" s="211">
        <v>0.013132107425591899</v>
      </c>
      <c r="AQ67" s="211">
        <v>0.0041237642291809262</v>
      </c>
    </row>
    <row r="68" spans="1:43" ht="15">
      <c r="A68" t="s">
        <v>592</v>
      </c>
      <c r="B68">
        <f t="shared" si="123"/>
        <v>22</v>
      </c>
      <c r="C68" s="264">
        <v>52.325432882070082</v>
      </c>
      <c r="D68" s="263">
        <v>53.104386458423342</v>
      </c>
      <c r="E68" s="263">
        <v>53.912365691429272</v>
      </c>
      <c r="F68" s="263">
        <v>54.750491457321111</v>
      </c>
      <c r="G68" s="263">
        <v>55.619940469824826</v>
      </c>
      <c r="H68" s="263">
        <v>56.521948041648095</v>
      </c>
      <c r="I68" s="263">
        <v>57.436000617299655</v>
      </c>
      <c r="J68" s="111">
        <f>INDEX(DriversGams!$A$44:$AN$44,1,MATCH(Drivers!J$3,DriversGams!$A$43:$AN$43,0))/1000</f>
        <v>58.364834921819444</v>
      </c>
      <c r="K68" s="111">
        <f>INDEX(DriversGams!$A$44:$AN$44,1,MATCH(Drivers!K$3,DriversGams!$A$43:$AN$43,0))/1000</f>
        <v>58.801927000000006</v>
      </c>
      <c r="L68" s="111">
        <f>INDEX(DriversGams!$A$44:$AN$44,1,MATCH(Drivers!L$3,DriversGams!$A$43:$AN$43,0))/1000</f>
        <v>59.392254999999999</v>
      </c>
      <c r="M68" s="111">
        <f>INDEX(DriversGams!$A$44:$AN$44,1,MATCH(Drivers!M$3,DriversGams!$A$43:$AN$43,0))/1000</f>
        <v>59.893885000000004</v>
      </c>
      <c r="N68" s="111">
        <f>INDEX(DriversGams!$A$44:$AN$44,1,MATCH(Drivers!N$3,DriversGams!$A$43:$AN$43,0))/1000</f>
        <v>60.414495000000002</v>
      </c>
      <c r="O68" s="111">
        <f>INDEX(DriversGams!$A$44:$AN$44,1,MATCH(Drivers!O$3,DriversGams!$A$43:$AN$43,0))/1000</f>
        <v>61.020220999999999</v>
      </c>
      <c r="P68" s="111">
        <f>INDEX(DriversGams!$A$44:$AN$44,1,MATCH(Drivers!P$3,DriversGams!$A$43:$AN$43,0))/1000</f>
        <v>61.673080999999996</v>
      </c>
      <c r="Q68" s="111">
        <f>INDEX(DriversGams!$A$44:$AN$44,1,MATCH(Drivers!Q$3,DriversGams!$A$43:$AN$43,0))/1000</f>
        <v>62.305038999999994</v>
      </c>
      <c r="R68" s="111">
        <f>INDEX(DriversGams!$A$44:$AN$44,1,MATCH(Drivers!R$3,DriversGams!$A$43:$AN$43,0))/1000</f>
        <v>62.918915999999996</v>
      </c>
      <c r="S68" s="111">
        <f>INDEX(DriversGams!$A$44:$AN$44,1,MATCH(Drivers!S$3,DriversGams!$A$43:$AN$43,0))/1000</f>
        <v>63.514502</v>
      </c>
      <c r="T68" s="111">
        <f>INDEX(DriversGams!$A$44:$AN$44,1,MATCH(Drivers!T$3,DriversGams!$A$43:$AN$43,0))/1000</f>
        <v>64.093732000000003</v>
      </c>
      <c r="U68" s="111">
        <f>INDEX(DriversGams!$A$44:$AN$44,1,MATCH(Drivers!U$3,DriversGams!$A$43:$AN$43,0))/1000</f>
        <v>64.659278</v>
      </c>
      <c r="V68" s="111">
        <f>INDEX(DriversGams!$A$44:$AN$44,1,MATCH(Drivers!V$3,DriversGams!$A$43:$AN$43,0))/1000</f>
        <v>65.211525999999992</v>
      </c>
      <c r="W68" s="111">
        <f>INDEX(DriversGams!$A$44:$AN$44,1,MATCH(Drivers!W$3,DriversGams!$A$43:$AN$43,0))/1000</f>
        <v>65.752923999999993</v>
      </c>
      <c r="X68" s="111">
        <f>INDEX(DriversGams!$A$44:$AN$44,1,MATCH(Drivers!X$3,DriversGams!$A$43:$AN$43,0))/1000</f>
        <v>66.284188999999998</v>
      </c>
      <c r="Y68" s="111">
        <f>INDEX(DriversGams!$A$44:$AN$44,1,MATCH(Drivers!Y$3,DriversGams!$A$43:$AN$43,0))/1000</f>
        <v>66.804167000000007</v>
      </c>
      <c r="Z68" s="111">
        <f>INDEX(DriversGams!$A$44:$AN$44,1,MATCH(Drivers!Z$3,DriversGams!$A$43:$AN$43,0))/1000</f>
        <v>67.314132999999998</v>
      </c>
      <c r="AA68" s="111">
        <f>INDEX(DriversGams!$A$44:$AN$44,1,MATCH(Drivers!AA$3,DriversGams!$A$43:$AN$43,0))/1000</f>
        <v>67.815933000000001</v>
      </c>
      <c r="AB68" s="111">
        <f>INDEX(DriversGams!$A$44:$AN$44,1,MATCH(Drivers!AB$3,DriversGams!$A$43:$AN$43,0))/1000</f>
        <v>68.308245999999997</v>
      </c>
      <c r="AC68" s="111">
        <f>INDEX(DriversGams!$A$44:$AN$44,1,MATCH(Drivers!AC$3,DriversGams!$A$43:$AN$43,0))/1000</f>
        <v>68.788494999999998</v>
      </c>
      <c r="AD68" s="111">
        <f>INDEX(DriversGams!$A$44:$AN$44,1,MATCH(Drivers!AD$3,DriversGams!$A$43:$AN$43,0))/1000</f>
        <v>69.256822999999997</v>
      </c>
      <c r="AE68" s="111">
        <f>INDEX(DriversGams!$A$44:$AN$44,1,MATCH(Drivers!AE$3,DriversGams!$A$43:$AN$43,0))/1000</f>
        <v>69.713937000000001</v>
      </c>
      <c r="AF68" s="111">
        <f>INDEX(DriversGams!$A$44:$AN$44,1,MATCH(Drivers!AF$3,DriversGams!$A$43:$AN$43,0))/1000</f>
        <v>71.816201000000007</v>
      </c>
      <c r="AG68" s="111">
        <f>INDEX(DriversGams!$A$44:$AN$44,1,MATCH(Drivers!AG$3,DriversGams!$A$43:$AN$43,0))/1000</f>
        <v>73.529752999999999</v>
      </c>
      <c r="AH68" s="111">
        <f>INDEX(DriversGams!$A$44:$AN$44,1,MATCH(Drivers!AH$3,DriversGams!$A$43:$AN$43,0))/1000</f>
        <v>74.799050000000008</v>
      </c>
      <c r="AI68" s="12">
        <f t="shared" si="147" ref="AI68">AO68/AN68*AH68</f>
        <v>75.663198000000008</v>
      </c>
      <c r="AJ68" s="12">
        <f t="shared" si="148" ref="AJ68">AP68/AO68*AI68</f>
        <v>76.208045000000013</v>
      </c>
      <c r="AK68" s="12">
        <f t="shared" si="149" ref="AK68">AQ68/AP68*AJ68</f>
        <v>76.50215500000003</v>
      </c>
      <c r="AL68" s="111"/>
      <c r="AM68" s="111"/>
      <c r="AN68" s="111">
        <v>74.799050000000008</v>
      </c>
      <c r="AO68" s="111">
        <v>75.663198000000008</v>
      </c>
      <c r="AP68" s="111">
        <v>76.208044999999998</v>
      </c>
      <c r="AQ68" s="111">
        <v>76.502155000000002</v>
      </c>
    </row>
    <row r="69" spans="1:43" ht="15">
      <c r="A69" t="s">
        <v>380</v>
      </c>
      <c r="B69">
        <f t="shared" si="123"/>
        <v>23</v>
      </c>
      <c r="C69" s="266">
        <v>0.50</v>
      </c>
      <c r="D69" s="266">
        <v>0.50</v>
      </c>
      <c r="E69" s="266">
        <v>0.50</v>
      </c>
      <c r="F69" s="266">
        <v>0.50</v>
      </c>
      <c r="G69" s="266">
        <v>0.50</v>
      </c>
      <c r="H69" s="266">
        <v>0.50</v>
      </c>
      <c r="I69" s="266">
        <v>0.50</v>
      </c>
      <c r="J69" s="22">
        <f>INDEX(DriversGams!$B62:$AN62,1,MATCH(Drivers!J$3,DriversGams!$B$61:$AN$61,0))</f>
        <v>0.5</v>
      </c>
      <c r="K69" s="22">
        <f>INDEX(DriversGams!$B62:$AN62,1,MATCH(Drivers!K$3,DriversGams!$B$61:$AN$61,0))</f>
        <v>0.51324982266072861</v>
      </c>
      <c r="L69" s="22">
        <f>INDEX(DriversGams!$B62:$AN62,1,MATCH(Drivers!L$3,DriversGams!$B$61:$AN$61,0))</f>
        <v>0.49775174648165205</v>
      </c>
      <c r="M69" s="22">
        <f>INDEX(DriversGams!$B62:$AN62,1,MATCH(Drivers!M$3,DriversGams!$B$61:$AN$61,0))</f>
        <v>0.46920864969558745</v>
      </c>
      <c r="N69" s="22">
        <f>INDEX(DriversGams!$B62:$AN62,1,MATCH(Drivers!N$3,DriversGams!$B$61:$AN$61,0))</f>
        <v>0.45802854150869027</v>
      </c>
      <c r="O69" s="22">
        <f>INDEX(DriversGams!$B62:$AN62,1,MATCH(Drivers!O$3,DriversGams!$B$61:$AN$61,0))</f>
        <v>0.44982105076485712</v>
      </c>
      <c r="P69" s="22">
        <f>INDEX(DriversGams!$B62:$AN62,1,MATCH(Drivers!P$3,DriversGams!$B$61:$AN$61,0))</f>
        <v>0.44260227997830248</v>
      </c>
      <c r="Q69" s="22">
        <f>INDEX(DriversGams!$B62:$AN62,1,MATCH(Drivers!Q$3,DriversGams!$B$61:$AN$61,0))</f>
        <v>0.43832636181986206</v>
      </c>
      <c r="R69" s="22">
        <f>INDEX(DriversGams!$B62:$AN62,1,MATCH(Drivers!R$3,DriversGams!$B$61:$AN$61,0))</f>
        <v>0.427918908801454</v>
      </c>
      <c r="S69" s="22">
        <f>INDEX(DriversGams!$B62:$AN62,1,MATCH(Drivers!S$3,DriversGams!$B$61:$AN$61,0))</f>
        <v>0.41388979801951292</v>
      </c>
      <c r="T69" s="22">
        <f>INDEX(DriversGams!$B62:$AN62,1,MATCH(Drivers!T$3,DriversGams!$B$61:$AN$61,0))</f>
        <v>0.39988623775329268</v>
      </c>
      <c r="U69" s="22">
        <f>INDEX(DriversGams!$B62:$AN62,1,MATCH(Drivers!U$3,DriversGams!$B$61:$AN$61,0))</f>
        <v>0.38564471486303931</v>
      </c>
      <c r="V69" s="22">
        <f>INDEX(DriversGams!$B62:$AN62,1,MATCH(Drivers!V$3,DriversGams!$B$61:$AN$61,0))</f>
        <v>0.37160789015892265</v>
      </c>
      <c r="W69" s="22">
        <f>INDEX(DriversGams!$B62:$AN62,1,MATCH(Drivers!W$3,DriversGams!$B$61:$AN$61,0))</f>
        <v>0.35815863211430854</v>
      </c>
      <c r="X69" s="22">
        <f>INDEX(DriversGams!$B62:$AN62,1,MATCH(Drivers!X$3,DriversGams!$B$61:$AN$61,0))</f>
        <v>0.34530474289348895</v>
      </c>
      <c r="Y69" s="22">
        <f>INDEX(DriversGams!$B62:$AN62,1,MATCH(Drivers!Y$3,DriversGams!$B$61:$AN$61,0))</f>
        <v>0.33303577589021149</v>
      </c>
      <c r="Z69" s="22">
        <f>INDEX(DriversGams!$B62:$AN62,1,MATCH(Drivers!Z$3,DriversGams!$B$61:$AN$61,0))</f>
        <v>0.3212479958261335</v>
      </c>
      <c r="AA69" s="22">
        <f>INDEX(DriversGams!$B62:$AN62,1,MATCH(Drivers!AA$3,DriversGams!$B$61:$AN$61,0))</f>
        <v>0.31033528587967796</v>
      </c>
      <c r="AB69" s="22">
        <f>INDEX(DriversGams!$B62:$AN62,1,MATCH(Drivers!AB$3,DriversGams!$B$61:$AN$61,0))</f>
        <v>0.29961797342314161</v>
      </c>
      <c r="AC69" s="22">
        <f>INDEX(DriversGams!$B62:$AN62,1,MATCH(Drivers!AC$3,DriversGams!$B$61:$AN$61,0))</f>
        <v>0.28915345189860769</v>
      </c>
      <c r="AD69" s="22">
        <f>INDEX(DriversGams!$B62:$AN62,1,MATCH(Drivers!AD$3,DriversGams!$B$61:$AN$61,0))</f>
        <v>0.27891913196218387</v>
      </c>
      <c r="AE69" s="22">
        <f>INDEX(DriversGams!$B62:$AN62,1,MATCH(Drivers!AE$3,DriversGams!$B$61:$AN$61,0))</f>
        <v>0.26895287740496776</v>
      </c>
      <c r="AF69" s="22">
        <f>INDEX(DriversGams!$B62:$AN62,1,MATCH(Drivers!AF$3,DriversGams!$B$61:$AN$61,0))</f>
        <v>0.22785548901104374</v>
      </c>
      <c r="AG69" s="22">
        <f>INDEX(DriversGams!$B62:$AN62,1,MATCH(Drivers!AG$3,DriversGams!$B$61:$AN$61,0))</f>
        <v>0.1957202447425373</v>
      </c>
      <c r="AH69" s="22">
        <f>INDEX(DriversGams!$B62:$AN62,1,MATCH(Drivers!AH$3,DriversGams!$B$61:$AN$61,0))</f>
        <v>0.16758318046465467</v>
      </c>
      <c r="AI69" s="22">
        <f t="shared" si="150" ref="AI69:AI70">AO69/AN69*AH69</f>
        <v>0.14462416095425235</v>
      </c>
      <c r="AJ69" s="22">
        <f t="shared" si="151" ref="AJ69:AJ70">AP69/AO69*AI69</f>
        <v>0.12162594756218206</v>
      </c>
      <c r="AK69" s="22">
        <f t="shared" si="152" ref="AK69:AK70">AQ69/AP69*AJ69</f>
        <v>0.098631620953086682</v>
      </c>
      <c r="AL69" s="111"/>
      <c r="AM69" s="111"/>
      <c r="AN69" s="22">
        <v>0.24552291570350171</v>
      </c>
      <c r="AO69" s="22">
        <v>0.21188609489452759</v>
      </c>
      <c r="AP69" s="22">
        <v>0.17819185187839537</v>
      </c>
      <c r="AQ69" s="22">
        <v>0.14450330331373529</v>
      </c>
    </row>
    <row r="70" spans="1:43" ht="15">
      <c r="A70" t="s">
        <v>381</v>
      </c>
      <c r="B70">
        <f t="shared" si="123"/>
        <v>24</v>
      </c>
      <c r="C70" s="266">
        <v>0.30</v>
      </c>
      <c r="D70" s="266">
        <v>0.30</v>
      </c>
      <c r="E70" s="266">
        <v>0.30</v>
      </c>
      <c r="F70" s="266">
        <v>0.30</v>
      </c>
      <c r="G70" s="266">
        <v>0.30</v>
      </c>
      <c r="H70" s="266">
        <v>0.30</v>
      </c>
      <c r="I70" s="266">
        <v>0.30</v>
      </c>
      <c r="J70" s="22">
        <f>INDEX(DriversGams!$B63:$AN63,1,MATCH(Drivers!J$3,DriversGams!$B$61:$AN$61,0))</f>
        <v>0.29999999999999999</v>
      </c>
      <c r="K70" s="22">
        <f>INDEX(DriversGams!$B63:$AN63,1,MATCH(Drivers!K$3,DriversGams!$B$61:$AN$61,0))</f>
        <v>0.28675017733927138</v>
      </c>
      <c r="L70" s="22">
        <f>INDEX(DriversGams!$B63:$AN63,1,MATCH(Drivers!L$3,DriversGams!$B$61:$AN$61,0))</f>
        <v>0.29125715189066648</v>
      </c>
      <c r="M70" s="22">
        <f>INDEX(DriversGams!$B63:$AN63,1,MATCH(Drivers!M$3,DriversGams!$B$61:$AN$61,0))</f>
        <v>0.30545929644994801</v>
      </c>
      <c r="N70" s="22">
        <f>INDEX(DriversGams!$B63:$AN63,1,MATCH(Drivers!N$3,DriversGams!$B$61:$AN$61,0))</f>
        <v>0.31017131002360265</v>
      </c>
      <c r="O70" s="22">
        <f>INDEX(DriversGams!$B63:$AN63,1,MATCH(Drivers!O$3,DriversGams!$B$61:$AN$61,0))</f>
        <v>0.312701930325686</v>
      </c>
      <c r="P70" s="22">
        <f>INDEX(DriversGams!$B63:$AN63,1,MATCH(Drivers!P$3,DriversGams!$B$61:$AN$61,0))</f>
        <v>0.31527520740037901</v>
      </c>
      <c r="Q70" s="22">
        <f>INDEX(DriversGams!$B63:$AN63,1,MATCH(Drivers!Q$3,DriversGams!$B$61:$AN$61,0))</f>
        <v>0.31697230945861132</v>
      </c>
      <c r="R70" s="22">
        <f>INDEX(DriversGams!$B63:$AN63,1,MATCH(Drivers!R$3,DriversGams!$B$61:$AN$61,0))</f>
        <v>0.31713894101366108</v>
      </c>
      <c r="S70" s="22">
        <f>INDEX(DriversGams!$B63:$AN63,1,MATCH(Drivers!S$3,DriversGams!$B$61:$AN$61,0))</f>
        <v>0.32051233989716021</v>
      </c>
      <c r="T70" s="22">
        <f>INDEX(DriversGams!$B63:$AN63,1,MATCH(Drivers!T$3,DriversGams!$B$61:$AN$61,0))</f>
        <v>0.32346640024475887</v>
      </c>
      <c r="U70" s="22">
        <f>INDEX(DriversGams!$B63:$AN63,1,MATCH(Drivers!U$3,DriversGams!$B$61:$AN$61,0))</f>
        <v>0.32648322553319159</v>
      </c>
      <c r="V70" s="22">
        <f>INDEX(DriversGams!$B63:$AN63,1,MATCH(Drivers!V$3,DriversGams!$B$61:$AN$61,0))</f>
        <v>0.32973001654050227</v>
      </c>
      <c r="W70" s="22">
        <f>INDEX(DriversGams!$B63:$AN63,1,MATCH(Drivers!W$3,DriversGams!$B$61:$AN$61,0))</f>
        <v>0.33284136092064287</v>
      </c>
      <c r="X70" s="22">
        <f>INDEX(DriversGams!$B63:$AN63,1,MATCH(Drivers!X$3,DriversGams!$B$61:$AN$61,0))</f>
        <v>0.33583424938097362</v>
      </c>
      <c r="Y70" s="22">
        <f>INDEX(DriversGams!$B63:$AN63,1,MATCH(Drivers!Y$3,DriversGams!$B$61:$AN$61,0))</f>
        <v>0.33885322625854242</v>
      </c>
      <c r="Z70" s="22">
        <f>INDEX(DriversGams!$B63:$AN63,1,MATCH(Drivers!Z$3,DriversGams!$B$61:$AN$61,0))</f>
        <v>0.34172645220036951</v>
      </c>
      <c r="AA70" s="22">
        <f>INDEX(DriversGams!$B63:$AN63,1,MATCH(Drivers!AA$3,DriversGams!$B$61:$AN$61,0))</f>
        <v>0.34414015004218002</v>
      </c>
      <c r="AB70" s="22">
        <f>INDEX(DriversGams!$B63:$AN63,1,MATCH(Drivers!AB$3,DriversGams!$B$61:$AN$61,0))</f>
        <v>0.34652333762556425</v>
      </c>
      <c r="AC70" s="22">
        <f>INDEX(DriversGams!$B63:$AN63,1,MATCH(Drivers!AC$3,DriversGams!$B$61:$AN$61,0))</f>
        <v>0.3488601491049434</v>
      </c>
      <c r="AD70" s="22">
        <f>INDEX(DriversGams!$B63:$AN63,1,MATCH(Drivers!AD$3,DriversGams!$B$61:$AN$61,0))</f>
        <v>0.35102016763306942</v>
      </c>
      <c r="AE70" s="22">
        <f>INDEX(DriversGams!$B63:$AN63,1,MATCH(Drivers!AE$3,DriversGams!$B$61:$AN$61,0))</f>
        <v>0.35329189706250747</v>
      </c>
      <c r="AF70" s="22">
        <f>INDEX(DriversGams!$B63:$AN63,1,MATCH(Drivers!AF$3,DriversGams!$B$61:$AN$61,0))</f>
        <v>0.36286488689418894</v>
      </c>
      <c r="AG70" s="22">
        <f>INDEX(DriversGams!$B63:$AN63,1,MATCH(Drivers!AG$3,DriversGams!$B$61:$AN$61,0))</f>
        <v>0.37135867649406379</v>
      </c>
      <c r="AH70" s="22">
        <f>INDEX(DriversGams!$B63:$AN63,1,MATCH(Drivers!AH$3,DriversGams!$B$61:$AN$61,0))</f>
        <v>0.37568506544178071</v>
      </c>
      <c r="AI70" s="22">
        <f t="shared" si="150"/>
        <v>0.39049570813797752</v>
      </c>
      <c r="AJ70" s="22">
        <f t="shared" si="151"/>
        <v>0.40542168550936253</v>
      </c>
      <c r="AK70" s="22">
        <f t="shared" si="152"/>
        <v>0.42033466159259086</v>
      </c>
      <c r="AL70" s="111"/>
      <c r="AM70" s="111"/>
      <c r="AN70" s="22">
        <v>0.39561454073212232</v>
      </c>
      <c r="AO70" s="22">
        <v>0.4112108636823395</v>
      </c>
      <c r="AP70" s="22">
        <v>0.42692863962271321</v>
      </c>
      <c r="AQ70" s="22">
        <v>0.44263272457796088</v>
      </c>
    </row>
    <row r="71" spans="1:43" ht="15">
      <c r="A71" t="s">
        <v>382</v>
      </c>
      <c r="B71">
        <f t="shared" si="123"/>
        <v>25</v>
      </c>
      <c r="C71" s="266">
        <v>0.19999999999999996</v>
      </c>
      <c r="D71" s="266">
        <v>0.19999999999999996</v>
      </c>
      <c r="E71" s="266">
        <v>0.19999999999999996</v>
      </c>
      <c r="F71" s="266">
        <v>0.19999999999999996</v>
      </c>
      <c r="G71" s="266">
        <v>0.19999999999999996</v>
      </c>
      <c r="H71" s="266">
        <v>0.19999999999999996</v>
      </c>
      <c r="I71" s="266">
        <v>0.19999999999999996</v>
      </c>
      <c r="J71" s="22">
        <f>INDEX(DriversGams!$B64:$AN64,1,MATCH(Drivers!J$3,DriversGams!$B$61:$AN$61,0))</f>
        <v>0.20000000000000001</v>
      </c>
      <c r="K71" s="22">
        <f>INDEX(DriversGams!$B64:$AN64,1,MATCH(Drivers!K$3,DriversGams!$B$61:$AN$61,0))</f>
        <v>0.20000000000000001</v>
      </c>
      <c r="L71" s="22">
        <f>INDEX(DriversGams!$B64:$AN64,1,MATCH(Drivers!L$3,DriversGams!$B$61:$AN$61,0))</f>
        <v>0.21099110162768148</v>
      </c>
      <c r="M71" s="22">
        <f>INDEX(DriversGams!$B64:$AN64,1,MATCH(Drivers!M$3,DriversGams!$B$61:$AN$61,0))</f>
        <v>0.22533205385446464</v>
      </c>
      <c r="N71" s="22">
        <f>INDEX(DriversGams!$B64:$AN64,1,MATCH(Drivers!N$3,DriversGams!$B$61:$AN$61,0))</f>
        <v>0.23180014846770711</v>
      </c>
      <c r="O71" s="22">
        <f>INDEX(DriversGams!$B64:$AN64,1,MATCH(Drivers!O$3,DriversGams!$B$61:$AN$61,0))</f>
        <v>0.23747701890945697</v>
      </c>
      <c r="P71" s="22">
        <f>INDEX(DriversGams!$B64:$AN64,1,MATCH(Drivers!P$3,DriversGams!$B$61:$AN$61,0))</f>
        <v>0.2421225126213184</v>
      </c>
      <c r="Q71" s="22">
        <f>INDEX(DriversGams!$B64:$AN64,1,MATCH(Drivers!Q$3,DriversGams!$B$61:$AN$61,0))</f>
        <v>0.24470132872152661</v>
      </c>
      <c r="R71" s="22">
        <f>INDEX(DriversGams!$B64:$AN64,1,MATCH(Drivers!R$3,DriversGams!$B$61:$AN$61,0))</f>
        <v>0.25494215018488492</v>
      </c>
      <c r="S71" s="22">
        <f>INDEX(DriversGams!$B64:$AN64,1,MATCH(Drivers!S$3,DriversGams!$B$61:$AN$61,0))</f>
        <v>0.26559786208332675</v>
      </c>
      <c r="T71" s="22">
        <f>INDEX(DriversGams!$B64:$AN64,1,MATCH(Drivers!T$3,DriversGams!$B$61:$AN$61,0))</f>
        <v>0.27664736200194845</v>
      </c>
      <c r="U71" s="22">
        <f>INDEX(DriversGams!$B64:$AN64,1,MATCH(Drivers!U$3,DriversGams!$B$61:$AN$61,0))</f>
        <v>0.2878720596037691</v>
      </c>
      <c r="V71" s="22">
        <f>INDEX(DriversGams!$B64:$AN64,1,MATCH(Drivers!V$3,DriversGams!$B$61:$AN$61,0))</f>
        <v>0.29866209330057503</v>
      </c>
      <c r="W71" s="22">
        <f>INDEX(DriversGams!$B64:$AN64,1,MATCH(Drivers!W$3,DriversGams!$B$61:$AN$61,0))</f>
        <v>0.30900000696504859</v>
      </c>
      <c r="X71" s="22">
        <f>INDEX(DriversGams!$B64:$AN64,1,MATCH(Drivers!X$3,DriversGams!$B$61:$AN$61,0))</f>
        <v>0.31886100772553744</v>
      </c>
      <c r="Y71" s="22">
        <f>INDEX(DriversGams!$B64:$AN64,1,MATCH(Drivers!Y$3,DriversGams!$B$61:$AN$61,0))</f>
        <v>0.32811099785124609</v>
      </c>
      <c r="Z71" s="22">
        <f>INDEX(DriversGams!$B64:$AN64,1,MATCH(Drivers!Z$3,DriversGams!$B$61:$AN$61,0))</f>
        <v>0.33702555197349704</v>
      </c>
      <c r="AA71" s="22">
        <f>INDEX(DriversGams!$B64:$AN64,1,MATCH(Drivers!AA$3,DriversGams!$B$61:$AN$61,0))</f>
        <v>0.34552456407814203</v>
      </c>
      <c r="AB71" s="22">
        <f>INDEX(DriversGams!$B64:$AN64,1,MATCH(Drivers!AB$3,DriversGams!$B$61:$AN$61,0))</f>
        <v>0.35385868895129408</v>
      </c>
      <c r="AC71" s="22">
        <f>INDEX(DriversGams!$B64:$AN64,1,MATCH(Drivers!AC$3,DriversGams!$B$61:$AN$61,0))</f>
        <v>0.36198639899644891</v>
      </c>
      <c r="AD71" s="22">
        <f>INDEX(DriversGams!$B64:$AN64,1,MATCH(Drivers!AD$3,DriversGams!$B$61:$AN$61,0))</f>
        <v>0.3700607004047467</v>
      </c>
      <c r="AE71" s="22">
        <f>INDEX(DriversGams!$B64:$AN64,1,MATCH(Drivers!AE$3,DriversGams!$B$61:$AN$61,0))</f>
        <v>0.37775522553252477</v>
      </c>
      <c r="AF71" s="22">
        <f>INDEX(DriversGams!$B64:$AN64,1,MATCH(Drivers!AF$3,DriversGams!$B$61:$AN$61,0))</f>
        <v>0.40927962409476731</v>
      </c>
      <c r="AG71" s="22">
        <f>INDEX(DriversGams!$B64:$AN64,1,MATCH(Drivers!AG$3,DriversGams!$B$61:$AN$61,0))</f>
        <v>0.43292107876339897</v>
      </c>
      <c r="AH71" s="22">
        <f>INDEX(DriversGams!$B64:$AN64,1,MATCH(Drivers!AH$3,DriversGams!$B$61:$AN$61,0))</f>
        <v>0.45673175409356465</v>
      </c>
      <c r="AI71" s="22">
        <f>1-AI70-AI69</f>
        <v>0.46488013090777014</v>
      </c>
      <c r="AJ71" s="22">
        <f t="shared" si="153" ref="AJ71:AK71">1-AJ70-AJ69</f>
        <v>0.47295236692845544</v>
      </c>
      <c r="AK71" s="22">
        <f t="shared" si="153"/>
        <v>0.48103371745432238</v>
      </c>
      <c r="AL71" s="111"/>
      <c r="AM71" s="111"/>
      <c r="AN71" s="22">
        <v>0.35886254356437597</v>
      </c>
      <c r="AO71" s="22">
        <v>0.37690304142313291</v>
      </c>
      <c r="AP71" s="22">
        <v>0.39487950849889142</v>
      </c>
      <c r="AQ71" s="22">
        <v>0.41286397210830383</v>
      </c>
    </row>
    <row r="72" spans="1:43" ht="15">
      <c r="A72" t="s">
        <v>383</v>
      </c>
      <c r="B72">
        <f t="shared" si="123"/>
        <v>26</v>
      </c>
      <c r="C72" s="263">
        <f>C69*C$68</f>
        <v>26.162716441035041</v>
      </c>
      <c r="D72" s="263">
        <f t="shared" si="154" ref="D72:I72">D69*D$68</f>
        <v>26.552193229211671</v>
      </c>
      <c r="E72" s="263">
        <f t="shared" si="154"/>
        <v>26.956182845714636</v>
      </c>
      <c r="F72" s="263">
        <f t="shared" si="154"/>
        <v>27.375245728660555</v>
      </c>
      <c r="G72" s="263">
        <f t="shared" si="154"/>
        <v>27.809970234912413</v>
      </c>
      <c r="H72" s="263">
        <f t="shared" si="154"/>
        <v>28.260974020824047</v>
      </c>
      <c r="I72" s="263">
        <f t="shared" si="154"/>
        <v>28.718000308649827</v>
      </c>
      <c r="J72" s="12">
        <f t="shared" si="155" ref="J72:K72">J69*J$30</f>
        <v>29.182417460909722</v>
      </c>
      <c r="K72" s="12">
        <f t="shared" si="155"/>
        <v>30.440174624740131</v>
      </c>
      <c r="L72" s="12">
        <f t="shared" si="156" ref="L72:L74">L69*L$30</f>
        <v>29.56259865373363</v>
      </c>
      <c r="M72" s="12">
        <f t="shared" si="157" ref="M72:AG72">M69*M$30</f>
        <v>28.102728905872802</v>
      </c>
      <c r="N72" s="12">
        <f t="shared" si="157"/>
        <v>27.671563030834061</v>
      </c>
      <c r="O72" s="12">
        <f t="shared" si="157"/>
        <v>27.4481799281238</v>
      </c>
      <c r="P72" s="12">
        <f t="shared" si="157"/>
        <v>27.296646263886526</v>
      </c>
      <c r="Q72" s="12">
        <f t="shared" si="157"/>
        <v>27.309941067914615</v>
      </c>
      <c r="R72" s="12">
        <f t="shared" si="157"/>
        <v>26.924193877690342</v>
      </c>
      <c r="S72" s="12">
        <f t="shared" si="157"/>
        <v>26.28800440408995</v>
      </c>
      <c r="T72" s="12">
        <f t="shared" si="157"/>
        <v>25.630201353047823</v>
      </c>
      <c r="U72" s="12">
        <f t="shared" si="157"/>
        <v>24.935508827559989</v>
      </c>
      <c r="V72" s="12">
        <f t="shared" si="157"/>
        <v>24.233117590903724</v>
      </c>
      <c r="W72" s="12">
        <f t="shared" si="157"/>
        <v>23.549977317356085</v>
      </c>
      <c r="X72" s="12">
        <f t="shared" si="157"/>
        <v>22.888244840548428</v>
      </c>
      <c r="Y72" s="12">
        <f t="shared" si="157"/>
        <v>22.248177589544266</v>
      </c>
      <c r="Z72" s="12">
        <f t="shared" si="157"/>
        <v>21.624530317023794</v>
      </c>
      <c r="AA72" s="12">
        <f t="shared" si="157"/>
        <v>21.045676954752086</v>
      </c>
      <c r="AB72" s="12">
        <f t="shared" si="157"/>
        <v>20.466378234609419</v>
      </c>
      <c r="AC72" s="12">
        <f t="shared" si="157"/>
        <v>19.890430780160116</v>
      </c>
      <c r="AD72" s="12">
        <f t="shared" si="157"/>
        <v>19.31705295361861</v>
      </c>
      <c r="AE72" s="12">
        <f t="shared" si="157"/>
        <v>18.749763951378647</v>
      </c>
      <c r="AF72" s="12">
        <f t="shared" si="157"/>
        <v>16.363715597770412</v>
      </c>
      <c r="AG72" s="12">
        <f t="shared" si="157"/>
        <v>14.391261253018316</v>
      </c>
      <c r="AH72" s="12">
        <f t="shared" si="158" ref="AH72:AK72">AH69*AH$30</f>
        <v>12.53506269473473</v>
      </c>
      <c r="AI72" s="12">
        <f t="shared" si="158"/>
        <v>10.942726525865465</v>
      </c>
      <c r="AJ72" s="12">
        <f t="shared" si="158"/>
        <v>9.2688756849864102</v>
      </c>
      <c r="AK72" s="12">
        <f t="shared" si="158"/>
        <v>7.5455315540542856</v>
      </c>
      <c r="AL72" s="12"/>
      <c r="AM72" s="12"/>
      <c r="AN72" s="12">
        <v>18.36488084785201</v>
      </c>
      <c r="AO72" s="12">
        <v>16.031979551451432</v>
      </c>
      <c r="AP72" s="12">
        <v>13.579652666582088</v>
      </c>
      <c r="AQ72" s="12">
        <v>11.054814108119391</v>
      </c>
    </row>
    <row r="73" spans="1:43" ht="15">
      <c r="A73" t="s">
        <v>384</v>
      </c>
      <c r="B73">
        <f t="shared" si="123"/>
        <v>27</v>
      </c>
      <c r="C73" s="263">
        <f t="shared" si="159" ref="C73:I74">C70*C$68</f>
        <v>15.697629864621025</v>
      </c>
      <c r="D73" s="263">
        <f t="shared" si="159"/>
        <v>15.931315937527001</v>
      </c>
      <c r="E73" s="263">
        <f t="shared" si="159"/>
        <v>16.173709707428781</v>
      </c>
      <c r="F73" s="263">
        <f t="shared" si="159"/>
        <v>16.425147437196333</v>
      </c>
      <c r="G73" s="263">
        <f t="shared" si="159"/>
        <v>16.685982140947448</v>
      </c>
      <c r="H73" s="263">
        <f t="shared" si="159"/>
        <v>16.956584412494429</v>
      </c>
      <c r="I73" s="263">
        <f t="shared" si="159"/>
        <v>17.230800185189896</v>
      </c>
      <c r="J73" s="12">
        <f t="shared" si="160" ref="J73:K73">J70*J$30</f>
        <v>17.509450476545833</v>
      </c>
      <c r="K73" s="12">
        <f t="shared" si="160"/>
        <v>17.006777375259873</v>
      </c>
      <c r="L73" s="12">
        <f t="shared" si="156"/>
        <v>17.298419035664196</v>
      </c>
      <c r="M73" s="12">
        <f t="shared" si="161" ref="M73:AG73">M70*M$30</f>
        <v>18.295143973754097</v>
      </c>
      <c r="N73" s="12">
        <f t="shared" si="161"/>
        <v>18.738843058564392</v>
      </c>
      <c r="O73" s="12">
        <f t="shared" si="161"/>
        <v>19.081140895599962</v>
      </c>
      <c r="P73" s="12">
        <f t="shared" si="161"/>
        <v>19.443993403295373</v>
      </c>
      <c r="Q73" s="12">
        <f t="shared" si="161"/>
        <v>19.748972102738847</v>
      </c>
      <c r="R73" s="12">
        <f t="shared" si="161"/>
        <v>19.954038389967494</v>
      </c>
      <c r="S73" s="12">
        <f t="shared" si="161"/>
        <v>20.357181653422863</v>
      </c>
      <c r="T73" s="12">
        <f t="shared" si="161"/>
        <v>20.732168768292311</v>
      </c>
      <c r="U73" s="12">
        <f t="shared" si="161"/>
        <v>21.110169642087332</v>
      </c>
      <c r="V73" s="12">
        <f t="shared" si="161"/>
        <v>21.502197546611391</v>
      </c>
      <c r="W73" s="12">
        <f t="shared" si="161"/>
        <v>21.885292708671599</v>
      </c>
      <c r="X73" s="12">
        <f t="shared" si="161"/>
        <v>22.260500858641588</v>
      </c>
      <c r="Y73" s="12">
        <f t="shared" si="161"/>
        <v>22.636807515464454</v>
      </c>
      <c r="Z73" s="12">
        <f t="shared" si="161"/>
        <v>23.003019853033816</v>
      </c>
      <c r="AA73" s="12">
        <f t="shared" si="161"/>
        <v>23.338185357870426</v>
      </c>
      <c r="AB73" s="12">
        <f t="shared" si="161"/>
        <v>23.670401391268097</v>
      </c>
      <c r="AC73" s="12">
        <f t="shared" si="161"/>
        <v>23.997564622404653</v>
      </c>
      <c r="AD73" s="12">
        <f t="shared" si="161"/>
        <v>24.310541619193817</v>
      </c>
      <c r="AE73" s="12">
        <f t="shared" si="161"/>
        <v>24.629369054426132</v>
      </c>
      <c r="AF73" s="12">
        <f t="shared" si="161"/>
        <v>26.05957765303534</v>
      </c>
      <c r="AG73" s="12">
        <f t="shared" si="161"/>
        <v>27.305911757015416</v>
      </c>
      <c r="AH73" s="12">
        <f t="shared" si="162" ref="AH73:AK73">AH70*AH$30</f>
        <v>28.100885994233032</v>
      </c>
      <c r="AI73" s="12">
        <f t="shared" si="162"/>
        <v>29.546154082994008</v>
      </c>
      <c r="AJ73" s="12">
        <f t="shared" si="162"/>
        <v>30.896394053273347</v>
      </c>
      <c r="AK73" s="12">
        <f t="shared" si="162"/>
        <v>32.156507433028935</v>
      </c>
      <c r="AL73" s="12"/>
      <c r="AM73" s="12"/>
      <c r="AN73" s="12">
        <v>29.591591812949058</v>
      </c>
      <c r="AO73" s="12">
        <v>31.113528998547867</v>
      </c>
      <c r="AP73" s="12">
        <v>32.535396980156513</v>
      </c>
      <c r="AQ73" s="12">
        <v>33.862357303735472</v>
      </c>
    </row>
    <row r="74" spans="1:43" ht="15">
      <c r="A74" t="s">
        <v>385</v>
      </c>
      <c r="B74">
        <f t="shared" si="123"/>
        <v>28</v>
      </c>
      <c r="C74" s="263">
        <f t="shared" si="159"/>
        <v>10.465086576414015</v>
      </c>
      <c r="D74" s="263">
        <f t="shared" si="159"/>
        <v>10.620877291684666</v>
      </c>
      <c r="E74" s="263">
        <f t="shared" si="159"/>
        <v>10.782473138285852</v>
      </c>
      <c r="F74" s="263">
        <f t="shared" si="159"/>
        <v>10.95009829146422</v>
      </c>
      <c r="G74" s="263">
        <f t="shared" si="159"/>
        <v>11.123988093964963</v>
      </c>
      <c r="H74" s="263">
        <f t="shared" si="159"/>
        <v>11.304389608329616</v>
      </c>
      <c r="I74" s="263">
        <f t="shared" si="159"/>
        <v>11.487200123459928</v>
      </c>
      <c r="J74" s="12">
        <f t="shared" si="163" ref="J74:K74">J71*J$30</f>
        <v>11.672966984363889</v>
      </c>
      <c r="K74" s="12">
        <f t="shared" si="163"/>
        <v>11.861738000000003</v>
      </c>
      <c r="L74" s="12">
        <f t="shared" si="156"/>
        <v>12.531237310602172</v>
      </c>
      <c r="M74" s="12">
        <f t="shared" si="164" ref="M74:AG74">M71*M$30</f>
        <v>13.496012120373113</v>
      </c>
      <c r="N74" s="12">
        <f t="shared" si="164"/>
        <v>14.004088910601549</v>
      </c>
      <c r="O74" s="12">
        <f t="shared" si="164"/>
        <v>14.490900176276243</v>
      </c>
      <c r="P74" s="12">
        <f t="shared" si="164"/>
        <v>14.93244133281809</v>
      </c>
      <c r="Q74" s="12">
        <f t="shared" si="164"/>
        <v>15.246125829346534</v>
      </c>
      <c r="R74" s="12">
        <f t="shared" si="164"/>
        <v>16.040683732342156</v>
      </c>
      <c r="S74" s="12">
        <f t="shared" si="164"/>
        <v>16.86931594248718</v>
      </c>
      <c r="T74" s="12">
        <f t="shared" si="164"/>
        <v>17.731361878659868</v>
      </c>
      <c r="U74" s="12">
        <f t="shared" si="164"/>
        <v>18.613599530352676</v>
      </c>
      <c r="V74" s="12">
        <f t="shared" si="164"/>
        <v>19.476210862484873</v>
      </c>
      <c r="W74" s="12">
        <f t="shared" si="164"/>
        <v>20.317653973972309</v>
      </c>
      <c r="X74" s="12">
        <f t="shared" si="164"/>
        <v>21.135443300809982</v>
      </c>
      <c r="Y74" s="12">
        <f t="shared" si="164"/>
        <v>21.919181894991286</v>
      </c>
      <c r="Z74" s="12">
        <f t="shared" si="164"/>
        <v>22.686582829942392</v>
      </c>
      <c r="AA74" s="12">
        <f t="shared" si="164"/>
        <v>23.432070687377486</v>
      </c>
      <c r="AB74" s="12">
        <f t="shared" si="164"/>
        <v>24.171466374122478</v>
      </c>
      <c r="AC74" s="12">
        <f t="shared" si="164"/>
        <v>24.900499597435228</v>
      </c>
      <c r="AD74" s="12">
        <f t="shared" si="164"/>
        <v>25.62922842718757</v>
      </c>
      <c r="AE74" s="12">
        <f t="shared" si="164"/>
        <v>26.334803994195223</v>
      </c>
      <c r="AF74" s="12">
        <f t="shared" si="164"/>
        <v>29.392907749194254</v>
      </c>
      <c r="AG74" s="12">
        <f t="shared" si="164"/>
        <v>31.83257998996627</v>
      </c>
      <c r="AH74" s="12">
        <f t="shared" si="165" ref="AH74:AK74">AH71*AH$30</f>
        <v>34.16310131103225</v>
      </c>
      <c r="AI74" s="12">
        <f t="shared" si="165"/>
        <v>35.174317391140534</v>
      </c>
      <c r="AJ74" s="12">
        <f t="shared" si="165"/>
        <v>36.042775261740246</v>
      </c>
      <c r="AK74" s="12">
        <f t="shared" si="165"/>
        <v>36.800116012916774</v>
      </c>
      <c r="AL74" s="12"/>
      <c r="AM74" s="12"/>
      <c r="AN74" s="12">
        <v>26.84257733919894</v>
      </c>
      <c r="AO74" s="12">
        <v>28.517689450000709</v>
      </c>
      <c r="AP74" s="12">
        <v>30.092995353261401</v>
      </c>
      <c r="AQ74" s="12">
        <v>31.584983588145139</v>
      </c>
    </row>
    <row r="75" spans="1:43" ht="15">
      <c r="A75" t="s">
        <v>386</v>
      </c>
      <c r="B75">
        <f t="shared" si="123"/>
        <v>29</v>
      </c>
      <c r="C75" s="267">
        <v>0.33936777226430637</v>
      </c>
      <c r="D75" s="266">
        <v>0.34922378908645002</v>
      </c>
      <c r="E75" s="266">
        <v>0.35473666462293074</v>
      </c>
      <c r="F75" s="266">
        <v>0.35856192519926422</v>
      </c>
      <c r="G75" s="266">
        <v>0.35979950950337214</v>
      </c>
      <c r="H75" s="266">
        <v>0.36519987737584303</v>
      </c>
      <c r="I75" s="266">
        <v>0.36857510729613735</v>
      </c>
      <c r="J75">
        <f>INDEX(DriversGams!$A72:$AN72,1,MATCH(Drivers!J$3,DriversGams!$A$71:$AN$71,0))</f>
        <v>0.3633462849227278</v>
      </c>
      <c r="K75">
        <f>INDEX(DriversGams!$A72:$AN72,1,MATCH(Drivers!K$3,DriversGams!$A$71:$AN$71,0))</f>
        <v>0.34011739949178216</v>
      </c>
      <c r="L75" s="183">
        <f>(K75+M75)/2</f>
        <v>0.3936538766729526</v>
      </c>
      <c r="M75">
        <f>INDEX(DriversGams!$A72:$AN72,1,MATCH(Drivers!M$3,DriversGams!$A$71:$AN$71,0))</f>
        <v>0.44719035385412303</v>
      </c>
      <c r="N75">
        <f>INDEX(DriversGams!$A72:$AN72,1,MATCH(Drivers!N$3,DriversGams!$A$71:$AN$71,0))</f>
        <v>0.45375408712243448</v>
      </c>
      <c r="O75">
        <f>INDEX(DriversGams!$A72:$AN72,1,MATCH(Drivers!O$3,DriversGams!$A$71:$AN$71,0))</f>
        <v>0.46020553597703256</v>
      </c>
      <c r="P75" s="183">
        <f>(O75+Q75)/2</f>
        <v>0.46442183942712284</v>
      </c>
      <c r="Q75">
        <f>INDEX(DriversGams!$A72:$AN72,1,MATCH(Drivers!Q$3,DriversGams!$A$71:$AN$71,0))</f>
        <v>0.46863814287721312</v>
      </c>
      <c r="R75">
        <f>INDEX(DriversGams!$A72:$AN72,1,MATCH(Drivers!R$3,DriversGams!$A$71:$AN$71,0))</f>
        <v>0.48320247716075537</v>
      </c>
      <c r="S75">
        <f>INDEX(DriversGams!$A72:$AN72,1,MATCH(Drivers!S$3,DriversGams!$A$71:$AN$71,0))</f>
        <v>0.49747050142469929</v>
      </c>
      <c r="T75">
        <f>INDEX(DriversGams!$A72:$AN72,1,MATCH(Drivers!T$3,DriversGams!$A$71:$AN$71,0))</f>
        <v>0.51387498368808981</v>
      </c>
      <c r="U75">
        <f>INDEX(DriversGams!$A72:$AN72,1,MATCH(Drivers!U$3,DriversGams!$A$71:$AN$71,0))</f>
        <v>0.53207581511109669</v>
      </c>
      <c r="V75">
        <f>INDEX(DriversGams!$A72:$AN72,1,MATCH(Drivers!V$3,DriversGams!$A$71:$AN$71,0))</f>
        <v>0.55052642812452968</v>
      </c>
      <c r="W75">
        <f>INDEX(DriversGams!$A72:$AN72,1,MATCH(Drivers!W$3,DriversGams!$A$71:$AN$71,0))</f>
        <v>0.62615788928214222</v>
      </c>
      <c r="X75">
        <f>INDEX(DriversGams!$A72:$AN72,1,MATCH(Drivers!X$3,DriversGams!$A$71:$AN$71,0))</f>
        <v>0.64747966372409349</v>
      </c>
      <c r="Y75">
        <f>INDEX(DriversGams!$A72:$AN72,1,MATCH(Drivers!Y$3,DriversGams!$A$71:$AN$71,0))</f>
        <v>0.66856673733096195</v>
      </c>
      <c r="Z75">
        <f>INDEX(DriversGams!$A72:$AN72,1,MATCH(Drivers!Z$3,DriversGams!$A$71:$AN$71,0))</f>
        <v>0.68976787448300947</v>
      </c>
      <c r="AA75">
        <f>INDEX(DriversGams!$A72:$AN72,1,MATCH(Drivers!AA$3,DriversGams!$A$71:$AN$71,0))</f>
        <v>0.71238461697686117</v>
      </c>
      <c r="AB75">
        <f>INDEX(DriversGams!$A72:$AN72,1,MATCH(Drivers!AB$3,DriversGams!$A$71:$AN$71,0))</f>
        <v>0.73597709421172008</v>
      </c>
      <c r="AC75">
        <f>INDEX(DriversGams!$A72:$AN72,1,MATCH(Drivers!AC$3,DriversGams!$A$71:$AN$71,0))</f>
        <v>0.76049010404955431</v>
      </c>
      <c r="AD75">
        <f>INDEX(DriversGams!$A72:$AN72,1,MATCH(Drivers!AD$3,DriversGams!$A$71:$AN$71,0))</f>
        <v>0.78685997478287784</v>
      </c>
      <c r="AE75">
        <f>INDEX(DriversGams!$A72:$AN72,1,MATCH(Drivers!AE$3,DriversGams!$A$71:$AN$71,0))</f>
        <v>0.81328715800555984</v>
      </c>
      <c r="AF75">
        <f>INDEX(DriversGams!$A72:$AN72,1,MATCH(Drivers!AF$3,DriversGams!$A$71:$AN$71,0))</f>
        <v>1.0151376366759042</v>
      </c>
      <c r="AG75">
        <f>INDEX(DriversGams!$A72:$AN72,1,MATCH(Drivers!AG$3,DriversGams!$A$71:$AN$71,0))</f>
        <v>1.1486775120085726</v>
      </c>
      <c r="AH75">
        <f>INDEX(DriversGams!$A72:$AN72,1,MATCH(Drivers!AH$3,DriversGams!$A$71:$AN$71,0))</f>
        <v>1.3373672981407001</v>
      </c>
      <c r="AI75" s="22">
        <f t="shared" si="166" ref="AI75">AO75/AN75*AH75</f>
        <v>1.4592452616203553</v>
      </c>
      <c r="AJ75" s="22">
        <f t="shared" si="167" ref="AJ75">AP75/AO75*AI75</f>
        <v>1.5370026927006031</v>
      </c>
      <c r="AK75" s="22">
        <f t="shared" si="168" ref="AK75">AQ75/AP75*AJ75</f>
        <v>1.5623585027529783</v>
      </c>
      <c r="AL75" s="111"/>
      <c r="AM75" s="111"/>
      <c r="AN75">
        <v>0.75273856178520915</v>
      </c>
      <c r="AO75">
        <v>0.82133769911310128</v>
      </c>
      <c r="AP75">
        <v>0.86510354931807654</v>
      </c>
      <c r="AQ75">
        <v>0.87937509313274809</v>
      </c>
    </row>
    <row r="76" spans="1:43" ht="15">
      <c r="A76" t="s">
        <v>263</v>
      </c>
      <c r="C76" s="50"/>
      <c r="D76" s="272">
        <f>(D75/C75)^(1/(D$5-C$5))-1</f>
        <v>0.029042288713459818</v>
      </c>
      <c r="E76" s="272">
        <f t="shared" si="169" ref="E76">(E75/D75)^(1/(E$5-D$5))-1</f>
        <v>0.015786082474226859</v>
      </c>
      <c r="F76" s="272">
        <f t="shared" si="170" ref="F76">(F75/E75)^(1/(F$5-E$5))-1</f>
        <v>0.010783380907072537</v>
      </c>
      <c r="G76" s="272">
        <f t="shared" si="171" ref="G76">(G75/F75)^(1/(G$5-F$5))-1</f>
        <v>0.0034515218073423171</v>
      </c>
      <c r="H76" s="272">
        <f t="shared" si="172" ref="H76">(H75/G75)^(1/(H$5-G$5))-1</f>
        <v>0.015009380863039379</v>
      </c>
      <c r="I76" s="272">
        <f t="shared" si="173" ref="I76">(I75/H75)^(1/(I$5-H$5))-1</f>
        <v>0.0092421441774492852</v>
      </c>
      <c r="J76" s="50">
        <f t="shared" si="174" ref="J76">(J75/I75)^(1/(J$5-I$5))-1</f>
        <v>-0.014186585772892113</v>
      </c>
      <c r="K76" s="50">
        <f t="shared" si="175" ref="K76">(K75/J75)^(1/(K$5-J$5))-1</f>
        <v>-0.063930433294194011</v>
      </c>
      <c r="L76" s="50">
        <f t="shared" si="176" ref="L76">(L75/K75)^(1/(L$5-K$5))-1</f>
        <v>0.15740587591568955</v>
      </c>
      <c r="M76" s="50">
        <f t="shared" si="177" ref="M76">(M75/L75)^(1/(M$5-L$5))-1</f>
        <v>0.13599885674604573</v>
      </c>
      <c r="N76" s="50">
        <f t="shared" si="178" ref="N76">(N75/M75)^(1/(N$5-M$5))-1</f>
        <v>0.014677716573583854</v>
      </c>
      <c r="O76" s="50">
        <f t="shared" si="179" ref="O76">(O75/N75)^(1/(O$5-N$5))-1</f>
        <v>0.014217941033900505</v>
      </c>
      <c r="P76" s="50">
        <f t="shared" si="180" ref="P76">(P75/O75)^(1/(P$5-O$5))-1</f>
        <v>0.0091617834217028182</v>
      </c>
      <c r="Q76" s="50">
        <f t="shared" si="181" ref="Q76">(Q75/P75)^(1/(Q$5-P$5))-1</f>
        <v>0.0090786071888677711</v>
      </c>
      <c r="R76" s="50">
        <f t="shared" si="182" ref="R76">(R75/Q75)^(1/(R$5-Q$5))-1</f>
        <v>0.031077995901324318</v>
      </c>
      <c r="S76" s="50">
        <f t="shared" si="183" ref="S76">(S75/R75)^(1/(S$5-R$5))-1</f>
        <v>0.029528044532762365</v>
      </c>
      <c r="T76" s="50">
        <f t="shared" si="184" ref="T76">(T75/S75)^(1/(T$5-S$5))-1</f>
        <v>0.032975788949113349</v>
      </c>
      <c r="U76" s="50">
        <f t="shared" si="185" ref="U76">(U75/T75)^(1/(U$5-T$5))-1</f>
        <v>0.035418792509374963</v>
      </c>
      <c r="V76" s="50">
        <f t="shared" si="186" ref="V76">(V75/U75)^(1/(V$5-U$5))-1</f>
        <v>0.034676661651273255</v>
      </c>
      <c r="W76" s="50">
        <f t="shared" si="187" ref="W76">(W75/V75)^(1/(W$5-V$5))-1</f>
        <v>0.13738025514100238</v>
      </c>
      <c r="X76" s="50">
        <f t="shared" si="188" ref="X76">(X75/W75)^(1/(X$5-W$5))-1</f>
        <v>0.034051754049438943</v>
      </c>
      <c r="Y76" s="50">
        <f t="shared" si="189" ref="Y76">(Y75/X75)^(1/(Y$5-X$5))-1</f>
        <v>0.032567931918637383</v>
      </c>
      <c r="Z76" s="50">
        <f t="shared" si="190" ref="Z76">(Z75/Y75)^(1/(Z$5-Y$5))-1</f>
        <v>0.031711325090276299</v>
      </c>
      <c r="AA76" s="50">
        <f t="shared" si="191" ref="AA76">(AA75/Z75)^(1/(AA$5-Z$5))-1</f>
        <v>0.032788918316619675</v>
      </c>
      <c r="AB76" s="50">
        <f t="shared" si="192" ref="AB76">(AB75/AA75)^(1/(AB$5-AA$5))-1</f>
        <v>0.033117611852678808</v>
      </c>
      <c r="AC76" s="50">
        <f t="shared" si="193" ref="AC76">(AC75/AB75)^(1/(AC$5-AB$5))-1</f>
        <v>0.033306756461067843</v>
      </c>
      <c r="AD76" s="50">
        <f t="shared" si="194" ref="AD76">(AD75/AC75)^(1/(AD$5-AC$5))-1</f>
        <v>0.034674837440889617</v>
      </c>
      <c r="AE76" s="50">
        <f t="shared" si="195" ref="AE76">(AE75/AD75)^(1/(AE$5-AD$5))-1</f>
        <v>0.033585623960570965</v>
      </c>
      <c r="AF76" s="50">
        <f t="shared" si="196" ref="AF76">(AF75/AE75)^(1/(AF$5-AE$5))-1</f>
        <v>0.045336712014029112</v>
      </c>
      <c r="AG76" s="50">
        <f t="shared" si="197" ref="AG76">(AG75/AF75)^(1/(AG$5-AF$5))-1</f>
        <v>0.025025424862892054</v>
      </c>
      <c r="AH76" s="287">
        <f t="shared" si="198" ref="AH76">(AH75/AG75)^(1/(AH$5-AG$5))-1</f>
        <v>0.030885701897448437</v>
      </c>
      <c r="AI76" s="287">
        <f>(AI75/AH75)^(1/(AI$5-AH$5))-1</f>
        <v>0.017596298267333221</v>
      </c>
      <c r="AJ76" s="287">
        <f t="shared" si="199" ref="AJ76">(AJ75/AI75)^(1/(AJ$5-AI$5))-1</f>
        <v>0.010437061796241043</v>
      </c>
      <c r="AK76" s="287">
        <f t="shared" si="200" ref="AK76">(AK75/AJ75)^(1/(AK$5-AJ$5))-1</f>
        <v>0.0032778251214204968</v>
      </c>
      <c r="AL76" s="50"/>
      <c r="AM76" s="50"/>
      <c r="AN76" s="287">
        <v>0.024755534538967172</v>
      </c>
      <c r="AO76" s="287">
        <v>0.017596298267333221</v>
      </c>
      <c r="AP76" s="287">
        <v>0.010437061796241043</v>
      </c>
      <c r="AQ76" s="287">
        <v>0.0032778251214204968</v>
      </c>
    </row>
    <row r="78" spans="1:43" ht="15">
      <c r="A78" t="s">
        <v>636</v>
      </c>
      <c r="L78">
        <f>L69/K69</f>
        <v>0.96980403013344796</v>
      </c>
      <c r="M78">
        <f t="shared" si="201" ref="M78:AG80">M69/L69</f>
        <v>0.94265595854194206</v>
      </c>
      <c r="N78">
        <f t="shared" si="201"/>
        <v>0.97617241669745303</v>
      </c>
      <c r="O78">
        <f t="shared" si="201"/>
        <v>0.98208083121458178</v>
      </c>
      <c r="P78">
        <f t="shared" si="201"/>
        <v>0.98395190537597088</v>
      </c>
      <c r="Q78">
        <f t="shared" si="201"/>
        <v>0.99033914113897015</v>
      </c>
      <c r="R78">
        <f t="shared" si="201"/>
        <v>0.97625638354216715</v>
      </c>
      <c r="S78">
        <f t="shared" si="201"/>
        <v>0.96721549225007419</v>
      </c>
      <c r="T78">
        <f t="shared" si="201"/>
        <v>0.96616596897718166</v>
      </c>
      <c r="U78">
        <f t="shared" si="201"/>
        <v>0.96438606397092463</v>
      </c>
      <c r="V78">
        <f t="shared" si="201"/>
        <v>0.96360166712228434</v>
      </c>
      <c r="W78">
        <f t="shared" si="201"/>
        <v>0.96380793196058789</v>
      </c>
      <c r="X78">
        <f t="shared" si="201"/>
        <v>0.96411118407243301</v>
      </c>
      <c r="Y78">
        <f t="shared" si="201"/>
        <v>0.96446916164409047</v>
      </c>
      <c r="Z78">
        <f t="shared" si="201"/>
        <v>0.96460506372755594</v>
      </c>
      <c r="AA78">
        <f t="shared" si="201"/>
        <v>0.96603026294874772</v>
      </c>
      <c r="AB78">
        <f t="shared" si="201"/>
        <v>0.96546537585580383</v>
      </c>
      <c r="AC78">
        <f t="shared" si="201"/>
        <v>0.96507378577801406</v>
      </c>
      <c r="AD78">
        <f t="shared" si="201"/>
        <v>0.9646059216335674</v>
      </c>
      <c r="AE78">
        <f t="shared" si="201"/>
        <v>0.96426830068233771</v>
      </c>
      <c r="AF78">
        <f t="shared" si="201"/>
        <v>0.84719483654364158</v>
      </c>
      <c r="AG78">
        <f t="shared" si="201"/>
        <v>0.85896655635559915</v>
      </c>
      <c r="AH78">
        <f t="shared" si="202" ref="AH78:AH80">AH69/AG69</f>
        <v>0.85623835533776338</v>
      </c>
      <c r="AI78">
        <f t="shared" si="203" ref="AI78:AI80">AI69/AH69</f>
        <v>0.86299926134147653</v>
      </c>
      <c r="AJ78">
        <f t="shared" si="204" ref="AJ78:AJ80">AJ69/AI69</f>
        <v>0.84097945156380127</v>
      </c>
      <c r="AK78">
        <f t="shared" si="205" ref="AK78:AK80">AK69/AJ69</f>
        <v>0.8109422613349887</v>
      </c>
      <c r="AN78">
        <v>0.87983384217039851</v>
      </c>
      <c r="AO78">
        <v>0.86299926134147653</v>
      </c>
      <c r="AP78">
        <v>0.84097945156380127</v>
      </c>
      <c r="AQ78">
        <v>0.8109422613349887</v>
      </c>
    </row>
    <row r="79" spans="1:43" ht="15">
      <c r="A79" t="s">
        <v>637</v>
      </c>
      <c r="L79">
        <f t="shared" si="206" ref="L79:AA80">L70/K70</f>
        <v>1.0157174255068118</v>
      </c>
      <c r="M79">
        <f t="shared" si="206"/>
        <v>1.0487615307198115</v>
      </c>
      <c r="N79">
        <f t="shared" si="206"/>
        <v>1.0154259949800766</v>
      </c>
      <c r="O79">
        <f t="shared" si="206"/>
        <v>1.008158782647856</v>
      </c>
      <c r="P79">
        <f t="shared" si="206"/>
        <v>1.0082291691388439</v>
      </c>
      <c r="Q79">
        <f t="shared" si="206"/>
        <v>1.0053829226605728</v>
      </c>
      <c r="R79">
        <f t="shared" si="206"/>
        <v>1.0005256975138754</v>
      </c>
      <c r="S79">
        <f t="shared" si="206"/>
        <v>1.0106369746733619</v>
      </c>
      <c r="T79">
        <f t="shared" si="206"/>
        <v>1.0092166821051149</v>
      </c>
      <c r="U79">
        <f t="shared" si="206"/>
        <v>1.0093265491752774</v>
      </c>
      <c r="V79">
        <f t="shared" si="206"/>
        <v>1.0099447406585995</v>
      </c>
      <c r="W79">
        <f t="shared" si="206"/>
        <v>1.0094360362237704</v>
      </c>
      <c r="X79">
        <f t="shared" si="206"/>
        <v>1.0089919367354236</v>
      </c>
      <c r="Y79">
        <f t="shared" si="206"/>
        <v>1.0089894847923746</v>
      </c>
      <c r="Z79">
        <f t="shared" si="206"/>
        <v>1.0084792639384075</v>
      </c>
      <c r="AA79">
        <f t="shared" si="206"/>
        <v>1.0070632455470414</v>
      </c>
      <c r="AB79">
        <f t="shared" si="201"/>
        <v>1.0069250495273281</v>
      </c>
      <c r="AC79">
        <f t="shared" si="201"/>
        <v>1.0067435904761606</v>
      </c>
      <c r="AD79">
        <f t="shared" si="201"/>
        <v>1.0061916459465716</v>
      </c>
      <c r="AE79">
        <f t="shared" si="201"/>
        <v>1.0064717917627251</v>
      </c>
      <c r="AF79">
        <f t="shared" si="201"/>
        <v>1.0270965451267844</v>
      </c>
      <c r="AG79">
        <f t="shared" si="201"/>
        <v>1.0234075820137196</v>
      </c>
      <c r="AH79">
        <f t="shared" si="202"/>
        <v>1.0116501625559462</v>
      </c>
      <c r="AI79">
        <f t="shared" si="203"/>
        <v>1.0394230275797109</v>
      </c>
      <c r="AJ79">
        <f t="shared" si="204"/>
        <v>1.0382231534440094</v>
      </c>
      <c r="AK79">
        <f t="shared" si="205"/>
        <v>1.0367838638539821</v>
      </c>
      <c r="AN79">
        <v>1.0403303262159191</v>
      </c>
      <c r="AO79">
        <v>1.0394230275797109</v>
      </c>
      <c r="AP79">
        <v>1.0382231534440094</v>
      </c>
      <c r="AQ79">
        <v>1.0367838638539821</v>
      </c>
    </row>
    <row r="80" spans="1:43" ht="15">
      <c r="A80" t="s">
        <v>638</v>
      </c>
      <c r="L80">
        <f t="shared" si="206"/>
        <v>1.0549555081384072</v>
      </c>
      <c r="M80">
        <f t="shared" si="201"/>
        <v>1.0679694646653368</v>
      </c>
      <c r="N80">
        <f t="shared" si="201"/>
        <v>1.0287047248831274</v>
      </c>
      <c r="O80">
        <f t="shared" si="201"/>
        <v>1.0244903658572968</v>
      </c>
      <c r="P80">
        <f t="shared" si="201"/>
        <v>1.0195618663784585</v>
      </c>
      <c r="Q80">
        <f t="shared" si="201"/>
        <v>1.010650872867165</v>
      </c>
      <c r="R80">
        <f t="shared" si="201"/>
        <v>1.0418502895626387</v>
      </c>
      <c r="S80">
        <f t="shared" si="201"/>
        <v>1.0417965875423671</v>
      </c>
      <c r="T80">
        <f t="shared" si="201"/>
        <v>1.0416023676996131</v>
      </c>
      <c r="U80">
        <f t="shared" si="201"/>
        <v>1.0405740272402872</v>
      </c>
      <c r="V80">
        <f t="shared" si="201"/>
        <v>1.0374820457103668</v>
      </c>
      <c r="W80">
        <f t="shared" si="201"/>
        <v>1.0346140802477717</v>
      </c>
      <c r="X80">
        <f t="shared" si="201"/>
        <v>1.0319126231010223</v>
      </c>
      <c r="Y80">
        <f t="shared" si="201"/>
        <v>1.029009474039142</v>
      </c>
      <c r="Z80">
        <f t="shared" si="201"/>
        <v>1.0271693243464288</v>
      </c>
      <c r="AA80">
        <f t="shared" si="201"/>
        <v>1.0252177084345027</v>
      </c>
      <c r="AB80">
        <f t="shared" si="201"/>
        <v>1.024120209500553</v>
      </c>
      <c r="AC80">
        <f t="shared" si="201"/>
        <v>1.0229688016683789</v>
      </c>
      <c r="AD80">
        <f t="shared" si="201"/>
        <v>1.0223055380828743</v>
      </c>
      <c r="AE80">
        <f t="shared" si="201"/>
        <v>1.0207926027253429</v>
      </c>
      <c r="AF80">
        <f t="shared" si="201"/>
        <v>1.0834519192098595</v>
      </c>
      <c r="AG80">
        <f t="shared" si="201"/>
        <v>1.0577635759926265</v>
      </c>
      <c r="AH80">
        <f t="shared" si="202"/>
        <v>1.0550000369540304</v>
      </c>
      <c r="AI80">
        <f t="shared" si="203"/>
        <v>1.0178406181334532</v>
      </c>
      <c r="AJ80">
        <f t="shared" si="204"/>
        <v>1.0173641235320654</v>
      </c>
      <c r="AK80">
        <f t="shared" si="205"/>
        <v>1.0170870284006623</v>
      </c>
      <c r="AN80">
        <v>1.0534140468778366</v>
      </c>
      <c r="AO80">
        <v>1.0502713314116625</v>
      </c>
      <c r="AP80">
        <v>1.0476952030099886</v>
      </c>
      <c r="AQ80">
        <v>1.0455441804964232</v>
      </c>
    </row>
    <row r="81" spans="1:43" ht="15">
      <c r="A81" t="s">
        <v>380</v>
      </c>
      <c r="K81" s="22">
        <f>K69</f>
        <v>0.51324982266072861</v>
      </c>
      <c r="L81">
        <f>K81*L78</f>
        <v>0.49775174648165205</v>
      </c>
      <c r="M81">
        <f t="shared" si="207" ref="M81:AG83">L81*M78</f>
        <v>0.46920864969558745</v>
      </c>
      <c r="N81">
        <f t="shared" si="207"/>
        <v>0.45802854150869027</v>
      </c>
      <c r="O81">
        <f t="shared" si="207"/>
        <v>0.44982105076485712</v>
      </c>
      <c r="P81">
        <f t="shared" si="207"/>
        <v>0.44260227997830248</v>
      </c>
      <c r="Q81">
        <f t="shared" si="207"/>
        <v>0.43832636181986206</v>
      </c>
      <c r="R81">
        <f t="shared" si="207"/>
        <v>0.427918908801454</v>
      </c>
      <c r="S81">
        <f t="shared" si="207"/>
        <v>0.41388979801951292</v>
      </c>
      <c r="T81">
        <f t="shared" si="207"/>
        <v>0.39988623775329268</v>
      </c>
      <c r="U81">
        <f t="shared" si="207"/>
        <v>0.38564471486303931</v>
      </c>
      <c r="V81">
        <f t="shared" si="207"/>
        <v>0.37160789015892265</v>
      </c>
      <c r="W81">
        <f t="shared" si="207"/>
        <v>0.35815863211430854</v>
      </c>
      <c r="X81">
        <f t="shared" si="207"/>
        <v>0.34530474289348895</v>
      </c>
      <c r="Y81">
        <f t="shared" si="207"/>
        <v>0.33303577589021149</v>
      </c>
      <c r="Z81">
        <f t="shared" si="207"/>
        <v>0.3212479958261335</v>
      </c>
      <c r="AA81">
        <f t="shared" si="207"/>
        <v>0.31033528587967796</v>
      </c>
      <c r="AB81">
        <f t="shared" si="207"/>
        <v>0.29961797342314161</v>
      </c>
      <c r="AC81">
        <f t="shared" si="207"/>
        <v>0.28915345189860769</v>
      </c>
      <c r="AD81">
        <f t="shared" si="207"/>
        <v>0.27891913196218387</v>
      </c>
      <c r="AE81">
        <f t="shared" si="207"/>
        <v>0.26895287740496776</v>
      </c>
      <c r="AF81">
        <f t="shared" si="207"/>
        <v>0.22785548901104374</v>
      </c>
      <c r="AG81">
        <f t="shared" si="207"/>
        <v>0.1957202447425373</v>
      </c>
      <c r="AH81">
        <f t="shared" si="208" ref="AH81:AH83">AG81*AH78</f>
        <v>0.16758318046465467</v>
      </c>
      <c r="AI81">
        <f t="shared" si="209" ref="AI81:AI83">AH81*AI78</f>
        <v>0.14462416095425235</v>
      </c>
      <c r="AJ81">
        <f t="shared" si="210" ref="AJ81:AJ83">AI81*AJ78</f>
        <v>0.12162594756218206</v>
      </c>
      <c r="AK81">
        <f t="shared" si="211" ref="AK81:AK83">AJ81*AK78</f>
        <v>0.098631620953086682</v>
      </c>
      <c r="AN81">
        <v>0.24552291570350171</v>
      </c>
      <c r="AO81">
        <v>0.21188609489452759</v>
      </c>
      <c r="AP81">
        <v>0.17819185187839537</v>
      </c>
      <c r="AQ81">
        <v>0.14450330331373529</v>
      </c>
    </row>
    <row r="82" spans="1:43" ht="15">
      <c r="A82" t="s">
        <v>381</v>
      </c>
      <c r="K82" s="22">
        <f t="shared" si="212" ref="K82:K83">K70</f>
        <v>0.28675017733927138</v>
      </c>
      <c r="L82">
        <f t="shared" si="213" ref="L82:AA83">K82*L79</f>
        <v>0.29125715189066642</v>
      </c>
      <c r="M82">
        <f t="shared" si="213"/>
        <v>0.30545929644994796</v>
      </c>
      <c r="N82">
        <f t="shared" si="213"/>
        <v>0.3101713100236026</v>
      </c>
      <c r="O82">
        <f t="shared" si="213"/>
        <v>0.31270193032568594</v>
      </c>
      <c r="P82">
        <f t="shared" si="213"/>
        <v>0.31527520740037895</v>
      </c>
      <c r="Q82">
        <f t="shared" si="213"/>
        <v>0.31697230945861127</v>
      </c>
      <c r="R82">
        <f t="shared" si="213"/>
        <v>0.31713894101366102</v>
      </c>
      <c r="S82">
        <f t="shared" si="213"/>
        <v>0.32051233989716016</v>
      </c>
      <c r="T82">
        <f t="shared" si="213"/>
        <v>0.32346640024475881</v>
      </c>
      <c r="U82">
        <f t="shared" si="213"/>
        <v>0.32648322553319153</v>
      </c>
      <c r="V82">
        <f t="shared" si="213"/>
        <v>0.32973001654050216</v>
      </c>
      <c r="W82">
        <f t="shared" si="213"/>
        <v>0.33284136092064276</v>
      </c>
      <c r="X82">
        <f t="shared" si="213"/>
        <v>0.3358342493809735</v>
      </c>
      <c r="Y82">
        <f t="shared" si="213"/>
        <v>0.33885322625854231</v>
      </c>
      <c r="Z82">
        <f t="shared" si="213"/>
        <v>0.3417264522003694</v>
      </c>
      <c r="AA82">
        <f t="shared" si="213"/>
        <v>0.3441401500421799</v>
      </c>
      <c r="AB82">
        <f t="shared" si="207"/>
        <v>0.34652333762556414</v>
      </c>
      <c r="AC82">
        <f t="shared" si="207"/>
        <v>0.34886014910494328</v>
      </c>
      <c r="AD82">
        <f t="shared" si="207"/>
        <v>0.35102016763306926</v>
      </c>
      <c r="AE82">
        <f t="shared" si="207"/>
        <v>0.3532918970625073</v>
      </c>
      <c r="AF82">
        <f t="shared" si="207"/>
        <v>0.36286488689418878</v>
      </c>
      <c r="AG82">
        <f t="shared" si="207"/>
        <v>0.37135867649406357</v>
      </c>
      <c r="AH82">
        <f t="shared" si="208"/>
        <v>0.37568506544178043</v>
      </c>
      <c r="AI82">
        <f t="shared" si="209"/>
        <v>0.39049570813797724</v>
      </c>
      <c r="AJ82">
        <f t="shared" si="210"/>
        <v>0.40542168550936225</v>
      </c>
      <c r="AK82">
        <f t="shared" si="211"/>
        <v>0.42033466159259059</v>
      </c>
      <c r="AN82">
        <v>0.39561454073212232</v>
      </c>
      <c r="AO82">
        <v>0.41121086368233944</v>
      </c>
      <c r="AP82">
        <v>0.42692863962271316</v>
      </c>
      <c r="AQ82">
        <v>0.44263272457796082</v>
      </c>
    </row>
    <row r="83" spans="1:43" ht="15">
      <c r="A83" t="s">
        <v>382</v>
      </c>
      <c r="K83" s="22">
        <f t="shared" si="212"/>
        <v>0.20000000000000001</v>
      </c>
      <c r="L83">
        <f t="shared" si="213"/>
        <v>0.21099110162768145</v>
      </c>
      <c r="M83">
        <f t="shared" si="207"/>
        <v>0.22533205385446464</v>
      </c>
      <c r="N83">
        <f t="shared" si="207"/>
        <v>0.23180014846770708</v>
      </c>
      <c r="O83">
        <f t="shared" si="207"/>
        <v>0.23747701890945694</v>
      </c>
      <c r="P83">
        <f t="shared" si="207"/>
        <v>0.2421225126213184</v>
      </c>
      <c r="Q83">
        <f t="shared" si="207"/>
        <v>0.24470132872152661</v>
      </c>
      <c r="R83">
        <f t="shared" si="207"/>
        <v>0.25494215018488492</v>
      </c>
      <c r="S83">
        <f t="shared" si="207"/>
        <v>0.26559786208332675</v>
      </c>
      <c r="T83">
        <f t="shared" si="207"/>
        <v>0.27664736200194845</v>
      </c>
      <c r="U83">
        <f t="shared" si="207"/>
        <v>0.2878720596037691</v>
      </c>
      <c r="V83">
        <f t="shared" si="207"/>
        <v>0.29866209330057503</v>
      </c>
      <c r="W83">
        <f t="shared" si="207"/>
        <v>0.30900000696504859</v>
      </c>
      <c r="X83">
        <f t="shared" si="207"/>
        <v>0.31886100772553744</v>
      </c>
      <c r="Y83">
        <f t="shared" si="207"/>
        <v>0.32811099785124609</v>
      </c>
      <c r="Z83">
        <f t="shared" si="207"/>
        <v>0.33702555197349698</v>
      </c>
      <c r="AA83">
        <f t="shared" si="207"/>
        <v>0.34552456407814197</v>
      </c>
      <c r="AB83">
        <f t="shared" si="207"/>
        <v>0.35385868895129402</v>
      </c>
      <c r="AC83">
        <f t="shared" si="207"/>
        <v>0.36198639899644885</v>
      </c>
      <c r="AD83">
        <f t="shared" si="207"/>
        <v>0.37006070040474665</v>
      </c>
      <c r="AE83">
        <f t="shared" si="207"/>
        <v>0.37775522553252466</v>
      </c>
      <c r="AF83">
        <f t="shared" si="207"/>
        <v>0.40927962409476715</v>
      </c>
      <c r="AG83">
        <f t="shared" si="207"/>
        <v>0.43292107876339886</v>
      </c>
      <c r="AH83">
        <f t="shared" si="208"/>
        <v>0.45673175409356453</v>
      </c>
      <c r="AI83">
        <f t="shared" si="209"/>
        <v>0.46488013090777003</v>
      </c>
      <c r="AJ83">
        <f t="shared" si="210"/>
        <v>0.47295236692845527</v>
      </c>
      <c r="AK83">
        <f t="shared" si="211"/>
        <v>0.48103371745432227</v>
      </c>
      <c r="AN83">
        <v>0.35886254356437591</v>
      </c>
      <c r="AO83">
        <v>0.37690304142313286</v>
      </c>
      <c r="AP83">
        <v>0.39487950849889136</v>
      </c>
      <c r="AQ83">
        <v>0.41286397210830372</v>
      </c>
    </row>
    <row r="86" spans="1:1" ht="15">
      <c r="A86" t="s">
        <v>694</v>
      </c>
    </row>
    <row r="87" spans="3:43" ht="15">
      <c r="C87">
        <f>C5</f>
        <v>2012</v>
      </c>
      <c r="D87">
        <f>D5</f>
        <v>2013</v>
      </c>
      <c r="E87">
        <f t="shared" si="214" ref="E87:AG87">E5</f>
        <v>2014</v>
      </c>
      <c r="F87">
        <f t="shared" si="214"/>
        <v>2015</v>
      </c>
      <c r="G87">
        <f t="shared" si="214"/>
        <v>2016</v>
      </c>
      <c r="H87">
        <f t="shared" si="214"/>
        <v>2017</v>
      </c>
      <c r="I87">
        <f t="shared" si="214"/>
        <v>2018</v>
      </c>
      <c r="J87">
        <f t="shared" si="214"/>
        <v>2019</v>
      </c>
      <c r="K87">
        <f t="shared" si="214"/>
        <v>2020</v>
      </c>
      <c r="L87">
        <f t="shared" si="214"/>
        <v>2021</v>
      </c>
      <c r="M87">
        <f t="shared" si="214"/>
        <v>2022</v>
      </c>
      <c r="N87">
        <f t="shared" si="214"/>
        <v>2023</v>
      </c>
      <c r="O87">
        <f t="shared" si="214"/>
        <v>2024</v>
      </c>
      <c r="P87">
        <f t="shared" si="214"/>
        <v>2025</v>
      </c>
      <c r="Q87">
        <f t="shared" si="214"/>
        <v>2026</v>
      </c>
      <c r="R87">
        <f t="shared" si="214"/>
        <v>2027</v>
      </c>
      <c r="S87">
        <f t="shared" si="214"/>
        <v>2028</v>
      </c>
      <c r="T87">
        <f t="shared" si="214"/>
        <v>2029</v>
      </c>
      <c r="U87">
        <f t="shared" si="214"/>
        <v>2030</v>
      </c>
      <c r="V87">
        <f t="shared" si="214"/>
        <v>2031</v>
      </c>
      <c r="W87">
        <f t="shared" si="214"/>
        <v>2032</v>
      </c>
      <c r="X87">
        <f t="shared" si="214"/>
        <v>2033</v>
      </c>
      <c r="Y87">
        <f t="shared" si="214"/>
        <v>2034</v>
      </c>
      <c r="Z87">
        <f t="shared" si="214"/>
        <v>2035</v>
      </c>
      <c r="AA87">
        <f t="shared" si="214"/>
        <v>2036</v>
      </c>
      <c r="AB87">
        <f t="shared" si="214"/>
        <v>2037</v>
      </c>
      <c r="AC87">
        <f t="shared" si="214"/>
        <v>2038</v>
      </c>
      <c r="AD87">
        <f t="shared" si="214"/>
        <v>2039</v>
      </c>
      <c r="AE87">
        <f t="shared" si="214"/>
        <v>2040</v>
      </c>
      <c r="AF87">
        <f t="shared" si="214"/>
        <v>2045</v>
      </c>
      <c r="AG87">
        <f t="shared" si="214"/>
        <v>2050</v>
      </c>
      <c r="AH87">
        <f t="shared" si="215" ref="AH87:AK87">AH5</f>
        <v>2055</v>
      </c>
      <c r="AI87">
        <f t="shared" si="215"/>
        <v>2060</v>
      </c>
      <c r="AJ87">
        <f t="shared" si="215"/>
        <v>2065</v>
      </c>
      <c r="AK87">
        <f t="shared" si="215"/>
        <v>2070</v>
      </c>
      <c r="AN87">
        <v>2055</v>
      </c>
      <c r="AO87">
        <v>2060</v>
      </c>
      <c r="AP87">
        <v>2065</v>
      </c>
      <c r="AQ87">
        <v>2070</v>
      </c>
    </row>
    <row r="88" spans="1:43" ht="15">
      <c r="A88" t="s">
        <v>372</v>
      </c>
      <c r="C88" s="9">
        <v>117.12281075206418</v>
      </c>
      <c r="D88" s="9">
        <v>119.07275947417872</v>
      </c>
      <c r="E88" s="9">
        <v>120.12173328694826</v>
      </c>
      <c r="F88" s="9">
        <v>120.67779367214723</v>
      </c>
      <c r="G88" s="9">
        <v>119.95882677975034</v>
      </c>
      <c r="H88" s="9">
        <v>120.88915701956363</v>
      </c>
      <c r="I88" s="9">
        <v>121.14044942310186</v>
      </c>
      <c r="J88" s="9">
        <f>INDEX(DriversGams!$A$130:$AN$140,MATCH(Drivers!$A88,DriversGams!$A$130:$A$140,0),MATCH(Drivers!J$3,DriversGams!$A$130:$AN$130,0))</f>
        <v>118.6298855621765</v>
      </c>
      <c r="K88" s="9">
        <f>INDEX(DriversGams!$A$130:$AN$140,MATCH(Drivers!$A88,DriversGams!$A$130:$A$140,0),MATCH(Drivers!K$3,DriversGams!$A$130:$AN$130,0))</f>
        <v>104.75441900728599</v>
      </c>
      <c r="L88" s="9">
        <f>INDEX(DriversGams!$A$130:$AN$140,MATCH(Drivers!$A88,DriversGams!$A$130:$A$140,0),MATCH(Drivers!L$3,DriversGams!$A$130:$AN$130,0))</f>
        <v>106.76164130542233</v>
      </c>
      <c r="M88" s="9">
        <f>INDEX(DriversGams!$A$130:$AN$140,MATCH(Drivers!$A88,DriversGams!$A$130:$A$140,0),MATCH(Drivers!M$3,DriversGams!$A$130:$AN$130,0))</f>
        <v>115.09930020324944</v>
      </c>
      <c r="N88" s="9">
        <f>INDEX(DriversGams!$A$130:$AN$140,MATCH(Drivers!$A88,DriversGams!$A$130:$A$140,0),MATCH(Drivers!N$3,DriversGams!$A$130:$AN$130,0))</f>
        <v>112.95346646101328</v>
      </c>
      <c r="O88" s="9">
        <f>INDEX(DriversGams!$A$130:$AN$140,MATCH(Drivers!$A88,DriversGams!$A$130:$A$140,0),MATCH(Drivers!O$3,DriversGams!$A$130:$AN$130,0))</f>
        <v>113.44525551996605</v>
      </c>
      <c r="P88" s="9">
        <f>INDEX(DriversGams!$A$130:$AN$140,MATCH(Drivers!$A88,DriversGams!$A$130:$A$140,0),MATCH(Drivers!P$3,DriversGams!$A$130:$AN$130,0))</f>
        <v>116.82731085081521</v>
      </c>
      <c r="Q88" s="9">
        <f>INDEX(DriversGams!$A$130:$AN$140,MATCH(Drivers!$A88,DriversGams!$A$130:$A$140,0),MATCH(Drivers!Q$3,DriversGams!$A$130:$AN$130,0))</f>
        <v>122.25026381407469</v>
      </c>
      <c r="R88" s="9">
        <f>INDEX(DriversGams!$A$130:$AN$140,MATCH(Drivers!$A88,DriversGams!$A$130:$A$140,0),MATCH(Drivers!R$3,DriversGams!$A$130:$AN$130,0))</f>
        <v>123.68843594219095</v>
      </c>
      <c r="S88" s="9">
        <f>INDEX(DriversGams!$A$130:$AN$140,MATCH(Drivers!$A88,DriversGams!$A$130:$A$140,0),MATCH(Drivers!S$3,DriversGams!$A$130:$AN$130,0))</f>
        <v>125.14200671715895</v>
      </c>
      <c r="T88" s="9">
        <f>INDEX(DriversGams!$A$130:$AN$140,MATCH(Drivers!$A88,DriversGams!$A$130:$A$140,0),MATCH(Drivers!T$3,DriversGams!$A$130:$AN$130,0))</f>
        <v>128.48073241629191</v>
      </c>
      <c r="U88" s="9">
        <f>INDEX(DriversGams!$A$130:$AN$140,MATCH(Drivers!$A88,DriversGams!$A$130:$A$140,0),MATCH(Drivers!U$3,DriversGams!$A$130:$AN$130,0))</f>
        <v>132.11829541319594</v>
      </c>
      <c r="V88" s="9">
        <f>INDEX(DriversGams!$A$130:$AN$140,MATCH(Drivers!$A88,DriversGams!$A$130:$A$140,0),MATCH(Drivers!V$3,DriversGams!$A$130:$AN$130,0))</f>
        <v>136.58807290451026</v>
      </c>
      <c r="W88" s="9">
        <f>INDEX(DriversGams!$A$130:$AN$140,MATCH(Drivers!$A88,DriversGams!$A$130:$A$140,0),MATCH(Drivers!W$3,DriversGams!$A$130:$AN$130,0))</f>
        <v>141.06090570444286</v>
      </c>
      <c r="X88" s="9">
        <f>INDEX(DriversGams!$A$130:$AN$140,MATCH(Drivers!$A88,DriversGams!$A$130:$A$140,0),MATCH(Drivers!X$3,DriversGams!$A$130:$AN$130,0))</f>
        <v>145.75687245113829</v>
      </c>
      <c r="Y88" s="9">
        <f>INDEX(DriversGams!$A$130:$AN$140,MATCH(Drivers!$A88,DriversGams!$A$130:$A$140,0),MATCH(Drivers!Y$3,DriversGams!$A$130:$AN$130,0))</f>
        <v>149.22966827531786</v>
      </c>
      <c r="Z88" s="9">
        <f>INDEX(DriversGams!$A$130:$AN$140,MATCH(Drivers!$A88,DriversGams!$A$130:$A$140,0),MATCH(Drivers!Z$3,DriversGams!$A$130:$AN$130,0))</f>
        <v>155.70593974601681</v>
      </c>
      <c r="AA88" s="9">
        <f>INDEX(DriversGams!$A$130:$AN$140,MATCH(Drivers!$A88,DriversGams!$A$130:$A$140,0),MATCH(Drivers!AA$3,DriversGams!$A$130:$AN$130,0))</f>
        <v>159.99587913618126</v>
      </c>
      <c r="AB88" s="9">
        <f>INDEX(DriversGams!$A$130:$AN$140,MATCH(Drivers!$A88,DriversGams!$A$130:$A$140,0),MATCH(Drivers!AB$3,DriversGams!$A$130:$AN$130,0))</f>
        <v>164.89548304457838</v>
      </c>
      <c r="AC88" s="9">
        <f>INDEX(DriversGams!$A$130:$AN$140,MATCH(Drivers!$A88,DriversGams!$A$130:$A$140,0),MATCH(Drivers!AC$3,DriversGams!$A$130:$AN$130,0))</f>
        <v>169.9665153465981</v>
      </c>
      <c r="AD88" s="9">
        <f>INDEX(DriversGams!$A$130:$AN$140,MATCH(Drivers!$A88,DriversGams!$A$130:$A$140,0),MATCH(Drivers!AD$3,DriversGams!$A$130:$AN$130,0))</f>
        <v>176.01891135825284</v>
      </c>
      <c r="AE88" s="9">
        <f>INDEX(DriversGams!$A$130:$AN$140,MATCH(Drivers!$A88,DriversGams!$A$130:$A$140,0),MATCH(Drivers!AE$3,DriversGams!$A$130:$AN$130,0))</f>
        <v>182.18751861930343</v>
      </c>
      <c r="AF88" s="9">
        <f>INDEX(DriversGams!$A$130:$AN$140,MATCH(Drivers!$A88,DriversGams!$A$130:$A$140,0),MATCH(Drivers!AF$3,DriversGams!$A$130:$AN$130,0))</f>
        <v>210.60001355234505</v>
      </c>
      <c r="AG88" s="9">
        <f>INDEX(DriversGams!$A$130:$AN$140,MATCH(Drivers!$A88,DriversGams!$A$130:$A$140,0),MATCH(Drivers!AG$3,DriversGams!$A$130:$AN$130,0))</f>
        <v>236.62790370736002</v>
      </c>
      <c r="AH88" s="9">
        <f>INDEX(DriversGams!$A$130:$BA$140,MATCH(Drivers!$A88,DriversGams!$A$130:$A$140,0),MATCH(Drivers!AH$3,DriversGams!$A$130:$BA$130,0))</f>
        <v>271.26851942260618</v>
      </c>
      <c r="AI88" s="22">
        <f t="shared" si="216" ref="AI88:AI89">AO88/AN88*AH88</f>
        <v>286.7481346049492</v>
      </c>
      <c r="AJ88" s="22">
        <f t="shared" si="217" ref="AJ88:AJ89">AP88/AO88*AI88</f>
        <v>302.22774978729223</v>
      </c>
      <c r="AK88" s="22">
        <f t="shared" si="218" ref="AK88:AK89">AQ88/AP88*AJ88</f>
        <v>317.70736496963525</v>
      </c>
      <c r="AN88" s="9">
        <v>242.96109523809537</v>
      </c>
      <c r="AO88" s="9">
        <v>256.82538095238124</v>
      </c>
      <c r="AP88" s="9">
        <v>270.68966666666711</v>
      </c>
      <c r="AQ88" s="9">
        <v>284.55395238095298</v>
      </c>
    </row>
    <row r="89" spans="1:43" ht="15">
      <c r="A89" t="s">
        <v>692</v>
      </c>
      <c r="C89" s="9">
        <v>8.9365799535127532</v>
      </c>
      <c r="D89" s="9">
        <v>9.0598644843951579</v>
      </c>
      <c r="E89" s="9">
        <v>9.1538107433496982</v>
      </c>
      <c r="F89" s="9">
        <v>9.1222677109859784</v>
      </c>
      <c r="G89" s="9">
        <v>9.1065639127530105</v>
      </c>
      <c r="H89" s="9">
        <v>9.1664973983391231</v>
      </c>
      <c r="I89" s="9">
        <v>9.2089562288318536</v>
      </c>
      <c r="J89" s="9">
        <f>INDEX(DriversGams!$A$130:$AN$140,MATCH(Drivers!$A89,DriversGams!$A$130:$A$140,0),MATCH(Drivers!J$3,DriversGams!$A$130:$AN$130,0))</f>
        <v>9.1050000000000004</v>
      </c>
      <c r="K89" s="9">
        <f>INDEX(DriversGams!$A$130:$AN$140,MATCH(Drivers!$A89,DriversGams!$A$130:$A$140,0),MATCH(Drivers!K$3,DriversGams!$A$130:$AN$130,0))</f>
        <v>8.6709999999999994</v>
      </c>
      <c r="L89" s="9">
        <f>INDEX(DriversGams!$A$130:$AN$140,MATCH(Drivers!$A89,DriversGams!$A$130:$A$140,0),MATCH(Drivers!L$3,DriversGams!$A$130:$AN$130,0))</f>
        <v>8.7420000000000009</v>
      </c>
      <c r="M89" s="9">
        <f>INDEX(DriversGams!$A$130:$AN$140,MATCH(Drivers!$A89,DriversGams!$A$130:$A$140,0),MATCH(Drivers!M$3,DriversGams!$A$130:$AN$130,0))</f>
        <v>8.8580000000000005</v>
      </c>
      <c r="N89" s="9">
        <f>INDEX(DriversGams!$A$130:$AN$140,MATCH(Drivers!$A89,DriversGams!$A$130:$A$140,0),MATCH(Drivers!N$3,DriversGams!$A$130:$AN$130,0))</f>
        <v>8.9559999999999995</v>
      </c>
      <c r="O89" s="9">
        <f>INDEX(DriversGams!$A$130:$AN$140,MATCH(Drivers!$A89,DriversGams!$A$130:$A$140,0),MATCH(Drivers!O$3,DriversGams!$A$130:$AN$130,0))</f>
        <v>9.0570000000000004</v>
      </c>
      <c r="P89" s="9">
        <f>INDEX(DriversGams!$A$130:$AN$140,MATCH(Drivers!$A89,DriversGams!$A$130:$A$140,0),MATCH(Drivers!P$3,DriversGams!$A$130:$AN$130,0))</f>
        <v>9.157</v>
      </c>
      <c r="Q89" s="9">
        <f>INDEX(DriversGams!$A$130:$AN$140,MATCH(Drivers!$A89,DriversGams!$A$130:$A$140,0),MATCH(Drivers!Q$3,DriversGams!$A$130:$AN$130,0))</f>
        <v>9.2420000000000009</v>
      </c>
      <c r="R89" s="9">
        <f>INDEX(DriversGams!$A$130:$AN$140,MATCH(Drivers!$A89,DriversGams!$A$130:$A$140,0),MATCH(Drivers!R$3,DriversGams!$A$130:$AN$130,0))</f>
        <v>9.3409999999999993</v>
      </c>
      <c r="S89" s="9">
        <f>INDEX(DriversGams!$A$130:$AN$140,MATCH(Drivers!$A89,DriversGams!$A$130:$A$140,0),MATCH(Drivers!S$3,DriversGams!$A$130:$AN$130,0))</f>
        <v>9.3659999999999997</v>
      </c>
      <c r="T89" s="9">
        <f>INDEX(DriversGams!$A$130:$AN$140,MATCH(Drivers!$A89,DriversGams!$A$130:$A$140,0),MATCH(Drivers!T$3,DriversGams!$A$130:$AN$130,0))</f>
        <v>9.4169999999999998</v>
      </c>
      <c r="U89" s="9">
        <f>INDEX(DriversGams!$A$130:$AN$140,MATCH(Drivers!$A89,DriversGams!$A$130:$A$140,0),MATCH(Drivers!U$3,DriversGams!$A$130:$AN$130,0))</f>
        <v>9.5099999999999998</v>
      </c>
      <c r="V89" s="9">
        <f>INDEX(DriversGams!$A$130:$AN$140,MATCH(Drivers!$A89,DriversGams!$A$130:$A$140,0),MATCH(Drivers!V$3,DriversGams!$A$130:$AN$130,0))</f>
        <v>8.3460000000000001</v>
      </c>
      <c r="W89" s="9">
        <f>INDEX(DriversGams!$A$130:$AN$140,MATCH(Drivers!$A89,DriversGams!$A$130:$A$140,0),MATCH(Drivers!W$3,DriversGams!$A$130:$AN$130,0))</f>
        <v>7.7060000000000004</v>
      </c>
      <c r="X89" s="9">
        <f>INDEX(DriversGams!$A$130:$AN$140,MATCH(Drivers!$A89,DriversGams!$A$130:$A$140,0),MATCH(Drivers!X$3,DriversGams!$A$130:$AN$130,0))</f>
        <v>7.6909999999999998</v>
      </c>
      <c r="Y89" s="9">
        <f>INDEX(DriversGams!$A$130:$AN$140,MATCH(Drivers!$A89,DriversGams!$A$130:$A$140,0),MATCH(Drivers!Y$3,DriversGams!$A$130:$AN$130,0))</f>
        <v>7.8300000000000001</v>
      </c>
      <c r="Z89" s="9">
        <f>INDEX(DriversGams!$A$130:$AN$140,MATCH(Drivers!$A89,DriversGams!$A$130:$A$140,0),MATCH(Drivers!Z$3,DriversGams!$A$130:$AN$130,0))</f>
        <v>8.0020000000000007</v>
      </c>
      <c r="AA89" s="9">
        <f>INDEX(DriversGams!$A$130:$AN$140,MATCH(Drivers!$A89,DriversGams!$A$130:$A$140,0),MATCH(Drivers!AA$3,DriversGams!$A$130:$AN$130,0))</f>
        <v>8.1920000000000002</v>
      </c>
      <c r="AB89" s="9">
        <f>INDEX(DriversGams!$A$130:$AN$140,MATCH(Drivers!$A89,DriversGams!$A$130:$A$140,0),MATCH(Drivers!AB$3,DriversGams!$A$130:$AN$130,0))</f>
        <v>8.4000000000000004</v>
      </c>
      <c r="AC89" s="9">
        <f>INDEX(DriversGams!$A$130:$AN$140,MATCH(Drivers!$A89,DriversGams!$A$130:$A$140,0),MATCH(Drivers!AC$3,DriversGams!$A$130:$AN$130,0))</f>
        <v>8.6069999999999993</v>
      </c>
      <c r="AD89" s="9">
        <f>INDEX(DriversGams!$A$130:$AN$140,MATCH(Drivers!$A89,DriversGams!$A$130:$A$140,0),MATCH(Drivers!AD$3,DriversGams!$A$130:$AN$130,0))</f>
        <v>8.8249999999999993</v>
      </c>
      <c r="AE89" s="9">
        <f>INDEX(DriversGams!$A$130:$AN$140,MATCH(Drivers!$A89,DriversGams!$A$130:$A$140,0),MATCH(Drivers!AE$3,DriversGams!$A$130:$AN$130,0))</f>
        <v>9.0540000000000003</v>
      </c>
      <c r="AF89" s="9">
        <f>INDEX(DriversGams!$A$130:$AN$140,MATCH(Drivers!$A89,DriversGams!$A$130:$A$140,0),MATCH(Drivers!AF$3,DriversGams!$A$130:$AN$130,0))</f>
        <v>10.702999999999999</v>
      </c>
      <c r="AG89" s="9">
        <f>INDEX(DriversGams!$A$130:$AN$140,MATCH(Drivers!$A89,DriversGams!$A$130:$A$140,0),MATCH(Drivers!AG$3,DriversGams!$A$130:$AN$130,0))</f>
        <v>16.475000000000001</v>
      </c>
      <c r="AH89" s="9">
        <f>INDEX(DriversGams!$A$130:$BA$140,MATCH(Drivers!$A89,DriversGams!$A$130:$A$140,0),MATCH(Drivers!AH$3,DriversGams!$A$130:$BA$130,0))</f>
        <v>23.944135932656788</v>
      </c>
      <c r="AI89" s="22">
        <f t="shared" si="216"/>
        <v>26.699601671526349</v>
      </c>
      <c r="AJ89" s="22">
        <f t="shared" si="217"/>
        <v>29.455067410395912</v>
      </c>
      <c r="AK89" s="22">
        <f t="shared" si="218"/>
        <v>32.210533149265473</v>
      </c>
      <c r="AN89" s="9">
        <v>15.492696969696908</v>
      </c>
      <c r="AO89" s="9">
        <v>17.275580086580021</v>
      </c>
      <c r="AP89" s="9">
        <v>19.058463203463134</v>
      </c>
      <c r="AQ89" s="9">
        <v>20.841346320346247</v>
      </c>
    </row>
  </sheetData>
  <sortState ref="A7:A25">
    <sortCondition sortBy="value" ref="A7:A25"/>
  </sortState>
  <pageMargins left="0.7" right="0.7" top="0.75" bottom="0.75" header="0.3" footer="0.3"/>
  <pageSetup orientation="portrait" paperSize="9"/>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workbookViewId="0" topLeftCell="A117">
      <selection pane="topLeft" activeCell="I127" sqref="I127"/>
    </sheetView>
  </sheetViews>
  <sheetFormatPr defaultRowHeight="15"/>
  <sheetData>
    <row r="3" spans="2:2" ht="15">
      <c r="B3" t="s">
        <v>722</v>
      </c>
    </row>
    <row r="4" spans="2:9" ht="15">
      <c r="B4" t="s">
        <v>723</v>
      </c>
      <c r="C4" t="s">
        <v>724</v>
      </c>
      <c r="D4" t="s">
        <v>725</v>
      </c>
      <c r="E4" t="s">
        <v>726</v>
      </c>
      <c r="F4" t="s">
        <v>727</v>
      </c>
      <c r="G4" t="s">
        <v>728</v>
      </c>
      <c r="H4" t="s">
        <v>729</v>
      </c>
      <c r="I4" t="s">
        <v>17</v>
      </c>
    </row>
    <row r="5" spans="2:9" ht="15">
      <c r="B5" t="s">
        <v>97</v>
      </c>
      <c r="C5" t="s">
        <v>730</v>
      </c>
      <c r="F5" t="s">
        <v>272</v>
      </c>
      <c r="G5">
        <v>2017</v>
      </c>
      <c r="H5" t="s">
        <v>289</v>
      </c>
      <c r="I5">
        <v>2.5043970166379799</v>
      </c>
    </row>
    <row r="6" spans="2:9" ht="15">
      <c r="B6" t="s">
        <v>97</v>
      </c>
      <c r="C6" t="s">
        <v>730</v>
      </c>
      <c r="F6" t="s">
        <v>272</v>
      </c>
      <c r="G6">
        <v>2017</v>
      </c>
      <c r="H6" t="s">
        <v>290</v>
      </c>
      <c r="I6">
        <v>5.7709645233647997</v>
      </c>
    </row>
    <row r="7" spans="2:9" ht="15">
      <c r="B7" t="s">
        <v>97</v>
      </c>
      <c r="C7" t="s">
        <v>730</v>
      </c>
      <c r="F7" t="s">
        <v>272</v>
      </c>
      <c r="G7">
        <v>2017</v>
      </c>
      <c r="H7" t="s">
        <v>291</v>
      </c>
      <c r="I7">
        <v>10.1217912486754</v>
      </c>
    </row>
    <row r="8" spans="2:9" ht="15">
      <c r="B8" t="s">
        <v>97</v>
      </c>
      <c r="C8" t="s">
        <v>730</v>
      </c>
      <c r="F8" t="s">
        <v>272</v>
      </c>
      <c r="G8">
        <v>2017</v>
      </c>
      <c r="H8" t="s">
        <v>292</v>
      </c>
      <c r="I8">
        <v>4.6040183871857696</v>
      </c>
    </row>
    <row r="9" spans="2:9" ht="15">
      <c r="B9" t="s">
        <v>97</v>
      </c>
      <c r="C9" t="s">
        <v>730</v>
      </c>
      <c r="F9" t="s">
        <v>272</v>
      </c>
      <c r="G9">
        <v>2017</v>
      </c>
      <c r="H9" t="s">
        <v>293</v>
      </c>
      <c r="I9">
        <v>7.9249894633578597</v>
      </c>
    </row>
    <row r="10" spans="2:9" ht="15">
      <c r="B10" t="s">
        <v>97</v>
      </c>
      <c r="C10" t="s">
        <v>730</v>
      </c>
      <c r="F10" t="s">
        <v>272</v>
      </c>
      <c r="G10">
        <v>2017</v>
      </c>
      <c r="H10" t="s">
        <v>294</v>
      </c>
      <c r="I10">
        <v>0.3034425</v>
      </c>
    </row>
    <row r="11" spans="2:9" ht="15">
      <c r="B11" t="s">
        <v>97</v>
      </c>
      <c r="C11" t="s">
        <v>730</v>
      </c>
      <c r="F11" t="s">
        <v>272</v>
      </c>
      <c r="G11">
        <v>2017</v>
      </c>
      <c r="H11" t="s">
        <v>295</v>
      </c>
      <c r="I11">
        <v>4.0458999999999996</v>
      </c>
    </row>
    <row r="12" spans="2:9" ht="15">
      <c r="B12" t="s">
        <v>97</v>
      </c>
      <c r="C12" t="s">
        <v>730</v>
      </c>
      <c r="F12" t="s">
        <v>272</v>
      </c>
      <c r="G12">
        <v>2017</v>
      </c>
      <c r="H12" t="s">
        <v>296</v>
      </c>
      <c r="I12">
        <v>2.4599072</v>
      </c>
    </row>
    <row r="13" spans="2:9" ht="15">
      <c r="B13" t="s">
        <v>97</v>
      </c>
      <c r="C13" t="s">
        <v>730</v>
      </c>
      <c r="F13" t="s">
        <v>272</v>
      </c>
      <c r="G13">
        <v>2017</v>
      </c>
      <c r="H13" t="s">
        <v>297</v>
      </c>
      <c r="I13">
        <v>2.5893760000000001</v>
      </c>
    </row>
    <row r="14" spans="2:9" ht="15">
      <c r="B14" t="s">
        <v>97</v>
      </c>
      <c r="C14" t="s">
        <v>730</v>
      </c>
      <c r="F14" t="s">
        <v>272</v>
      </c>
      <c r="G14">
        <v>2017</v>
      </c>
      <c r="H14" t="s">
        <v>298</v>
      </c>
      <c r="I14">
        <v>0.72826199999999996</v>
      </c>
    </row>
    <row r="15" spans="2:9" ht="15">
      <c r="B15" t="s">
        <v>97</v>
      </c>
      <c r="C15" t="s">
        <v>730</v>
      </c>
      <c r="F15" t="s">
        <v>272</v>
      </c>
      <c r="G15">
        <v>2017</v>
      </c>
      <c r="H15" t="s">
        <v>299</v>
      </c>
      <c r="I15">
        <v>0.80918000000000001</v>
      </c>
    </row>
    <row r="16" spans="2:9" ht="15">
      <c r="B16" t="s">
        <v>97</v>
      </c>
      <c r="C16" t="s">
        <v>730</v>
      </c>
      <c r="F16" t="s">
        <v>272</v>
      </c>
      <c r="G16">
        <v>2017</v>
      </c>
      <c r="H16" t="s">
        <v>300</v>
      </c>
      <c r="I16">
        <v>0.485508</v>
      </c>
    </row>
    <row r="17" spans="2:9" ht="15">
      <c r="B17" t="s">
        <v>97</v>
      </c>
      <c r="C17" t="s">
        <v>730</v>
      </c>
      <c r="F17" t="s">
        <v>272</v>
      </c>
      <c r="G17">
        <v>2017</v>
      </c>
      <c r="H17" t="s">
        <v>301</v>
      </c>
      <c r="I17">
        <v>6.4734400000000001</v>
      </c>
    </row>
    <row r="18" spans="2:9" ht="15">
      <c r="B18" t="s">
        <v>97</v>
      </c>
      <c r="C18" t="s">
        <v>730</v>
      </c>
      <c r="F18" t="s">
        <v>272</v>
      </c>
      <c r="G18">
        <v>2017</v>
      </c>
      <c r="H18" t="s">
        <v>302</v>
      </c>
      <c r="I18">
        <v>11.328519999999999</v>
      </c>
    </row>
    <row r="19" spans="2:9" ht="15">
      <c r="B19" t="s">
        <v>97</v>
      </c>
      <c r="C19" t="s">
        <v>730</v>
      </c>
      <c r="F19" t="s">
        <v>272</v>
      </c>
      <c r="G19">
        <v>2017</v>
      </c>
      <c r="H19" t="s">
        <v>303</v>
      </c>
      <c r="I19">
        <v>19.307168399999998</v>
      </c>
    </row>
    <row r="20" spans="2:9" ht="15">
      <c r="B20" t="s">
        <v>97</v>
      </c>
      <c r="C20" t="s">
        <v>730</v>
      </c>
      <c r="F20" t="s">
        <v>272</v>
      </c>
      <c r="G20">
        <v>2017</v>
      </c>
      <c r="H20" t="s">
        <v>304</v>
      </c>
      <c r="I20">
        <v>26.600000000000001</v>
      </c>
    </row>
    <row r="21" spans="2:9" ht="15">
      <c r="B21" t="s">
        <v>97</v>
      </c>
      <c r="C21" t="s">
        <v>730</v>
      </c>
      <c r="F21" t="s">
        <v>272</v>
      </c>
      <c r="G21">
        <v>2017</v>
      </c>
      <c r="H21" t="s">
        <v>305</v>
      </c>
      <c r="I21">
        <v>0.029904</v>
      </c>
    </row>
    <row r="22" spans="2:9" ht="15">
      <c r="B22" t="s">
        <v>97</v>
      </c>
      <c r="C22" t="s">
        <v>730</v>
      </c>
      <c r="F22" t="s">
        <v>272</v>
      </c>
      <c r="G22">
        <v>2017</v>
      </c>
      <c r="H22" t="s">
        <v>306</v>
      </c>
      <c r="I22">
        <v>6.8779199999999996</v>
      </c>
    </row>
    <row r="23" spans="2:9" ht="15">
      <c r="B23" t="s">
        <v>97</v>
      </c>
      <c r="C23" t="s">
        <v>730</v>
      </c>
      <c r="F23" t="s">
        <v>272</v>
      </c>
      <c r="G23">
        <v>2017</v>
      </c>
      <c r="H23" t="s">
        <v>307</v>
      </c>
      <c r="I23">
        <v>0</v>
      </c>
    </row>
    <row r="24" spans="2:9" ht="15">
      <c r="B24" t="s">
        <v>97</v>
      </c>
      <c r="C24" t="s">
        <v>730</v>
      </c>
      <c r="F24" t="s">
        <v>272</v>
      </c>
      <c r="G24">
        <v>2017</v>
      </c>
      <c r="H24" t="s">
        <v>308</v>
      </c>
      <c r="I24">
        <v>0.478464</v>
      </c>
    </row>
    <row r="25" spans="2:9" ht="15">
      <c r="B25" t="s">
        <v>97</v>
      </c>
      <c r="C25" t="s">
        <v>730</v>
      </c>
      <c r="F25" t="s">
        <v>272</v>
      </c>
      <c r="G25">
        <v>2017</v>
      </c>
      <c r="H25" t="s">
        <v>309</v>
      </c>
      <c r="I25">
        <v>0.80740800000000001</v>
      </c>
    </row>
    <row r="26" spans="2:9" ht="15">
      <c r="B26" t="s">
        <v>97</v>
      </c>
      <c r="C26" t="s">
        <v>730</v>
      </c>
      <c r="F26" t="s">
        <v>272</v>
      </c>
      <c r="G26">
        <v>2017</v>
      </c>
      <c r="H26" t="s">
        <v>310</v>
      </c>
      <c r="I26">
        <v>1.04664</v>
      </c>
    </row>
    <row r="27" spans="2:9" ht="15">
      <c r="B27" t="s">
        <v>97</v>
      </c>
      <c r="C27" t="s">
        <v>730</v>
      </c>
      <c r="F27" t="s">
        <v>272</v>
      </c>
      <c r="G27">
        <v>2017</v>
      </c>
      <c r="H27" t="s">
        <v>311</v>
      </c>
      <c r="I27">
        <v>0.22428000000000001</v>
      </c>
    </row>
    <row r="28" spans="2:9" ht="15">
      <c r="B28" t="s">
        <v>97</v>
      </c>
      <c r="C28" t="s">
        <v>730</v>
      </c>
      <c r="F28" t="s">
        <v>272</v>
      </c>
      <c r="G28">
        <v>2017</v>
      </c>
      <c r="H28" t="s">
        <v>312</v>
      </c>
      <c r="I28">
        <v>2.5119359999999999</v>
      </c>
    </row>
    <row r="29" spans="2:9" ht="15">
      <c r="B29" t="s">
        <v>97</v>
      </c>
      <c r="C29" t="s">
        <v>730</v>
      </c>
      <c r="F29" t="s">
        <v>272</v>
      </c>
      <c r="G29">
        <v>2017</v>
      </c>
      <c r="H29" t="s">
        <v>313</v>
      </c>
      <c r="I29">
        <v>3.3492479999999998</v>
      </c>
    </row>
    <row r="30" spans="2:9" ht="15">
      <c r="B30" t="s">
        <v>97</v>
      </c>
      <c r="C30" t="s">
        <v>730</v>
      </c>
      <c r="F30" t="s">
        <v>272</v>
      </c>
      <c r="G30">
        <v>2017</v>
      </c>
      <c r="H30" t="s">
        <v>314</v>
      </c>
      <c r="I30">
        <v>40.544747177343801</v>
      </c>
    </row>
    <row r="31" spans="2:9" ht="15">
      <c r="B31" t="s">
        <v>97</v>
      </c>
      <c r="C31" t="s">
        <v>730</v>
      </c>
      <c r="F31" t="s">
        <v>272</v>
      </c>
      <c r="G31">
        <v>2017</v>
      </c>
      <c r="H31" t="s">
        <v>315</v>
      </c>
      <c r="I31">
        <v>0.71939570019765298</v>
      </c>
    </row>
    <row r="32" spans="2:9" ht="15">
      <c r="B32" t="s">
        <v>97</v>
      </c>
      <c r="C32" t="s">
        <v>730</v>
      </c>
      <c r="F32" t="s">
        <v>272</v>
      </c>
      <c r="G32">
        <v>2017</v>
      </c>
      <c r="H32" t="s">
        <v>316</v>
      </c>
      <c r="I32">
        <v>12.569563545045501</v>
      </c>
    </row>
    <row r="33" spans="2:9" ht="15">
      <c r="B33" t="s">
        <v>97</v>
      </c>
      <c r="C33" t="s">
        <v>730</v>
      </c>
      <c r="F33" t="s">
        <v>272</v>
      </c>
      <c r="G33">
        <v>2017</v>
      </c>
      <c r="H33" t="s">
        <v>317</v>
      </c>
      <c r="I33">
        <v>0.13532728977530001</v>
      </c>
    </row>
    <row r="34" spans="2:9" ht="15">
      <c r="B34" t="s">
        <v>97</v>
      </c>
      <c r="C34" t="s">
        <v>730</v>
      </c>
      <c r="F34" t="s">
        <v>272</v>
      </c>
      <c r="G34">
        <v>2017</v>
      </c>
      <c r="H34" t="s">
        <v>318</v>
      </c>
      <c r="I34">
        <v>4.2655424211891404</v>
      </c>
    </row>
    <row r="35" spans="2:9" ht="15">
      <c r="B35" t="s">
        <v>97</v>
      </c>
      <c r="C35" t="s">
        <v>730</v>
      </c>
      <c r="F35" t="s">
        <v>272</v>
      </c>
      <c r="G35">
        <v>2017</v>
      </c>
      <c r="H35" t="s">
        <v>319</v>
      </c>
      <c r="I35">
        <v>5.5741217756416299</v>
      </c>
    </row>
    <row r="36" spans="2:9" ht="15">
      <c r="B36" t="s">
        <v>97</v>
      </c>
      <c r="C36" t="s">
        <v>730</v>
      </c>
      <c r="F36" t="s">
        <v>272</v>
      </c>
      <c r="G36">
        <v>2017</v>
      </c>
      <c r="H36" t="s">
        <v>320</v>
      </c>
      <c r="I36">
        <v>1.54836715990045</v>
      </c>
    </row>
    <row r="37" spans="2:9" ht="15">
      <c r="B37" t="s">
        <v>97</v>
      </c>
      <c r="C37" t="s">
        <v>730</v>
      </c>
      <c r="F37" t="s">
        <v>272</v>
      </c>
      <c r="G37">
        <v>2017</v>
      </c>
      <c r="H37" t="s">
        <v>321</v>
      </c>
      <c r="I37">
        <v>1.0451478329328101</v>
      </c>
    </row>
    <row r="38" spans="2:9" ht="15">
      <c r="B38" t="s">
        <v>97</v>
      </c>
      <c r="C38" t="s">
        <v>730</v>
      </c>
      <c r="F38" t="s">
        <v>272</v>
      </c>
      <c r="G38">
        <v>2017</v>
      </c>
      <c r="H38" t="s">
        <v>322</v>
      </c>
      <c r="I38">
        <v>20.9296501227637</v>
      </c>
    </row>
    <row r="39" spans="2:9" ht="15">
      <c r="B39" t="s">
        <v>97</v>
      </c>
      <c r="C39" t="s">
        <v>730</v>
      </c>
      <c r="F39" t="s">
        <v>272</v>
      </c>
      <c r="G39">
        <v>2017</v>
      </c>
      <c r="H39" t="s">
        <v>323</v>
      </c>
      <c r="I39">
        <v>11.078357924751099</v>
      </c>
    </row>
    <row r="40" spans="2:9" ht="15">
      <c r="B40" t="s">
        <v>97</v>
      </c>
      <c r="C40" t="s">
        <v>730</v>
      </c>
      <c r="F40" t="s">
        <v>272</v>
      </c>
      <c r="G40">
        <v>2017</v>
      </c>
      <c r="H40" t="s">
        <v>324</v>
      </c>
      <c r="I40">
        <v>25.406351025250501</v>
      </c>
    </row>
    <row r="41" spans="2:9" ht="15">
      <c r="B41" t="s">
        <v>97</v>
      </c>
      <c r="C41" t="s">
        <v>730</v>
      </c>
      <c r="F41" t="s">
        <v>272</v>
      </c>
      <c r="G41">
        <v>2017</v>
      </c>
      <c r="H41" t="s">
        <v>325</v>
      </c>
      <c r="I41">
        <v>25.233177191199999</v>
      </c>
    </row>
    <row r="42" spans="2:9" ht="15">
      <c r="B42" t="s">
        <v>97</v>
      </c>
      <c r="C42" t="s">
        <v>730</v>
      </c>
      <c r="F42" t="s">
        <v>272</v>
      </c>
      <c r="G42">
        <v>2017</v>
      </c>
      <c r="H42" t="s">
        <v>326</v>
      </c>
      <c r="I42">
        <v>0</v>
      </c>
    </row>
    <row r="43" spans="2:9" ht="15">
      <c r="B43" t="s">
        <v>97</v>
      </c>
      <c r="C43" t="s">
        <v>730</v>
      </c>
      <c r="F43" t="s">
        <v>272</v>
      </c>
      <c r="G43">
        <v>2017</v>
      </c>
      <c r="H43" t="s">
        <v>327</v>
      </c>
      <c r="I43">
        <v>0</v>
      </c>
    </row>
    <row r="44" spans="2:9" ht="15">
      <c r="B44" t="s">
        <v>97</v>
      </c>
      <c r="C44" t="s">
        <v>730</v>
      </c>
      <c r="F44" t="s">
        <v>272</v>
      </c>
      <c r="G44">
        <v>2017</v>
      </c>
      <c r="H44" t="s">
        <v>328</v>
      </c>
      <c r="I44">
        <v>6.8830524422467798</v>
      </c>
    </row>
    <row r="45" spans="2:9" ht="15">
      <c r="B45" t="s">
        <v>97</v>
      </c>
      <c r="C45" t="s">
        <v>730</v>
      </c>
      <c r="F45" t="s">
        <v>272</v>
      </c>
      <c r="G45">
        <v>2017</v>
      </c>
      <c r="H45" t="s">
        <v>329</v>
      </c>
      <c r="I45">
        <v>0</v>
      </c>
    </row>
    <row r="46" spans="2:9" ht="15">
      <c r="B46" t="s">
        <v>97</v>
      </c>
      <c r="C46" t="s">
        <v>730</v>
      </c>
      <c r="F46" t="s">
        <v>272</v>
      </c>
      <c r="G46">
        <v>2017</v>
      </c>
      <c r="H46" t="s">
        <v>330</v>
      </c>
      <c r="I46">
        <v>0.090566479503247102</v>
      </c>
    </row>
    <row r="47" spans="2:9" ht="15">
      <c r="B47" t="s">
        <v>97</v>
      </c>
      <c r="C47" t="s">
        <v>730</v>
      </c>
      <c r="F47" t="s">
        <v>272</v>
      </c>
      <c r="G47">
        <v>2017</v>
      </c>
      <c r="H47" t="s">
        <v>331</v>
      </c>
      <c r="I47">
        <v>0.100629421670275</v>
      </c>
    </row>
    <row r="48" spans="2:9" ht="15">
      <c r="B48" t="s">
        <v>97</v>
      </c>
      <c r="C48" t="s">
        <v>730</v>
      </c>
      <c r="F48" t="s">
        <v>272</v>
      </c>
      <c r="G48">
        <v>2017</v>
      </c>
      <c r="H48" t="s">
        <v>332</v>
      </c>
      <c r="I48">
        <v>0.0301888265010824</v>
      </c>
    </row>
    <row r="49" spans="2:9" ht="15">
      <c r="B49" t="s">
        <v>97</v>
      </c>
      <c r="C49" t="s">
        <v>730</v>
      </c>
      <c r="F49" t="s">
        <v>272</v>
      </c>
      <c r="G49">
        <v>2017</v>
      </c>
      <c r="H49" t="s">
        <v>333</v>
      </c>
      <c r="I49">
        <v>0.56352476135353802</v>
      </c>
    </row>
    <row r="50" spans="2:9" ht="15">
      <c r="B50" t="s">
        <v>97</v>
      </c>
      <c r="C50" t="s">
        <v>730</v>
      </c>
      <c r="F50" t="s">
        <v>272</v>
      </c>
      <c r="G50">
        <v>2017</v>
      </c>
      <c r="H50" t="s">
        <v>334</v>
      </c>
      <c r="I50">
        <v>0</v>
      </c>
    </row>
    <row r="51" spans="2:9" ht="15">
      <c r="B51" t="s">
        <v>97</v>
      </c>
      <c r="C51" t="s">
        <v>730</v>
      </c>
      <c r="F51" t="s">
        <v>272</v>
      </c>
      <c r="G51">
        <v>2017</v>
      </c>
      <c r="H51" t="s">
        <v>335</v>
      </c>
      <c r="I51">
        <v>1.9115200000000001</v>
      </c>
    </row>
    <row r="52" spans="2:9" ht="15">
      <c r="B52" t="s">
        <v>97</v>
      </c>
      <c r="C52" t="s">
        <v>730</v>
      </c>
      <c r="F52" t="s">
        <v>272</v>
      </c>
      <c r="G52">
        <v>2017</v>
      </c>
      <c r="H52" t="s">
        <v>336</v>
      </c>
      <c r="I52">
        <v>0.12355272</v>
      </c>
    </row>
    <row r="53" spans="2:9" ht="15">
      <c r="B53" t="s">
        <v>97</v>
      </c>
      <c r="C53" t="s">
        <v>730</v>
      </c>
      <c r="F53" t="s">
        <v>272</v>
      </c>
      <c r="G53">
        <v>2017</v>
      </c>
      <c r="H53" t="s">
        <v>337</v>
      </c>
      <c r="I53">
        <v>2.3241024000000001</v>
      </c>
    </row>
    <row r="54" spans="2:9" ht="15">
      <c r="B54" t="s">
        <v>97</v>
      </c>
      <c r="C54" t="s">
        <v>730</v>
      </c>
      <c r="F54" t="s">
        <v>272</v>
      </c>
      <c r="G54">
        <v>2017</v>
      </c>
      <c r="H54" t="s">
        <v>338</v>
      </c>
      <c r="I54">
        <v>0.22371068159999999</v>
      </c>
    </row>
    <row r="55" spans="2:9" ht="15">
      <c r="B55" t="s">
        <v>97</v>
      </c>
      <c r="C55" t="s">
        <v>730</v>
      </c>
      <c r="F55" t="s">
        <v>272</v>
      </c>
      <c r="G55">
        <v>2017</v>
      </c>
      <c r="H55" t="s">
        <v>339</v>
      </c>
      <c r="I55">
        <v>1.0010822399999999</v>
      </c>
    </row>
    <row r="56" spans="2:9" ht="15">
      <c r="B56" t="s">
        <v>97</v>
      </c>
      <c r="C56" t="s">
        <v>730</v>
      </c>
      <c r="F56" t="s">
        <v>272</v>
      </c>
      <c r="G56">
        <v>2017</v>
      </c>
      <c r="H56" t="s">
        <v>340</v>
      </c>
      <c r="I56">
        <v>1.72747728</v>
      </c>
    </row>
    <row r="57" spans="2:9" ht="15">
      <c r="B57" t="s">
        <v>97</v>
      </c>
      <c r="C57" t="s">
        <v>730</v>
      </c>
      <c r="F57" t="s">
        <v>272</v>
      </c>
      <c r="G57">
        <v>2017</v>
      </c>
      <c r="H57" t="s">
        <v>341</v>
      </c>
      <c r="I57">
        <v>2.1816719999999998</v>
      </c>
    </row>
    <row r="58" spans="2:9" ht="15">
      <c r="B58" t="s">
        <v>97</v>
      </c>
      <c r="C58" t="s">
        <v>730</v>
      </c>
      <c r="F58" t="s">
        <v>272</v>
      </c>
      <c r="G58">
        <v>2017</v>
      </c>
      <c r="H58" t="s">
        <v>342</v>
      </c>
      <c r="I58">
        <v>0.54733968</v>
      </c>
    </row>
    <row r="59" spans="2:9" ht="15">
      <c r="B59" t="s">
        <v>97</v>
      </c>
      <c r="C59" t="s">
        <v>730</v>
      </c>
      <c r="F59" t="s">
        <v>272</v>
      </c>
      <c r="G59">
        <v>2017</v>
      </c>
      <c r="H59" t="s">
        <v>343</v>
      </c>
      <c r="I59">
        <v>6.6708069119999998</v>
      </c>
    </row>
    <row r="60" spans="2:9" ht="15">
      <c r="B60" t="s">
        <v>97</v>
      </c>
      <c r="C60" t="s">
        <v>730</v>
      </c>
      <c r="F60" t="s">
        <v>272</v>
      </c>
      <c r="G60">
        <v>2017</v>
      </c>
      <c r="H60" t="s">
        <v>344</v>
      </c>
      <c r="I60">
        <v>2.351232</v>
      </c>
    </row>
    <row r="61" spans="2:9" ht="15">
      <c r="B61" t="s">
        <v>97</v>
      </c>
      <c r="C61" t="s">
        <v>730</v>
      </c>
      <c r="F61" t="s">
        <v>272</v>
      </c>
      <c r="G61">
        <v>2017</v>
      </c>
      <c r="H61" t="s">
        <v>345</v>
      </c>
      <c r="I61">
        <v>68.533420800000002</v>
      </c>
    </row>
    <row r="62" spans="2:9" ht="15">
      <c r="B62" t="s">
        <v>97</v>
      </c>
      <c r="C62" t="s">
        <v>730</v>
      </c>
      <c r="F62" t="s">
        <v>272</v>
      </c>
      <c r="G62">
        <v>2017</v>
      </c>
      <c r="H62" t="s">
        <v>346</v>
      </c>
      <c r="I62">
        <v>5.1732793164602802</v>
      </c>
    </row>
    <row r="63" spans="2:9" ht="15">
      <c r="B63" t="s">
        <v>97</v>
      </c>
      <c r="C63" t="s">
        <v>730</v>
      </c>
      <c r="F63" t="s">
        <v>272</v>
      </c>
      <c r="G63">
        <v>2017</v>
      </c>
      <c r="H63" t="s">
        <v>347</v>
      </c>
      <c r="I63">
        <v>7.6194416260697402</v>
      </c>
    </row>
    <row r="64" spans="2:9" ht="15">
      <c r="B64" t="s">
        <v>97</v>
      </c>
      <c r="C64" t="s">
        <v>730</v>
      </c>
      <c r="F64" t="s">
        <v>272</v>
      </c>
      <c r="G64">
        <v>2017</v>
      </c>
      <c r="H64" t="s">
        <v>348</v>
      </c>
      <c r="I64">
        <v>18.7538979805365</v>
      </c>
    </row>
    <row r="65" spans="2:9" ht="15">
      <c r="B65" t="s">
        <v>97</v>
      </c>
      <c r="C65" t="s">
        <v>730</v>
      </c>
      <c r="F65" t="s">
        <v>272</v>
      </c>
      <c r="G65">
        <v>2017</v>
      </c>
      <c r="H65" t="s">
        <v>349</v>
      </c>
      <c r="I65">
        <v>14.27502736796</v>
      </c>
    </row>
    <row r="66" spans="2:9" ht="15">
      <c r="B66" t="s">
        <v>97</v>
      </c>
      <c r="C66" t="s">
        <v>730</v>
      </c>
      <c r="F66" t="s">
        <v>272</v>
      </c>
      <c r="G66">
        <v>2017</v>
      </c>
      <c r="H66" t="s">
        <v>350</v>
      </c>
      <c r="I66">
        <v>8.0408397122186805</v>
      </c>
    </row>
    <row r="67" spans="2:9" ht="15">
      <c r="B67" t="s">
        <v>97</v>
      </c>
      <c r="C67" t="s">
        <v>730</v>
      </c>
      <c r="F67" t="s">
        <v>272</v>
      </c>
      <c r="G67">
        <v>2017</v>
      </c>
      <c r="H67" t="s">
        <v>504</v>
      </c>
      <c r="I67">
        <v>34.754847546913702</v>
      </c>
    </row>
    <row r="68" spans="2:9" ht="15">
      <c r="B68" t="s">
        <v>97</v>
      </c>
      <c r="C68" t="s">
        <v>730</v>
      </c>
      <c r="F68" t="s">
        <v>272</v>
      </c>
      <c r="G68">
        <v>2017</v>
      </c>
      <c r="H68" t="s">
        <v>351</v>
      </c>
      <c r="I68">
        <v>9.2994915751840495</v>
      </c>
    </row>
    <row r="69" spans="2:9" ht="15">
      <c r="B69" t="s">
        <v>97</v>
      </c>
      <c r="C69" t="s">
        <v>730</v>
      </c>
      <c r="F69" t="s">
        <v>272</v>
      </c>
      <c r="G69">
        <v>2017</v>
      </c>
      <c r="H69" t="s">
        <v>352</v>
      </c>
      <c r="I69">
        <v>11.428450394710399</v>
      </c>
    </row>
    <row r="70" spans="2:9" ht="15">
      <c r="B70" t="s">
        <v>97</v>
      </c>
      <c r="C70" t="s">
        <v>730</v>
      </c>
      <c r="F70" t="s">
        <v>272</v>
      </c>
      <c r="G70">
        <v>2017</v>
      </c>
      <c r="H70" t="s">
        <v>353</v>
      </c>
      <c r="I70">
        <v>15.5426860393993</v>
      </c>
    </row>
    <row r="71" spans="2:9" ht="15">
      <c r="B71" t="s">
        <v>97</v>
      </c>
      <c r="C71" t="s">
        <v>730</v>
      </c>
      <c r="F71" t="s">
        <v>272</v>
      </c>
      <c r="G71">
        <v>2017</v>
      </c>
      <c r="H71" t="s">
        <v>354</v>
      </c>
      <c r="I71">
        <v>5.7452488569507203</v>
      </c>
    </row>
    <row r="72" spans="2:9" ht="15">
      <c r="B72" t="s">
        <v>97</v>
      </c>
      <c r="C72" t="s">
        <v>730</v>
      </c>
      <c r="F72" t="s">
        <v>272</v>
      </c>
      <c r="G72">
        <v>2017</v>
      </c>
      <c r="H72" t="s">
        <v>355</v>
      </c>
      <c r="I72">
        <v>4.25340304491049</v>
      </c>
    </row>
    <row r="73" spans="2:9" ht="15">
      <c r="B73" t="s">
        <v>97</v>
      </c>
      <c r="C73" t="s">
        <v>730</v>
      </c>
      <c r="F73" t="s">
        <v>272</v>
      </c>
      <c r="G73">
        <v>2017</v>
      </c>
      <c r="H73" t="s">
        <v>356</v>
      </c>
      <c r="I73">
        <v>4.5736255741133904</v>
      </c>
    </row>
    <row r="74" spans="2:9" ht="15">
      <c r="B74" t="s">
        <v>97</v>
      </c>
      <c r="C74" t="s">
        <v>730</v>
      </c>
      <c r="F74" t="s">
        <v>272</v>
      </c>
      <c r="G74">
        <v>2017</v>
      </c>
      <c r="H74" t="s">
        <v>357</v>
      </c>
      <c r="I74">
        <v>0.036541482196776102</v>
      </c>
    </row>
    <row r="75" spans="2:9" ht="15">
      <c r="B75" t="s">
        <v>97</v>
      </c>
      <c r="C75" t="s">
        <v>730</v>
      </c>
      <c r="F75" t="s">
        <v>272</v>
      </c>
      <c r="G75">
        <v>2017</v>
      </c>
      <c r="H75" t="s">
        <v>358</v>
      </c>
      <c r="I75">
        <v>9.6822001330816203</v>
      </c>
    </row>
    <row r="76" spans="2:9" ht="15">
      <c r="B76" t="s">
        <v>97</v>
      </c>
      <c r="C76" t="s">
        <v>730</v>
      </c>
      <c r="F76" t="s">
        <v>272</v>
      </c>
      <c r="G76">
        <v>2017</v>
      </c>
      <c r="H76" t="s">
        <v>359</v>
      </c>
      <c r="I76">
        <v>10.2728758528227</v>
      </c>
    </row>
    <row r="77" spans="2:9" ht="15">
      <c r="B77" t="s">
        <v>97</v>
      </c>
      <c r="C77" t="s">
        <v>730</v>
      </c>
      <c r="F77" t="s">
        <v>272</v>
      </c>
      <c r="G77">
        <v>2017</v>
      </c>
      <c r="H77" t="s">
        <v>360</v>
      </c>
      <c r="I77">
        <v>14.579147778971199</v>
      </c>
    </row>
    <row r="78" spans="2:9" ht="15">
      <c r="B78" t="s">
        <v>97</v>
      </c>
      <c r="C78" t="s">
        <v>730</v>
      </c>
      <c r="F78" t="s">
        <v>272</v>
      </c>
      <c r="G78">
        <v>2017</v>
      </c>
      <c r="H78" t="s">
        <v>361</v>
      </c>
      <c r="I78">
        <v>7.7618829459684902</v>
      </c>
    </row>
    <row r="79" spans="2:9" ht="15">
      <c r="B79" t="s">
        <v>97</v>
      </c>
      <c r="C79" t="s">
        <v>730</v>
      </c>
      <c r="F79" t="s">
        <v>272</v>
      </c>
      <c r="G79">
        <v>2017</v>
      </c>
      <c r="H79" t="s">
        <v>362</v>
      </c>
      <c r="I79">
        <v>6.4871161947221303</v>
      </c>
    </row>
    <row r="80" spans="2:9" ht="15">
      <c r="B80" t="s">
        <v>97</v>
      </c>
      <c r="C80" t="s">
        <v>730</v>
      </c>
      <c r="F80" t="s">
        <v>272</v>
      </c>
      <c r="G80">
        <v>2017</v>
      </c>
      <c r="H80" t="s">
        <v>363</v>
      </c>
      <c r="I80">
        <v>4.3678647382810798</v>
      </c>
    </row>
    <row r="81" spans="2:9" ht="15">
      <c r="B81" t="s">
        <v>97</v>
      </c>
      <c r="C81" t="s">
        <v>730</v>
      </c>
      <c r="F81" t="s">
        <v>272</v>
      </c>
      <c r="G81">
        <v>2017</v>
      </c>
      <c r="H81" t="s">
        <v>527</v>
      </c>
      <c r="I81">
        <v>7.1740496070211197</v>
      </c>
    </row>
    <row r="82" spans="2:9" ht="15">
      <c r="B82" t="s">
        <v>97</v>
      </c>
      <c r="C82" t="s">
        <v>730</v>
      </c>
      <c r="F82" t="s">
        <v>272</v>
      </c>
      <c r="G82">
        <v>2017</v>
      </c>
      <c r="H82" t="s">
        <v>364</v>
      </c>
      <c r="I82">
        <v>0.071482186957706306</v>
      </c>
    </row>
    <row r="83" spans="2:9" ht="15">
      <c r="B83" t="s">
        <v>97</v>
      </c>
      <c r="C83" t="s">
        <v>730</v>
      </c>
      <c r="F83" t="s">
        <v>272</v>
      </c>
      <c r="G83">
        <v>2017</v>
      </c>
      <c r="H83" t="s">
        <v>122</v>
      </c>
      <c r="I83">
        <v>1.641128256</v>
      </c>
    </row>
    <row r="84" spans="2:9" ht="15">
      <c r="B84" t="s">
        <v>97</v>
      </c>
      <c r="C84" t="s">
        <v>730</v>
      </c>
      <c r="F84" t="s">
        <v>272</v>
      </c>
      <c r="G84">
        <v>2017</v>
      </c>
      <c r="H84" t="s">
        <v>586</v>
      </c>
      <c r="I84">
        <v>68.938999999999993</v>
      </c>
    </row>
    <row r="85" spans="2:9" ht="15">
      <c r="B85" t="s">
        <v>97</v>
      </c>
      <c r="C85" t="s">
        <v>730</v>
      </c>
      <c r="F85" t="s">
        <v>272</v>
      </c>
      <c r="G85">
        <v>2017</v>
      </c>
      <c r="H85" t="s">
        <v>587</v>
      </c>
      <c r="I85">
        <v>20.483000000000001</v>
      </c>
    </row>
    <row r="86" spans="2:9" ht="15">
      <c r="B86" t="s">
        <v>97</v>
      </c>
      <c r="C86" t="s">
        <v>730</v>
      </c>
      <c r="F86" t="s">
        <v>272</v>
      </c>
      <c r="G86">
        <v>2017</v>
      </c>
      <c r="H86" t="s">
        <v>365</v>
      </c>
      <c r="I86">
        <v>0.82199999999999995</v>
      </c>
    </row>
    <row r="87" spans="2:9" ht="15">
      <c r="B87" t="s">
        <v>97</v>
      </c>
      <c r="C87" t="s">
        <v>730</v>
      </c>
      <c r="F87" t="s">
        <v>272</v>
      </c>
      <c r="G87">
        <v>2017</v>
      </c>
      <c r="H87" t="s">
        <v>139</v>
      </c>
      <c r="I87">
        <v>47.584820585749902</v>
      </c>
    </row>
    <row r="88" spans="2:9" ht="15">
      <c r="B88" t="s">
        <v>97</v>
      </c>
      <c r="C88" t="s">
        <v>730</v>
      </c>
      <c r="F88" t="s">
        <v>272</v>
      </c>
      <c r="G88">
        <v>2017</v>
      </c>
      <c r="H88" t="s">
        <v>396</v>
      </c>
      <c r="I88">
        <v>3.6514783707452798</v>
      </c>
    </row>
    <row r="89" spans="2:9" ht="15">
      <c r="B89" t="s">
        <v>97</v>
      </c>
      <c r="C89" t="s">
        <v>730</v>
      </c>
      <c r="F89" t="s">
        <v>272</v>
      </c>
      <c r="G89">
        <v>2017</v>
      </c>
      <c r="H89" t="s">
        <v>397</v>
      </c>
      <c r="I89">
        <v>1.0030192144974699</v>
      </c>
    </row>
    <row r="90" spans="2:9" ht="15">
      <c r="B90" t="s">
        <v>97</v>
      </c>
      <c r="C90" t="s">
        <v>730</v>
      </c>
      <c r="F90" t="s">
        <v>272</v>
      </c>
      <c r="G90">
        <v>2017</v>
      </c>
      <c r="H90" t="s">
        <v>398</v>
      </c>
      <c r="I90">
        <v>3.29935437842208</v>
      </c>
    </row>
    <row r="91" spans="2:9" ht="15">
      <c r="B91" t="s">
        <v>97</v>
      </c>
      <c r="C91" t="s">
        <v>730</v>
      </c>
      <c r="F91" t="s">
        <v>272</v>
      </c>
      <c r="G91">
        <v>2017</v>
      </c>
      <c r="H91" t="s">
        <v>399</v>
      </c>
      <c r="I91">
        <v>0.59840698910616097</v>
      </c>
    </row>
    <row r="92" spans="2:9" ht="15">
      <c r="B92" t="s">
        <v>97</v>
      </c>
      <c r="C92" t="s">
        <v>730</v>
      </c>
      <c r="F92" t="s">
        <v>272</v>
      </c>
      <c r="G92">
        <v>2017</v>
      </c>
      <c r="H92" t="s">
        <v>400</v>
      </c>
      <c r="I92">
        <v>0.29798809605332599</v>
      </c>
    </row>
    <row r="93" spans="2:9" ht="15">
      <c r="B93" t="s">
        <v>97</v>
      </c>
      <c r="C93" t="s">
        <v>730</v>
      </c>
      <c r="F93" t="s">
        <v>272</v>
      </c>
      <c r="G93">
        <v>2017</v>
      </c>
      <c r="H93" t="s">
        <v>401</v>
      </c>
      <c r="I93">
        <v>6.6621877646371201</v>
      </c>
    </row>
    <row r="94" spans="2:9" ht="15">
      <c r="B94" t="s">
        <v>97</v>
      </c>
      <c r="C94" t="s">
        <v>730</v>
      </c>
      <c r="F94" t="s">
        <v>272</v>
      </c>
      <c r="G94">
        <v>2017</v>
      </c>
      <c r="H94" t="s">
        <v>402</v>
      </c>
      <c r="I94">
        <v>2.2261566306639899</v>
      </c>
    </row>
    <row r="95" spans="2:9" ht="15">
      <c r="B95" t="s">
        <v>97</v>
      </c>
      <c r="C95" t="s">
        <v>730</v>
      </c>
      <c r="F95" t="s">
        <v>272</v>
      </c>
      <c r="G95">
        <v>2017</v>
      </c>
      <c r="H95" t="s">
        <v>403</v>
      </c>
      <c r="I95">
        <v>0.122213678849837</v>
      </c>
    </row>
    <row r="96" spans="2:9" ht="15">
      <c r="B96" t="s">
        <v>97</v>
      </c>
      <c r="C96" t="s">
        <v>730</v>
      </c>
      <c r="F96" t="s">
        <v>272</v>
      </c>
      <c r="G96">
        <v>2017</v>
      </c>
      <c r="H96" t="s">
        <v>404</v>
      </c>
      <c r="I96">
        <v>0.029412068148240201</v>
      </c>
    </row>
    <row r="97" spans="2:9" ht="15">
      <c r="B97" t="s">
        <v>97</v>
      </c>
      <c r="C97" t="s">
        <v>730</v>
      </c>
      <c r="F97" t="s">
        <v>272</v>
      </c>
      <c r="G97">
        <v>2017</v>
      </c>
      <c r="H97" t="s">
        <v>366</v>
      </c>
      <c r="I97">
        <v>22</v>
      </c>
    </row>
    <row r="98" spans="2:9" ht="15">
      <c r="B98" t="s">
        <v>97</v>
      </c>
      <c r="C98" t="s">
        <v>730</v>
      </c>
      <c r="F98" t="s">
        <v>272</v>
      </c>
      <c r="G98">
        <v>2017</v>
      </c>
      <c r="H98" t="s">
        <v>368</v>
      </c>
      <c r="I98">
        <v>27.142505514316699</v>
      </c>
    </row>
    <row r="99" spans="2:9" ht="15">
      <c r="B99" t="s">
        <v>97</v>
      </c>
      <c r="C99" t="s">
        <v>730</v>
      </c>
      <c r="F99" t="s">
        <v>272</v>
      </c>
      <c r="G99">
        <v>2017</v>
      </c>
      <c r="H99" t="s">
        <v>367</v>
      </c>
      <c r="I99">
        <v>88.672727178245694</v>
      </c>
    </row>
    <row r="100" spans="2:9" ht="15">
      <c r="B100" t="s">
        <v>97</v>
      </c>
      <c r="C100" t="s">
        <v>730</v>
      </c>
      <c r="F100" t="s">
        <v>272</v>
      </c>
      <c r="G100">
        <v>2017</v>
      </c>
      <c r="H100" t="s">
        <v>116</v>
      </c>
      <c r="I100">
        <v>81.1386031348502</v>
      </c>
    </row>
    <row r="101" spans="2:9" ht="15">
      <c r="B101" t="s">
        <v>97</v>
      </c>
      <c r="C101" t="s">
        <v>730</v>
      </c>
      <c r="F101" t="s">
        <v>272</v>
      </c>
      <c r="G101">
        <v>2017</v>
      </c>
      <c r="H101" t="s">
        <v>171</v>
      </c>
      <c r="I101">
        <v>5.9227912022632498</v>
      </c>
    </row>
    <row r="102" spans="2:9" ht="15">
      <c r="B102" t="s">
        <v>97</v>
      </c>
      <c r="C102" t="s">
        <v>730</v>
      </c>
      <c r="F102" t="s">
        <v>272</v>
      </c>
      <c r="G102">
        <v>2017</v>
      </c>
      <c r="H102" t="s">
        <v>115</v>
      </c>
      <c r="I102">
        <v>17.754191802068</v>
      </c>
    </row>
    <row r="103" spans="2:9" ht="15">
      <c r="B103" t="s">
        <v>97</v>
      </c>
      <c r="C103" t="s">
        <v>730</v>
      </c>
      <c r="F103" t="s">
        <v>272</v>
      </c>
      <c r="G103">
        <v>2017</v>
      </c>
      <c r="H103" t="s">
        <v>119</v>
      </c>
      <c r="I103">
        <v>0.072799982901224303</v>
      </c>
    </row>
    <row r="104" spans="2:9" ht="15">
      <c r="B104" t="s">
        <v>97</v>
      </c>
      <c r="C104" t="s">
        <v>730</v>
      </c>
      <c r="F104" t="s">
        <v>272</v>
      </c>
      <c r="G104">
        <v>2017</v>
      </c>
      <c r="H104" t="s">
        <v>117</v>
      </c>
      <c r="I104">
        <v>0.64296697178877804</v>
      </c>
    </row>
    <row r="105" spans="2:9" ht="15">
      <c r="B105" t="s">
        <v>97</v>
      </c>
      <c r="C105" t="s">
        <v>730</v>
      </c>
      <c r="F105" t="s">
        <v>272</v>
      </c>
      <c r="G105">
        <v>2017</v>
      </c>
      <c r="H105" t="s">
        <v>121</v>
      </c>
      <c r="I105">
        <v>0.64854136839212595</v>
      </c>
    </row>
    <row r="106" spans="2:9" ht="15">
      <c r="B106" t="s">
        <v>97</v>
      </c>
      <c r="C106" t="s">
        <v>730</v>
      </c>
      <c r="F106" t="s">
        <v>272</v>
      </c>
      <c r="G106">
        <v>2017</v>
      </c>
      <c r="H106" t="s">
        <v>118</v>
      </c>
      <c r="I106">
        <v>7.2130505455454896</v>
      </c>
    </row>
    <row r="107" spans="2:9" ht="15">
      <c r="B107" t="s">
        <v>97</v>
      </c>
      <c r="C107" t="s">
        <v>730</v>
      </c>
      <c r="F107" t="s">
        <v>272</v>
      </c>
      <c r="G107">
        <v>2017</v>
      </c>
      <c r="H107" t="s">
        <v>120</v>
      </c>
      <c r="I107">
        <v>8.7048317578401608</v>
      </c>
    </row>
    <row r="108" spans="2:9" ht="15">
      <c r="B108" t="s">
        <v>97</v>
      </c>
      <c r="C108" t="s">
        <v>730</v>
      </c>
      <c r="F108" t="s">
        <v>272</v>
      </c>
      <c r="G108">
        <v>2017</v>
      </c>
      <c r="H108" t="s">
        <v>146</v>
      </c>
      <c r="I108">
        <v>2.77</v>
      </c>
    </row>
    <row r="109" spans="2:9" ht="15">
      <c r="B109" t="s">
        <v>97</v>
      </c>
      <c r="C109" t="s">
        <v>730</v>
      </c>
      <c r="F109" t="s">
        <v>272</v>
      </c>
      <c r="G109">
        <v>2017</v>
      </c>
      <c r="H109" t="s">
        <v>225</v>
      </c>
      <c r="I109">
        <v>128.41271933541799</v>
      </c>
    </row>
    <row r="110" spans="2:9" ht="15">
      <c r="B110" t="s">
        <v>97</v>
      </c>
      <c r="C110" t="s">
        <v>730</v>
      </c>
      <c r="F110" t="s">
        <v>272</v>
      </c>
      <c r="G110">
        <v>2017</v>
      </c>
      <c r="H110" t="s">
        <v>231</v>
      </c>
      <c r="I110">
        <v>9.4707173671475093</v>
      </c>
    </row>
    <row r="111" spans="2:9" ht="15">
      <c r="B111" t="s">
        <v>97</v>
      </c>
      <c r="C111" t="s">
        <v>730</v>
      </c>
      <c r="F111" t="s">
        <v>272</v>
      </c>
      <c r="G111">
        <v>2017</v>
      </c>
      <c r="H111" t="s">
        <v>226</v>
      </c>
      <c r="I111">
        <v>11.992907577983001</v>
      </c>
    </row>
    <row r="112" spans="2:9" ht="15">
      <c r="B112" t="s">
        <v>97</v>
      </c>
      <c r="C112" t="s">
        <v>730</v>
      </c>
      <c r="F112" t="s">
        <v>272</v>
      </c>
      <c r="G112">
        <v>2017</v>
      </c>
      <c r="H112" t="s">
        <v>227</v>
      </c>
      <c r="I112">
        <v>8.9629891158025892</v>
      </c>
    </row>
    <row r="113" spans="2:9" ht="15">
      <c r="B113" t="s">
        <v>97</v>
      </c>
      <c r="C113" t="s">
        <v>730</v>
      </c>
      <c r="F113" t="s">
        <v>272</v>
      </c>
      <c r="G113">
        <v>2017</v>
      </c>
      <c r="H113" t="s">
        <v>228</v>
      </c>
      <c r="I113">
        <v>111.748716602955</v>
      </c>
    </row>
    <row r="114" spans="2:9" ht="15">
      <c r="B114" t="s">
        <v>97</v>
      </c>
      <c r="C114" t="s">
        <v>730</v>
      </c>
      <c r="F114" t="s">
        <v>272</v>
      </c>
      <c r="G114">
        <v>2017</v>
      </c>
      <c r="H114" t="s">
        <v>233</v>
      </c>
      <c r="I114">
        <v>20.198960613823001</v>
      </c>
    </row>
    <row r="115" spans="2:9" ht="15">
      <c r="B115" t="s">
        <v>97</v>
      </c>
      <c r="C115" t="s">
        <v>730</v>
      </c>
      <c r="F115" t="s">
        <v>272</v>
      </c>
      <c r="G115">
        <v>2017</v>
      </c>
      <c r="H115" t="s">
        <v>229</v>
      </c>
      <c r="I115">
        <v>27.1844560411384</v>
      </c>
    </row>
    <row r="116" spans="2:9" ht="15">
      <c r="B116" t="s">
        <v>97</v>
      </c>
      <c r="C116" t="s">
        <v>730</v>
      </c>
      <c r="F116" t="s">
        <v>272</v>
      </c>
      <c r="G116">
        <v>2017</v>
      </c>
      <c r="H116" t="s">
        <v>232</v>
      </c>
      <c r="I116">
        <v>3.2726019758762099</v>
      </c>
    </row>
    <row r="117" spans="2:9" ht="15">
      <c r="B117" t="s">
        <v>97</v>
      </c>
      <c r="C117" t="s">
        <v>730</v>
      </c>
      <c r="F117" t="s">
        <v>272</v>
      </c>
      <c r="G117">
        <v>2017</v>
      </c>
      <c r="H117" t="s">
        <v>230</v>
      </c>
      <c r="I117">
        <v>14.3921338097343</v>
      </c>
    </row>
    <row r="118" spans="2:9" ht="15">
      <c r="B118" t="s">
        <v>97</v>
      </c>
      <c r="C118" t="s">
        <v>730</v>
      </c>
      <c r="F118" t="s">
        <v>272</v>
      </c>
      <c r="G118">
        <v>2017</v>
      </c>
      <c r="H118" t="s">
        <v>234</v>
      </c>
      <c r="I118">
        <v>0</v>
      </c>
    </row>
    <row r="119" spans="2:9" ht="15">
      <c r="B119" t="s">
        <v>97</v>
      </c>
      <c r="C119" t="s">
        <v>730</v>
      </c>
      <c r="F119" t="s">
        <v>272</v>
      </c>
      <c r="G119">
        <v>2017</v>
      </c>
      <c r="H119" t="s">
        <v>240</v>
      </c>
      <c r="I119">
        <v>0</v>
      </c>
    </row>
    <row r="120" spans="2:9" ht="15">
      <c r="B120" t="s">
        <v>97</v>
      </c>
      <c r="C120" t="s">
        <v>730</v>
      </c>
      <c r="F120" t="s">
        <v>272</v>
      </c>
      <c r="G120">
        <v>2017</v>
      </c>
      <c r="H120" t="s">
        <v>235</v>
      </c>
      <c r="I120">
        <v>0</v>
      </c>
    </row>
    <row r="121" spans="2:9" ht="15">
      <c r="B121" t="s">
        <v>97</v>
      </c>
      <c r="C121" t="s">
        <v>730</v>
      </c>
      <c r="F121" t="s">
        <v>272</v>
      </c>
      <c r="G121">
        <v>2017</v>
      </c>
      <c r="H121" t="s">
        <v>236</v>
      </c>
      <c r="I121">
        <v>0</v>
      </c>
    </row>
    <row r="122" spans="2:9" ht="15">
      <c r="B122" t="s">
        <v>97</v>
      </c>
      <c r="C122" t="s">
        <v>730</v>
      </c>
      <c r="F122" t="s">
        <v>272</v>
      </c>
      <c r="G122">
        <v>2017</v>
      </c>
      <c r="H122" t="s">
        <v>237</v>
      </c>
      <c r="I122">
        <v>0</v>
      </c>
    </row>
    <row r="123" spans="2:9" ht="15">
      <c r="B123" t="s">
        <v>97</v>
      </c>
      <c r="C123" t="s">
        <v>730</v>
      </c>
      <c r="F123" t="s">
        <v>272</v>
      </c>
      <c r="G123">
        <v>2017</v>
      </c>
      <c r="H123" t="s">
        <v>242</v>
      </c>
      <c r="I123">
        <v>0</v>
      </c>
    </row>
    <row r="124" spans="2:9" ht="15">
      <c r="B124" t="s">
        <v>97</v>
      </c>
      <c r="C124" t="s">
        <v>730</v>
      </c>
      <c r="F124" t="s">
        <v>272</v>
      </c>
      <c r="G124">
        <v>2017</v>
      </c>
      <c r="H124" t="s">
        <v>238</v>
      </c>
      <c r="I124">
        <v>0</v>
      </c>
    </row>
    <row r="125" spans="2:9" ht="15">
      <c r="B125" t="s">
        <v>97</v>
      </c>
      <c r="C125" t="s">
        <v>730</v>
      </c>
      <c r="F125" t="s">
        <v>272</v>
      </c>
      <c r="G125">
        <v>2017</v>
      </c>
      <c r="H125" t="s">
        <v>241</v>
      </c>
      <c r="I125">
        <v>0</v>
      </c>
    </row>
    <row r="126" spans="2:9" ht="15">
      <c r="B126" t="s">
        <v>97</v>
      </c>
      <c r="C126" t="s">
        <v>730</v>
      </c>
      <c r="F126" t="s">
        <v>272</v>
      </c>
      <c r="G126">
        <v>2017</v>
      </c>
      <c r="H126" t="s">
        <v>239</v>
      </c>
      <c r="I126">
        <v>0</v>
      </c>
    </row>
    <row r="127" spans="2:9" ht="15">
      <c r="B127" t="s">
        <v>97</v>
      </c>
      <c r="C127" t="s">
        <v>730</v>
      </c>
      <c r="F127" t="s">
        <v>272</v>
      </c>
      <c r="G127">
        <v>2017</v>
      </c>
      <c r="H127" t="s">
        <v>276</v>
      </c>
      <c r="I127">
        <v>6.2300000000000004</v>
      </c>
    </row>
    <row r="128" spans="2:9" ht="15">
      <c r="B128" t="s">
        <v>97</v>
      </c>
      <c r="C128" t="s">
        <v>730</v>
      </c>
      <c r="F128" t="s">
        <v>272</v>
      </c>
      <c r="G128">
        <v>2017</v>
      </c>
      <c r="H128" t="s">
        <v>283</v>
      </c>
      <c r="I128">
        <v>9.6111784369999995</v>
      </c>
    </row>
    <row r="129" spans="2:9" ht="15">
      <c r="B129" t="s">
        <v>97</v>
      </c>
      <c r="C129" t="s">
        <v>730</v>
      </c>
      <c r="F129" t="s">
        <v>272</v>
      </c>
      <c r="G129">
        <v>2017</v>
      </c>
      <c r="H129" t="s">
        <v>277</v>
      </c>
      <c r="I129">
        <v>14.7599608803003</v>
      </c>
    </row>
    <row r="130" spans="2:9" ht="15">
      <c r="B130" t="s">
        <v>97</v>
      </c>
      <c r="C130" t="s">
        <v>730</v>
      </c>
      <c r="F130" t="s">
        <v>272</v>
      </c>
      <c r="G130">
        <v>2017</v>
      </c>
      <c r="H130" t="s">
        <v>697</v>
      </c>
      <c r="I130">
        <v>8.4021746293245503</v>
      </c>
    </row>
    <row r="131" spans="2:9" ht="15">
      <c r="B131" t="s">
        <v>97</v>
      </c>
      <c r="C131" t="s">
        <v>730</v>
      </c>
      <c r="F131" t="s">
        <v>272</v>
      </c>
      <c r="G131">
        <v>2017</v>
      </c>
      <c r="H131" t="s">
        <v>282</v>
      </c>
      <c r="I131">
        <v>1.1624356</v>
      </c>
    </row>
    <row r="132" spans="2:9" ht="15">
      <c r="B132" t="s">
        <v>97</v>
      </c>
      <c r="C132" t="s">
        <v>730</v>
      </c>
      <c r="F132" t="s">
        <v>272</v>
      </c>
      <c r="G132">
        <v>2017</v>
      </c>
      <c r="H132" t="s">
        <v>281</v>
      </c>
      <c r="I132">
        <v>1.3591716472036699</v>
      </c>
    </row>
    <row r="133" spans="2:9" ht="15">
      <c r="B133" t="s">
        <v>97</v>
      </c>
      <c r="C133" t="s">
        <v>730</v>
      </c>
      <c r="F133" t="s">
        <v>272</v>
      </c>
      <c r="G133">
        <v>2017</v>
      </c>
      <c r="H133" t="s">
        <v>369</v>
      </c>
      <c r="I133">
        <v>4.2000000000000002</v>
      </c>
    </row>
    <row r="134" spans="2:9" ht="15">
      <c r="B134" t="s">
        <v>97</v>
      </c>
      <c r="C134" t="s">
        <v>730</v>
      </c>
      <c r="F134" t="s">
        <v>272</v>
      </c>
      <c r="G134">
        <v>2017</v>
      </c>
      <c r="H134" t="s">
        <v>284</v>
      </c>
      <c r="I134">
        <v>2.1800600000000001</v>
      </c>
    </row>
    <row r="135" spans="2:9" ht="15">
      <c r="B135" t="s">
        <v>97</v>
      </c>
      <c r="C135" t="s">
        <v>730</v>
      </c>
      <c r="F135" t="s">
        <v>272</v>
      </c>
      <c r="G135">
        <v>2017</v>
      </c>
      <c r="H135" t="s">
        <v>285</v>
      </c>
      <c r="I135">
        <v>0.65910719806663898</v>
      </c>
    </row>
    <row r="136" spans="2:9" ht="15">
      <c r="B136" t="s">
        <v>97</v>
      </c>
      <c r="C136" t="s">
        <v>730</v>
      </c>
      <c r="F136" t="s">
        <v>272</v>
      </c>
      <c r="G136">
        <v>2017</v>
      </c>
      <c r="H136" t="s">
        <v>688</v>
      </c>
      <c r="I136">
        <v>3.484</v>
      </c>
    </row>
    <row r="137" spans="2:9" ht="15">
      <c r="B137" t="s">
        <v>97</v>
      </c>
      <c r="C137" t="s">
        <v>730</v>
      </c>
      <c r="F137" t="s">
        <v>272</v>
      </c>
      <c r="G137">
        <v>2017</v>
      </c>
      <c r="H137" t="s">
        <v>689</v>
      </c>
      <c r="I137">
        <v>0.4587</v>
      </c>
    </row>
    <row r="138" spans="2:9" ht="15">
      <c r="B138" t="s">
        <v>97</v>
      </c>
      <c r="C138" t="s">
        <v>730</v>
      </c>
      <c r="F138" t="s">
        <v>272</v>
      </c>
      <c r="G138">
        <v>2017</v>
      </c>
      <c r="H138" t="s">
        <v>691</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topLeftCell="A1">
      <pane xSplit="6" ySplit="4" topLeftCell="M115" activePane="bottomRight" state="frozen"/>
      <selection pane="topLeft" activeCell="A1" sqref="A1"/>
      <selection pane="bottomLeft" activeCell="A5" sqref="A5"/>
      <selection pane="topRight" activeCell="G1" sqref="G1"/>
      <selection pane="bottomRight" activeCell="AH127" sqref="AH127"/>
    </sheetView>
  </sheetViews>
  <sheetFormatPr defaultColWidth="8.85428571428571" defaultRowHeight="15"/>
  <cols>
    <col min="6" max="6" width="11.8571428571429" customWidth="1"/>
    <col min="10" max="10" width="8.85714285714286" style="166"/>
    <col min="15" max="15" width="10.1428571428571" style="166" customWidth="1"/>
  </cols>
  <sheetData>
    <row r="2" spans="2:2" ht="15">
      <c r="B2">
        <v>2006</v>
      </c>
    </row>
    <row r="3" spans="3:3" ht="15">
      <c r="C3" t="s">
        <v>734</v>
      </c>
    </row>
    <row r="4" spans="3:34" ht="15">
      <c r="C4" t="s">
        <v>733</v>
      </c>
      <c r="D4" t="s">
        <v>727</v>
      </c>
      <c r="E4" t="s">
        <v>732</v>
      </c>
      <c r="F4" t="s">
        <v>729</v>
      </c>
      <c r="G4">
        <f>AGR!J21</f>
        <v>2017</v>
      </c>
      <c r="H4">
        <f>AGR!K21</f>
        <v>2018</v>
      </c>
      <c r="I4">
        <f>AGR!L21</f>
        <v>2019</v>
      </c>
      <c r="J4" s="166">
        <f>AGR!M21</f>
        <v>2020</v>
      </c>
      <c r="K4">
        <f>AGR!N21</f>
        <v>2021</v>
      </c>
      <c r="L4">
        <f>AGR!O21</f>
        <v>2022</v>
      </c>
      <c r="M4">
        <f>AGR!P21</f>
        <v>2023</v>
      </c>
      <c r="N4">
        <f>AGR!Q21</f>
        <v>2024</v>
      </c>
      <c r="O4" s="166">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ht="15">
      <c r="A5" s="31" t="s">
        <v>289</v>
      </c>
      <c r="B5">
        <v>3.4886478690149998</v>
      </c>
      <c r="C5" t="s">
        <v>731</v>
      </c>
      <c r="D5" t="s">
        <v>272</v>
      </c>
      <c r="E5" s="113">
        <f>MATCH(F5,AGR!$D$22:$D$26,0)</f>
        <v>1</v>
      </c>
      <c r="F5" t="str">
        <f>A5</f>
        <v>AH</v>
      </c>
      <c r="G5" s="111">
        <f ca="1">OFFSET(AGR!J$21,$E5,0)</f>
        <v>2.5043970166379799</v>
      </c>
      <c r="H5" s="111">
        <f ca="1">OFFSET(AGR!K$21,$E5,0)</f>
        <v>2.4662677661307026</v>
      </c>
      <c r="I5" s="111">
        <f ca="1">OFFSET(AGR!L$21,$E5,0)</f>
        <v>2.4276166439312807</v>
      </c>
      <c r="J5" s="176">
        <f ca="1">OFFSET(AGR!M$21,$E5,0)</f>
        <v>2.3991505509071809</v>
      </c>
      <c r="K5" s="111">
        <f ca="1">OFFSET(AGR!N$21,$E5,0)</f>
        <v>2.5621349857640885</v>
      </c>
      <c r="L5" s="111">
        <f ca="1">OFFSET(AGR!O$21,$E5,0)</f>
        <v>2.4782396605107353</v>
      </c>
      <c r="M5" s="111">
        <f ca="1">OFFSET(AGR!P$21,$E5,0)</f>
        <v>2.4238030993160451</v>
      </c>
      <c r="N5" s="111">
        <f ca="1">OFFSET(AGR!Q$21,$E5,0)</f>
        <v>2.4017331688475081</v>
      </c>
      <c r="O5" s="176">
        <f ca="1">OFFSET(AGR!R$21,$E5,0)</f>
        <v>2.4473623732336942</v>
      </c>
      <c r="P5" s="111">
        <f ca="1">OFFSET(AGR!S$21,$E5,0)</f>
        <v>2.4714927407740928</v>
      </c>
      <c r="Q5" s="111">
        <f ca="1">OFFSET(AGR!T$21,$E5,0)</f>
        <v>2.5089295084594738</v>
      </c>
      <c r="R5" s="111">
        <f ca="1">OFFSET(AGR!U$21,$E5,0)</f>
        <v>2.5525689435171746</v>
      </c>
      <c r="S5" s="111">
        <f ca="1">OFFSET(AGR!V$21,$E5,0)</f>
        <v>2.5915841555912098</v>
      </c>
      <c r="T5" s="111">
        <f ca="1">OFFSET(AGR!W$21,$E5,0)</f>
        <v>2.6547403111611971</v>
      </c>
      <c r="U5" s="111">
        <f ca="1">OFFSET(AGR!X$21,$E5,0)</f>
        <v>2.7157776941822638</v>
      </c>
      <c r="V5" s="111">
        <f ca="1">OFFSET(AGR!Y$21,$E5,0)</f>
        <v>2.7747865466237291</v>
      </c>
      <c r="W5" s="111">
        <f ca="1">OFFSET(AGR!Z$21,$E5,0)</f>
        <v>2.82780006159041</v>
      </c>
      <c r="X5" s="111">
        <f ca="1">OFFSET(AGR!AA$21,$E5,0)</f>
        <v>2.883218621570419</v>
      </c>
      <c r="Y5" s="111">
        <f ca="1">OFFSET(AGR!AB$21,$E5,0)</f>
        <v>2.9742096788981383</v>
      </c>
      <c r="Z5" s="111">
        <f ca="1">OFFSET(AGR!AC$21,$E5,0)</f>
        <v>3.0307991448639355</v>
      </c>
      <c r="AA5" s="111">
        <f ca="1">OFFSET(AGR!AD$21,$E5,0)</f>
        <v>3.0862493540399352</v>
      </c>
      <c r="AB5" s="111">
        <f ca="1">OFFSET(AGR!AE$21,$E5,0)</f>
        <v>3.140716943745081</v>
      </c>
      <c r="AC5" s="111">
        <f ca="1">OFFSET(AGR!AF$21,$E5,0)</f>
        <v>3.1970782080543341</v>
      </c>
      <c r="AD5" s="111">
        <f ca="1">OFFSET(AGR!AG$21,$E5,0)</f>
        <v>3.2531572735374259</v>
      </c>
      <c r="AE5" s="111">
        <f ca="1">OFFSET(AGR!AH$21,$E5,0)</f>
        <v>3.5670907722145979</v>
      </c>
      <c r="AF5" s="111">
        <f ca="1">OFFSET(AGR!AI$21,$E5,0)</f>
        <v>3.9537148839251097</v>
      </c>
      <c r="AG5" s="111">
        <f ca="1">OFFSET(AGR!AJ$21,$E5,0)</f>
        <v>4.9688546189837011</v>
      </c>
      <c r="AH5" s="111">
        <f ca="1">OFFSET(AGR!AK$21,$E5,0)</f>
        <v>5.4140581014416727</v>
      </c>
      <c r="AJ5">
        <f ca="1">AH5/G5</f>
        <v>2.161821015387472</v>
      </c>
    </row>
    <row r="6" spans="1:36" ht="15">
      <c r="A6" s="31" t="s">
        <v>290</v>
      </c>
      <c r="B6">
        <v>6.8942225938929997</v>
      </c>
      <c r="C6" t="s">
        <v>731</v>
      </c>
      <c r="D6" t="s">
        <v>272</v>
      </c>
      <c r="E6" s="114">
        <f>MATCH(F6,AGR!$D$22:$D$26,0)</f>
        <v>4</v>
      </c>
      <c r="F6" t="str">
        <f t="shared" si="0" ref="F6:F68">A6</f>
        <v>AI</v>
      </c>
      <c r="G6" s="111">
        <f ca="1">OFFSET(AGR!J$21,$E6,0)</f>
        <v>5.7709645233647997</v>
      </c>
      <c r="H6" s="111">
        <f ca="1">OFFSET(AGR!K$21,$E6,0)</f>
        <v>5.6831020357008502</v>
      </c>
      <c r="I6" s="111">
        <f ca="1">OFFSET(AGR!L$21,$E6,0)</f>
        <v>5.5940369819097624</v>
      </c>
      <c r="J6" s="176">
        <f ca="1">OFFSET(AGR!M$21,$E6,0)</f>
        <v>5.5284416262734526</v>
      </c>
      <c r="K6" s="111">
        <f ca="1">OFFSET(AGR!N$21,$E6,0)</f>
        <v>5.9040120271208991</v>
      </c>
      <c r="L6" s="111">
        <f ca="1">OFFSET(AGR!O$21,$E6,0)</f>
        <v>5.7106892661941169</v>
      </c>
      <c r="M6" s="111">
        <f ca="1">OFFSET(AGR!P$21,$E6,0)</f>
        <v>5.5852493054604686</v>
      </c>
      <c r="N6" s="111">
        <f ca="1">OFFSET(AGR!Q$21,$E6,0)</f>
        <v>5.5343928378473448</v>
      </c>
      <c r="O6" s="176">
        <f ca="1">OFFSET(AGR!R$21,$E6,0)</f>
        <v>5.639537716232299</v>
      </c>
      <c r="P6" s="111">
        <f ca="1">OFFSET(AGR!S$21,$E6,0)</f>
        <v>5.6951421168469976</v>
      </c>
      <c r="Q6" s="111">
        <f ca="1">OFFSET(AGR!T$21,$E6,0)</f>
        <v>5.7814088935387442</v>
      </c>
      <c r="R6" s="111">
        <f ca="1">OFFSET(AGR!U$21,$E6,0)</f>
        <v>5.8819686809305045</v>
      </c>
      <c r="S6" s="111">
        <f ca="1">OFFSET(AGR!V$21,$E6,0)</f>
        <v>5.9718727190103253</v>
      </c>
      <c r="T6" s="111">
        <f ca="1">OFFSET(AGR!W$21,$E6,0)</f>
        <v>6.1174055282275281</v>
      </c>
      <c r="U6" s="111">
        <f ca="1">OFFSET(AGR!X$21,$E6,0)</f>
        <v>6.2580559800821929</v>
      </c>
      <c r="V6" s="111">
        <f ca="1">OFFSET(AGR!Y$21,$E6,0)</f>
        <v>6.3940320221161837</v>
      </c>
      <c r="W6" s="111">
        <f ca="1">OFFSET(AGR!Z$21,$E6,0)</f>
        <v>6.5161928105610976</v>
      </c>
      <c r="X6" s="111">
        <f ca="1">OFFSET(AGR!AA$21,$E6,0)</f>
        <v>6.6438956234361646</v>
      </c>
      <c r="Y6" s="111">
        <f ca="1">OFFSET(AGR!AB$21,$E6,0)</f>
        <v>6.8535693134674078</v>
      </c>
      <c r="Z6" s="111">
        <f ca="1">OFFSET(AGR!AC$21,$E6,0)</f>
        <v>6.9839702835672632</v>
      </c>
      <c r="AA6" s="111">
        <f ca="1">OFFSET(AGR!AD$21,$E6,0)</f>
        <v>7.1117460267269621</v>
      </c>
      <c r="AB6" s="111">
        <f ca="1">OFFSET(AGR!AE$21,$E6,0)</f>
        <v>7.2372574874791233</v>
      </c>
      <c r="AC6" s="111">
        <f ca="1">OFFSET(AGR!AF$21,$E6,0)</f>
        <v>7.3671326049863826</v>
      </c>
      <c r="AD6" s="111">
        <f ca="1">OFFSET(AGR!AG$21,$E6,0)</f>
        <v>7.4963574424447943</v>
      </c>
      <c r="AE6" s="111">
        <f ca="1">OFFSET(AGR!AH$21,$E6,0)</f>
        <v>8.2197647422961033</v>
      </c>
      <c r="AF6" s="111">
        <f ca="1">OFFSET(AGR!AI$21,$E6,0)</f>
        <v>9.1106754156980596</v>
      </c>
      <c r="AG6" s="111">
        <f ca="1">OFFSET(AGR!AJ$21,$E6,0)</f>
        <v>11.449895339041356</v>
      </c>
      <c r="AH6" s="111">
        <f ca="1">OFFSET(AGR!AK$21,$E6,0)</f>
        <v>12.47579238566558</v>
      </c>
      <c r="AJ6">
        <f ca="1" t="shared" si="1" ref="AJ6:AJ69">AH6/G6</f>
        <v>2.1618210153874737</v>
      </c>
    </row>
    <row r="7" spans="1:36" ht="15">
      <c r="A7" s="31" t="s">
        <v>291</v>
      </c>
      <c r="B7">
        <v>8.6660070567129992</v>
      </c>
      <c r="C7" t="s">
        <v>731</v>
      </c>
      <c r="D7" t="s">
        <v>272</v>
      </c>
      <c r="E7" s="114">
        <f>MATCH(F7,AGR!$D$22:$D$26,0)</f>
        <v>5</v>
      </c>
      <c r="F7" t="str">
        <f t="shared" si="0"/>
        <v>AO</v>
      </c>
      <c r="G7" s="111">
        <f ca="1">OFFSET(AGR!J$21,$E7,0)</f>
        <v>10.1217912486754</v>
      </c>
      <c r="H7" s="111">
        <f ca="1">OFFSET(AGR!K$21,$E7,0)</f>
        <v>9.9676877612733854</v>
      </c>
      <c r="I7" s="111">
        <f ca="1">OFFSET(AGR!L$21,$E7,0)</f>
        <v>9.8114750730172791</v>
      </c>
      <c r="J7" s="176">
        <f ca="1">OFFSET(AGR!M$21,$E7,0)</f>
        <v>9.6964262810960573</v>
      </c>
      <c r="K7" s="111">
        <f ca="1">OFFSET(AGR!N$21,$E7,0)</f>
        <v>10.355145491926127</v>
      </c>
      <c r="L7" s="111">
        <f ca="1">OFFSET(AGR!O$21,$E7,0)</f>
        <v>10.016073466479407</v>
      </c>
      <c r="M7" s="111">
        <f ca="1">OFFSET(AGR!P$21,$E7,0)</f>
        <v>9.7960622202401488</v>
      </c>
      <c r="N7" s="111">
        <f ca="1">OFFSET(AGR!Q$21,$E7,0)</f>
        <v>9.7068642106628982</v>
      </c>
      <c r="O7" s="176">
        <f ca="1">OFFSET(AGR!R$21,$E7,0)</f>
        <v>9.8912795723534863</v>
      </c>
      <c r="P7" s="111">
        <f ca="1">OFFSET(AGR!S$21,$E7,0)</f>
        <v>9.9888050610739647</v>
      </c>
      <c r="Q7" s="111">
        <f ca="1">OFFSET(AGR!T$21,$E7,0)</f>
        <v>10.140109804299252</v>
      </c>
      <c r="R7" s="111">
        <f ca="1">OFFSET(AGR!U$21,$E7,0)</f>
        <v>10.316483298170102</v>
      </c>
      <c r="S7" s="111">
        <f ca="1">OFFSET(AGR!V$21,$E7,0)</f>
        <v>10.474167495009755</v>
      </c>
      <c r="T7" s="111">
        <f ca="1">OFFSET(AGR!W$21,$E7,0)</f>
        <v>10.729419924437437</v>
      </c>
      <c r="U7" s="111">
        <f ca="1">OFFSET(AGR!X$21,$E7,0)</f>
        <v>10.976109105585742</v>
      </c>
      <c r="V7" s="111">
        <f ca="1">OFFSET(AGR!Y$21,$E7,0)</f>
        <v>11.214599761128135</v>
      </c>
      <c r="W7" s="111">
        <f ca="1">OFFSET(AGR!Z$21,$E7,0)</f>
        <v>11.428859612216609</v>
      </c>
      <c r="X7" s="111">
        <f ca="1">OFFSET(AGR!AA$21,$E7,0)</f>
        <v>11.652839712693199</v>
      </c>
      <c r="Y7" s="111">
        <f ca="1">OFFSET(AGR!AB$21,$E7,0)</f>
        <v>12.020589906312185</v>
      </c>
      <c r="Z7" s="111">
        <f ca="1">OFFSET(AGR!AC$21,$E7,0)</f>
        <v>12.249302349896213</v>
      </c>
      <c r="AA7" s="111">
        <f ca="1">OFFSET(AGR!AD$21,$E7,0)</f>
        <v>12.473410364019433</v>
      </c>
      <c r="AB7" s="111">
        <f ca="1">OFFSET(AGR!AE$21,$E7,0)</f>
        <v>12.693547015337638</v>
      </c>
      <c r="AC7" s="111">
        <f ca="1">OFFSET(AGR!AF$21,$E7,0)</f>
        <v>12.921337157259909</v>
      </c>
      <c r="AD7" s="111">
        <f ca="1">OFFSET(AGR!AG$21,$E7,0)</f>
        <v>13.147986762122741</v>
      </c>
      <c r="AE7" s="111">
        <f ca="1">OFFSET(AGR!AH$21,$E7,0)</f>
        <v>14.416782930807837</v>
      </c>
      <c r="AF7" s="111">
        <f ca="1">OFFSET(AGR!AI$21,$E7,0)</f>
        <v>15.979366069359806</v>
      </c>
      <c r="AG7" s="111">
        <f ca="1">OFFSET(AGR!AJ$21,$E7,0)</f>
        <v>20.082163037347094</v>
      </c>
      <c r="AH7" s="111">
        <f ca="1">OFFSET(AGR!AK$21,$E7,0)</f>
        <v>21.881501034751484</v>
      </c>
      <c r="AJ7">
        <f t="shared" ca="1" si="1"/>
        <v>2.161821015387472</v>
      </c>
    </row>
    <row r="8" spans="1:36" ht="15">
      <c r="A8" s="31" t="s">
        <v>292</v>
      </c>
      <c r="B8">
        <v>5.4851590254799998</v>
      </c>
      <c r="C8" t="s">
        <v>731</v>
      </c>
      <c r="D8" t="s">
        <v>272</v>
      </c>
      <c r="E8" s="114">
        <f>MATCH(F8,AGR!$D$22:$D$26,0)</f>
        <v>2</v>
      </c>
      <c r="F8" t="str">
        <f t="shared" si="0"/>
        <v>AP</v>
      </c>
      <c r="G8" s="111">
        <f ca="1">OFFSET(AGR!J$21,$E8,0)</f>
        <v>4.6040183871857696</v>
      </c>
      <c r="H8" s="111">
        <f ca="1">OFFSET(AGR!K$21,$E8,0)</f>
        <v>4.5339225640160148</v>
      </c>
      <c r="I8" s="111">
        <f ca="1">OFFSET(AGR!L$21,$E8,0)</f>
        <v>4.4628673454906425</v>
      </c>
      <c r="J8" s="176">
        <f ca="1">OFFSET(AGR!M$21,$E8,0)</f>
        <v>4.4105360198966537</v>
      </c>
      <c r="K8" s="111">
        <f ca="1">OFFSET(AGR!N$21,$E8,0)</f>
        <v>4.7101623690422185</v>
      </c>
      <c r="L8" s="111">
        <f ca="1">OFFSET(AGR!O$21,$E8,0)</f>
        <v>4.55593138349988</v>
      </c>
      <c r="M8" s="111">
        <f ca="1">OFFSET(AGR!P$21,$E8,0)</f>
        <v>4.4558566241823776</v>
      </c>
      <c r="N8" s="111">
        <f ca="1">OFFSET(AGR!Q$21,$E8,0)</f>
        <v>4.4152838375970216</v>
      </c>
      <c r="O8" s="176">
        <f ca="1">OFFSET(AGR!R$21,$E8,0)</f>
        <v>4.4991673810571866</v>
      </c>
      <c r="P8" s="111">
        <f ca="1">OFFSET(AGR!S$21,$E8,0)</f>
        <v>4.5435280216055798</v>
      </c>
      <c r="Q8" s="111">
        <f ca="1">OFFSET(AGR!T$21,$E8,0)</f>
        <v>4.6123508023528919</v>
      </c>
      <c r="R8" s="111">
        <f ca="1">OFFSET(AGR!U$21,$E8,0)</f>
        <v>4.6925764055928179</v>
      </c>
      <c r="S8" s="111">
        <f ca="1">OFFSET(AGR!V$21,$E8,0)</f>
        <v>4.7643009574811401</v>
      </c>
      <c r="T8" s="111">
        <f ca="1">OFFSET(AGR!W$21,$E8,0)</f>
        <v>4.880405592479681</v>
      </c>
      <c r="U8" s="111">
        <f ca="1">OFFSET(AGR!X$21,$E8,0)</f>
        <v>4.9926151310902736</v>
      </c>
      <c r="V8" s="111">
        <f ca="1">OFFSET(AGR!Y$21,$E8,0)</f>
        <v>5.1010954718039647</v>
      </c>
      <c r="W8" s="111">
        <f ca="1">OFFSET(AGR!Z$21,$E8,0)</f>
        <v>5.1985541399202546</v>
      </c>
      <c r="X8" s="111">
        <f ca="1">OFFSET(AGR!AA$21,$E8,0)</f>
        <v>5.3004341802829611</v>
      </c>
      <c r="Y8" s="111">
        <f ca="1">OFFSET(AGR!AB$21,$E8,0)</f>
        <v>5.4677097752557895</v>
      </c>
      <c r="Z8" s="111">
        <f ca="1">OFFSET(AGR!AC$21,$E8,0)</f>
        <v>5.5717423787514262</v>
      </c>
      <c r="AA8" s="111">
        <f ca="1">OFFSET(AGR!AD$21,$E8,0)</f>
        <v>5.6736806021734925</v>
      </c>
      <c r="AB8" s="111">
        <f ca="1">OFFSET(AGR!AE$21,$E8,0)</f>
        <v>5.7738124034981988</v>
      </c>
      <c r="AC8" s="111">
        <f ca="1">OFFSET(AGR!AF$21,$E8,0)</f>
        <v>5.8774254869993072</v>
      </c>
      <c r="AD8" s="111">
        <f ca="1">OFFSET(AGR!AG$21,$E8,0)</f>
        <v>5.9805197835126274</v>
      </c>
      <c r="AE8" s="111">
        <f ca="1">OFFSET(AGR!AH$21,$E8,0)</f>
        <v>6.5576469684841117</v>
      </c>
      <c r="AF8" s="111">
        <f ca="1">OFFSET(AGR!AI$21,$E8,0)</f>
        <v>7.268406687258314</v>
      </c>
      <c r="AG8" s="111">
        <f ca="1">OFFSET(AGR!AJ$21,$E8,0)</f>
        <v>9.1346131931448564</v>
      </c>
      <c r="AH8" s="111">
        <f ca="1">OFFSET(AGR!AK$21,$E8,0)</f>
        <v>9.9530637046485353</v>
      </c>
      <c r="AJ8">
        <f t="shared" ca="1" si="1"/>
        <v>2.1618210153874728</v>
      </c>
    </row>
    <row r="9" spans="1:36" ht="15">
      <c r="A9" s="31" t="s">
        <v>293</v>
      </c>
      <c r="B9">
        <v>14.26028349219</v>
      </c>
      <c r="C9" t="s">
        <v>731</v>
      </c>
      <c r="D9" t="s">
        <v>272</v>
      </c>
      <c r="E9" s="115">
        <f>MATCH(F9,AGR!$D$22:$D$26,0)</f>
        <v>3</v>
      </c>
      <c r="F9" t="str">
        <f t="shared" si="0"/>
        <v>AT</v>
      </c>
      <c r="G9" s="111">
        <f ca="1">OFFSET(AGR!J$21,$E9,0)</f>
        <v>7.9249894633578597</v>
      </c>
      <c r="H9" s="111">
        <f ca="1">OFFSET(AGR!K$21,$E9,0)</f>
        <v>7.8043321129024763</v>
      </c>
      <c r="I9" s="111">
        <f ca="1">OFFSET(AGR!L$21,$E9,0)</f>
        <v>7.6820233359224668</v>
      </c>
      <c r="J9" s="176">
        <f ca="1">OFFSET(AGR!M$21,$E9,0)</f>
        <v>7.5919443724912608</v>
      </c>
      <c r="K9" s="111">
        <f ca="1">OFFSET(AGR!N$21,$E9,0)</f>
        <v>8.10769723449806</v>
      </c>
      <c r="L9" s="111">
        <f ca="1">OFFSET(AGR!O$21,$E9,0)</f>
        <v>7.8422163366049791</v>
      </c>
      <c r="M9" s="111">
        <f ca="1">OFFSET(AGR!P$21,$E9,0)</f>
        <v>7.6699556403083111</v>
      </c>
      <c r="N9" s="111">
        <f ca="1">OFFSET(AGR!Q$21,$E9,0)</f>
        <v>7.6001168866050364</v>
      </c>
      <c r="O9" s="176">
        <f ca="1">OFFSET(AGR!R$21,$E9,0)</f>
        <v>7.7445073173472725</v>
      </c>
      <c r="P9" s="111">
        <f ca="1">OFFSET(AGR!S$21,$E9,0)</f>
        <v>7.8208661802728203</v>
      </c>
      <c r="Q9" s="111">
        <f ca="1">OFFSET(AGR!T$21,$E9,0)</f>
        <v>7.9393322171981904</v>
      </c>
      <c r="R9" s="111">
        <f ca="1">OFFSET(AGR!U$21,$E9,0)</f>
        <v>8.0774261618569501</v>
      </c>
      <c r="S9" s="111">
        <f ca="1">OFFSET(AGR!V$21,$E9,0)</f>
        <v>8.2008870758187786</v>
      </c>
      <c r="T9" s="111">
        <f ca="1">OFFSET(AGR!W$21,$E9,0)</f>
        <v>8.4007403195789276</v>
      </c>
      <c r="U9" s="111">
        <f ca="1">OFFSET(AGR!X$21,$E9,0)</f>
        <v>8.5938888555735371</v>
      </c>
      <c r="V9" s="111">
        <f ca="1">OFFSET(AGR!Y$21,$E9,0)</f>
        <v>8.7806182482124253</v>
      </c>
      <c r="W9" s="111">
        <f ca="1">OFFSET(AGR!Z$21,$E9,0)</f>
        <v>8.9483758140996876</v>
      </c>
      <c r="X9" s="111">
        <f ca="1">OFFSET(AGR!AA$21,$E9,0)</f>
        <v>9.1237439769741293</v>
      </c>
      <c r="Y9" s="111">
        <f ca="1">OFFSET(AGR!AB$21,$E9,0)</f>
        <v>9.4116788234826156</v>
      </c>
      <c r="Z9" s="111">
        <f ca="1">OFFSET(AGR!AC$21,$E9,0)</f>
        <v>9.5907522365782913</v>
      </c>
      <c r="AA9" s="111">
        <f ca="1">OFFSET(AGR!AD$21,$E9,0)</f>
        <v>9.7662205511232099</v>
      </c>
      <c r="AB9" s="111">
        <f ca="1">OFFSET(AGR!AE$21,$E9,0)</f>
        <v>9.9385794349743222</v>
      </c>
      <c r="AC9" s="111">
        <f ca="1">OFFSET(AGR!AF$21,$E9,0)</f>
        <v>10.116930719864438</v>
      </c>
      <c r="AD9" s="111">
        <f ca="1">OFFSET(AGR!AG$21,$E9,0)</f>
        <v>10.29438900627666</v>
      </c>
      <c r="AE9" s="111">
        <f ca="1">OFFSET(AGR!AH$21,$E9,0)</f>
        <v>11.287809639140837</v>
      </c>
      <c r="AF9" s="111">
        <f ca="1">OFFSET(AGR!AI$21,$E9,0)</f>
        <v>12.511254640564431</v>
      </c>
      <c r="AG9" s="111">
        <f ca="1">OFFSET(AGR!AJ$21,$E9,0)</f>
        <v>15.723593439376438</v>
      </c>
      <c r="AH9" s="111">
        <f ca="1">OFFSET(AGR!AK$21,$E9,0)</f>
        <v>17.132408768611306</v>
      </c>
      <c r="AJ9">
        <f t="shared" ca="1" si="1"/>
        <v>2.161821015387472</v>
      </c>
    </row>
    <row r="10" spans="1:36" ht="15">
      <c r="A10" s="31" t="s">
        <v>294</v>
      </c>
      <c r="B10">
        <v>0.39719718710289997</v>
      </c>
      <c r="C10" t="s">
        <v>731</v>
      </c>
      <c r="D10" t="s">
        <v>272</v>
      </c>
      <c r="E10" s="114">
        <f>MATCH(F10,IND!$D$29:$D$137,0)</f>
        <v>65</v>
      </c>
      <c r="F10" t="str">
        <f t="shared" si="0"/>
        <v>ICPA</v>
      </c>
      <c r="G10" s="111">
        <f ca="1">OFFSET(IND!P$28,$E10,0)</f>
        <v>0.3034425</v>
      </c>
      <c r="H10" s="111">
        <f ca="1">OFFSET(IND!Q$28,$E10,0)</f>
        <v>0.30687877870399499</v>
      </c>
      <c r="I10" s="111">
        <f ca="1">OFFSET(IND!R$28,$E10,0)</f>
        <v>0.30623182499737867</v>
      </c>
      <c r="J10" s="176">
        <f ca="1">OFFSET(IND!S$28,$E10,0)</f>
        <v>0.30176553966133574</v>
      </c>
      <c r="K10" s="111">
        <f ca="1">OFFSET(IND!T$28,$E10,0)</f>
        <v>0.32139100345277122</v>
      </c>
      <c r="L10" s="111">
        <f ca="1">OFFSET(IND!U$28,$E10,0)</f>
        <v>0.34718897481115929</v>
      </c>
      <c r="M10" s="111">
        <f ca="1">OFFSET(IND!V$28,$E10,0)</f>
        <v>0.34075674146327956</v>
      </c>
      <c r="N10" s="111">
        <f ca="1">OFFSET(IND!W$28,$E10,0)</f>
        <v>0.34061364275925404</v>
      </c>
      <c r="O10" s="176">
        <f ca="1">OFFSET(IND!X$28,$E10,0)</f>
        <v>0.34196869655682849</v>
      </c>
      <c r="P10" s="111">
        <f ca="1">OFFSET(IND!Y$28,$E10,0)</f>
        <v>0.34600018540604183</v>
      </c>
      <c r="Q10" s="111">
        <f ca="1">OFFSET(IND!Z$28,$E10,0)</f>
        <v>0.35148214095912422</v>
      </c>
      <c r="R10" s="111">
        <f ca="1">OFFSET(IND!AA$28,$E10,0)</f>
        <v>0.3593398913524008</v>
      </c>
      <c r="S10" s="111">
        <f ca="1">OFFSET(IND!AB$28,$E10,0)</f>
        <v>0.36722581570511553</v>
      </c>
      <c r="T10" s="111">
        <f ca="1">OFFSET(IND!AC$28,$E10,0)</f>
        <v>0.37815939317660308</v>
      </c>
      <c r="U10" s="111">
        <f ca="1">OFFSET(IND!AD$28,$E10,0)</f>
        <v>0.38969778402270255</v>
      </c>
      <c r="V10" s="111">
        <f ca="1">OFFSET(IND!AE$28,$E10,0)</f>
        <v>0.40140172435254268</v>
      </c>
      <c r="W10" s="111">
        <f ca="1">OFFSET(IND!AF$28,$E10,0)</f>
        <v>0.41387464492436976</v>
      </c>
      <c r="X10" s="111">
        <f ca="1">OFFSET(IND!AG$28,$E10,0)</f>
        <v>0.42979635175281361</v>
      </c>
      <c r="Y10" s="111">
        <f ca="1">OFFSET(IND!AH$28,$E10,0)</f>
        <v>0.44654155048772992</v>
      </c>
      <c r="Z10" s="111">
        <f ca="1">OFFSET(IND!AI$28,$E10,0)</f>
        <v>0.45787566009935426</v>
      </c>
      <c r="AA10" s="111">
        <f ca="1">OFFSET(IND!AJ$28,$E10,0)</f>
        <v>0.47056188707681013</v>
      </c>
      <c r="AB10" s="111">
        <f ca="1">OFFSET(IND!AK$28,$E10,0)</f>
        <v>0.48388974043755223</v>
      </c>
      <c r="AC10" s="111">
        <f ca="1">OFFSET(IND!AL$28,$E10,0)</f>
        <v>0.4920997040904132</v>
      </c>
      <c r="AD10" s="111">
        <f ca="1">OFFSET(IND!AM$28,$E10,0)</f>
        <v>0.50642200686157779</v>
      </c>
      <c r="AE10" s="111">
        <f ca="1">OFFSET(IND!AN$28,$E10,0)</f>
        <v>0.58360576070148895</v>
      </c>
      <c r="AF10" s="111">
        <f ca="1">OFFSET(IND!AO$28,$E10,0)</f>
        <v>0.66063128047112685</v>
      </c>
      <c r="AG10" s="111">
        <f ca="1">OFFSET(IND!AP$28,$E10,0)</f>
        <v>0.76534166746513199</v>
      </c>
      <c r="AH10" s="111">
        <f ca="1">OFFSET(IND!AQ$28,$E10,0)</f>
        <v>0.85701478092939876</v>
      </c>
      <c r="AJ10">
        <f t="shared" ca="1" si="1"/>
        <v>2.8243070134519677</v>
      </c>
    </row>
    <row r="11" spans="1:36" ht="15">
      <c r="A11" s="31" t="s">
        <v>295</v>
      </c>
      <c r="B11">
        <v>5.295962494706</v>
      </c>
      <c r="C11" t="s">
        <v>731</v>
      </c>
      <c r="D11" t="s">
        <v>272</v>
      </c>
      <c r="E11" s="114">
        <f>MATCH(F11,IND!$D$29:$D$137,0)</f>
        <v>67</v>
      </c>
      <c r="F11" t="str">
        <f t="shared" si="0"/>
        <v>ICPC</v>
      </c>
      <c r="G11" s="111">
        <f ca="1">OFFSET(IND!P$28,$E11,0)</f>
        <v>4.0458999999999996</v>
      </c>
      <c r="H11" s="111">
        <f ca="1">OFFSET(IND!Q$28,$E11,0)</f>
        <v>4.0917170493865989</v>
      </c>
      <c r="I11" s="111">
        <f ca="1">OFFSET(IND!R$28,$E11,0)</f>
        <v>4.083090999965048</v>
      </c>
      <c r="J11" s="176">
        <f ca="1">OFFSET(IND!S$28,$E11,0)</f>
        <v>4.0235405288178097</v>
      </c>
      <c r="K11" s="111">
        <f ca="1">OFFSET(IND!T$28,$E11,0)</f>
        <v>4.2852133793702833</v>
      </c>
      <c r="L11" s="111">
        <f ca="1">OFFSET(IND!U$28,$E11,0)</f>
        <v>4.6291863308154575</v>
      </c>
      <c r="M11" s="111">
        <f ca="1">OFFSET(IND!V$28,$E11,0)</f>
        <v>4.5434232195103945</v>
      </c>
      <c r="N11" s="111">
        <f ca="1">OFFSET(IND!W$28,$E11,0)</f>
        <v>4.5415152367900546</v>
      </c>
      <c r="O11" s="176">
        <f ca="1">OFFSET(IND!X$28,$E11,0)</f>
        <v>4.5595826207577135</v>
      </c>
      <c r="P11" s="111">
        <f ca="1">OFFSET(IND!Y$28,$E11,0)</f>
        <v>4.6133358054138913</v>
      </c>
      <c r="Q11" s="111">
        <f ca="1">OFFSET(IND!Z$28,$E11,0)</f>
        <v>4.6864285461216566</v>
      </c>
      <c r="R11" s="111">
        <f ca="1">OFFSET(IND!AA$28,$E11,0)</f>
        <v>4.7911985513653441</v>
      </c>
      <c r="S11" s="111">
        <f ca="1">OFFSET(IND!AB$28,$E11,0)</f>
        <v>4.8963442094015406</v>
      </c>
      <c r="T11" s="111">
        <f ca="1">OFFSET(IND!AC$28,$E11,0)</f>
        <v>5.0421252423547074</v>
      </c>
      <c r="U11" s="111">
        <f ca="1">OFFSET(IND!AD$28,$E11,0)</f>
        <v>5.1959704536360336</v>
      </c>
      <c r="V11" s="111">
        <f ca="1">OFFSET(IND!AE$28,$E11,0)</f>
        <v>5.3520229913672352</v>
      </c>
      <c r="W11" s="111">
        <f ca="1">OFFSET(IND!AF$28,$E11,0)</f>
        <v>5.5183285989915962</v>
      </c>
      <c r="X11" s="111">
        <f ca="1">OFFSET(IND!AG$28,$E11,0)</f>
        <v>5.7306180233708472</v>
      </c>
      <c r="Y11" s="111">
        <f ca="1">OFFSET(IND!AH$28,$E11,0)</f>
        <v>5.9538873398363981</v>
      </c>
      <c r="Z11" s="111">
        <f ca="1">OFFSET(IND!AI$28,$E11,0)</f>
        <v>6.1050088013247228</v>
      </c>
      <c r="AA11" s="111">
        <f ca="1">OFFSET(IND!AJ$28,$E11,0)</f>
        <v>6.2741584943574678</v>
      </c>
      <c r="AB11" s="111">
        <f ca="1">OFFSET(IND!AK$28,$E11,0)</f>
        <v>6.4518632058340293</v>
      </c>
      <c r="AC11" s="111">
        <f ca="1">OFFSET(IND!AL$28,$E11,0)</f>
        <v>6.5613293878721759</v>
      </c>
      <c r="AD11" s="111">
        <f ca="1">OFFSET(IND!AM$28,$E11,0)</f>
        <v>6.7522934248210378</v>
      </c>
      <c r="AE11" s="111">
        <f ca="1">OFFSET(IND!AN$28,$E11,0)</f>
        <v>7.7814101426865205</v>
      </c>
      <c r="AF11" s="111">
        <f ca="1">OFFSET(IND!AO$28,$E11,0)</f>
        <v>8.8084170729483589</v>
      </c>
      <c r="AG11" s="111">
        <f ca="1">OFFSET(IND!AP$28,$E11,0)</f>
        <v>10.204555566201762</v>
      </c>
      <c r="AH11" s="111">
        <f ca="1">OFFSET(IND!AQ$28,$E11,0)</f>
        <v>11.426863745725319</v>
      </c>
      <c r="AJ11">
        <f t="shared" ca="1" si="1"/>
        <v>2.8243070134519686</v>
      </c>
    </row>
    <row r="12" spans="1:36" ht="15">
      <c r="A12" s="31" t="s">
        <v>296</v>
      </c>
      <c r="B12">
        <v>3.219945196781</v>
      </c>
      <c r="C12" t="s">
        <v>731</v>
      </c>
      <c r="D12" t="s">
        <v>272</v>
      </c>
      <c r="E12" s="114">
        <f>MATCH(F12,IND!$D$29:$D$137,0)</f>
        <v>72</v>
      </c>
      <c r="F12" t="str">
        <f t="shared" si="0"/>
        <v>ICPE</v>
      </c>
      <c r="G12" s="111">
        <f ca="1">OFFSET(IND!P$28,$E12,0)</f>
        <v>2.4599072</v>
      </c>
      <c r="H12" s="111">
        <f ca="1">OFFSET(IND!Q$28,$E12,0)</f>
        <v>2.4877639660270527</v>
      </c>
      <c r="I12" s="111">
        <f ca="1">OFFSET(IND!R$28,$E12,0)</f>
        <v>2.4825193279787499</v>
      </c>
      <c r="J12" s="176">
        <f ca="1">OFFSET(IND!S$28,$E12,0)</f>
        <v>2.4463126415212288</v>
      </c>
      <c r="K12" s="111">
        <f ca="1">OFFSET(IND!T$28,$E12,0)</f>
        <v>2.6054097346571328</v>
      </c>
      <c r="L12" s="111">
        <f ca="1">OFFSET(IND!U$28,$E12,0)</f>
        <v>2.8145452891357987</v>
      </c>
      <c r="M12" s="111">
        <f ca="1">OFFSET(IND!V$28,$E12,0)</f>
        <v>2.7624013174623205</v>
      </c>
      <c r="N12" s="111">
        <f ca="1">OFFSET(IND!W$28,$E12,0)</f>
        <v>2.7612412639683539</v>
      </c>
      <c r="O12" s="176">
        <f ca="1">OFFSET(IND!X$28,$E12,0)</f>
        <v>2.7722262334206906</v>
      </c>
      <c r="P12" s="111">
        <f ca="1">OFFSET(IND!Y$28,$E12,0)</f>
        <v>2.8049081696916471</v>
      </c>
      <c r="Q12" s="111">
        <f ca="1">OFFSET(IND!Z$28,$E12,0)</f>
        <v>2.8493485560419685</v>
      </c>
      <c r="R12" s="111">
        <f ca="1">OFFSET(IND!AA$28,$E12,0)</f>
        <v>2.9130487192301304</v>
      </c>
      <c r="S12" s="111">
        <f ca="1">OFFSET(IND!AB$28,$E12,0)</f>
        <v>2.9769772793161375</v>
      </c>
      <c r="T12" s="111">
        <f ca="1">OFFSET(IND!AC$28,$E12,0)</f>
        <v>3.0656121473516631</v>
      </c>
      <c r="U12" s="111">
        <f ca="1">OFFSET(IND!AD$28,$E12,0)</f>
        <v>3.1591500358107094</v>
      </c>
      <c r="V12" s="111">
        <f ca="1">OFFSET(IND!AE$28,$E12,0)</f>
        <v>3.2540299787512796</v>
      </c>
      <c r="W12" s="111">
        <f ca="1">OFFSET(IND!AF$28,$E12,0)</f>
        <v>3.3551437881868913</v>
      </c>
      <c r="X12" s="111">
        <f ca="1">OFFSET(IND!AG$28,$E12,0)</f>
        <v>3.4842157582094759</v>
      </c>
      <c r="Y12" s="111">
        <f ca="1">OFFSET(IND!AH$28,$E12,0)</f>
        <v>3.6199635026205308</v>
      </c>
      <c r="Z12" s="111">
        <f ca="1">OFFSET(IND!AI$28,$E12,0)</f>
        <v>3.7118453512054321</v>
      </c>
      <c r="AA12" s="111">
        <f ca="1">OFFSET(IND!AJ$28,$E12,0)</f>
        <v>3.8146883645693412</v>
      </c>
      <c r="AB12" s="111">
        <f ca="1">OFFSET(IND!AK$28,$E12,0)</f>
        <v>3.9227328291470904</v>
      </c>
      <c r="AC12" s="111">
        <f ca="1">OFFSET(IND!AL$28,$E12,0)</f>
        <v>3.9892882678262835</v>
      </c>
      <c r="AD12" s="111">
        <f ca="1">OFFSET(IND!AM$28,$E12,0)</f>
        <v>4.105394402291191</v>
      </c>
      <c r="AE12" s="111">
        <f ca="1">OFFSET(IND!AN$28,$E12,0)</f>
        <v>4.7310973667534046</v>
      </c>
      <c r="AF12" s="111">
        <f ca="1">OFFSET(IND!AO$28,$E12,0)</f>
        <v>5.3555175803526023</v>
      </c>
      <c r="AG12" s="111">
        <f ca="1">OFFSET(IND!AP$28,$E12,0)</f>
        <v>6.2043697842506713</v>
      </c>
      <c r="AH12" s="111">
        <f ca="1">OFFSET(IND!AQ$28,$E12,0)</f>
        <v>6.9475331574009935</v>
      </c>
      <c r="AJ12">
        <f t="shared" ca="1" si="1"/>
        <v>2.8243070134519681</v>
      </c>
    </row>
    <row r="13" spans="1:36" ht="15">
      <c r="A13" s="31" t="s">
        <v>297</v>
      </c>
      <c r="B13">
        <v>3.389415996611</v>
      </c>
      <c r="C13" t="s">
        <v>731</v>
      </c>
      <c r="D13" t="s">
        <v>272</v>
      </c>
      <c r="E13" s="114">
        <f>MATCH(F13,IND!$D$29:$D$137,0)</f>
        <v>70</v>
      </c>
      <c r="F13" t="str">
        <f t="shared" si="0"/>
        <v>ICPF</v>
      </c>
      <c r="G13" s="111">
        <f ca="1">OFFSET(IND!P$28,$E13,0)</f>
        <v>2.5893760000000001</v>
      </c>
      <c r="H13" s="111">
        <f ca="1">OFFSET(IND!Q$28,$E13,0)</f>
        <v>2.618698911607424</v>
      </c>
      <c r="I13" s="111">
        <f ca="1">OFFSET(IND!R$28,$E13,0)</f>
        <v>2.6131782399776315</v>
      </c>
      <c r="J13" s="176">
        <f ca="1">OFFSET(IND!S$28,$E13,0)</f>
        <v>2.5750659384433989</v>
      </c>
      <c r="K13" s="111">
        <f ca="1">OFFSET(IND!T$28,$E13,0)</f>
        <v>2.7425365627969818</v>
      </c>
      <c r="L13" s="111">
        <f ca="1">OFFSET(IND!U$28,$E13,0)</f>
        <v>2.9626792517218932</v>
      </c>
      <c r="M13" s="111">
        <f ca="1">OFFSET(IND!V$28,$E13,0)</f>
        <v>2.9077908604866529</v>
      </c>
      <c r="N13" s="111">
        <f ca="1">OFFSET(IND!W$28,$E13,0)</f>
        <v>2.9065697515456352</v>
      </c>
      <c r="O13" s="176">
        <f ca="1">OFFSET(IND!X$28,$E13,0)</f>
        <v>2.9181328772849371</v>
      </c>
      <c r="P13" s="111">
        <f ca="1">OFFSET(IND!Y$28,$E13,0)</f>
        <v>2.952534915464891</v>
      </c>
      <c r="Q13" s="111">
        <f ca="1">OFFSET(IND!Z$28,$E13,0)</f>
        <v>2.999314269517861</v>
      </c>
      <c r="R13" s="111">
        <f ca="1">OFFSET(IND!AA$28,$E13,0)</f>
        <v>3.0663670728738213</v>
      </c>
      <c r="S13" s="111">
        <f ca="1">OFFSET(IND!AB$28,$E13,0)</f>
        <v>3.1336602940169871</v>
      </c>
      <c r="T13" s="111">
        <f ca="1">OFFSET(IND!AC$28,$E13,0)</f>
        <v>3.226960155107014</v>
      </c>
      <c r="U13" s="111">
        <f ca="1">OFFSET(IND!AD$28,$E13,0)</f>
        <v>3.3254210903270627</v>
      </c>
      <c r="V13" s="111">
        <f ca="1">OFFSET(IND!AE$28,$E13,0)</f>
        <v>3.4252947144750316</v>
      </c>
      <c r="W13" s="111">
        <f ca="1">OFFSET(IND!AF$28,$E13,0)</f>
        <v>3.5317303033546228</v>
      </c>
      <c r="X13" s="111">
        <f ca="1">OFFSET(IND!AG$28,$E13,0)</f>
        <v>3.6675955349573437</v>
      </c>
      <c r="Y13" s="111">
        <f ca="1">OFFSET(IND!AH$28,$E13,0)</f>
        <v>3.8104878974952965</v>
      </c>
      <c r="Z13" s="111">
        <f ca="1">OFFSET(IND!AI$28,$E13,0)</f>
        <v>3.9072056328478242</v>
      </c>
      <c r="AA13" s="111">
        <f ca="1">OFFSET(IND!AJ$28,$E13,0)</f>
        <v>4.0154614363887813</v>
      </c>
      <c r="AB13" s="111">
        <f ca="1">OFFSET(IND!AK$28,$E13,0)</f>
        <v>4.1291924517337808</v>
      </c>
      <c r="AC13" s="111">
        <f ca="1">OFFSET(IND!AL$28,$E13,0)</f>
        <v>4.1992508082381947</v>
      </c>
      <c r="AD13" s="111">
        <f ca="1">OFFSET(IND!AM$28,$E13,0)</f>
        <v>4.3214677918854658</v>
      </c>
      <c r="AE13" s="111">
        <f ca="1">OFFSET(IND!AN$28,$E13,0)</f>
        <v>4.980102491319375</v>
      </c>
      <c r="AF13" s="111">
        <f ca="1">OFFSET(IND!AO$28,$E13,0)</f>
        <v>5.6373869266869514</v>
      </c>
      <c r="AG13" s="111">
        <f ca="1">OFFSET(IND!AP$28,$E13,0)</f>
        <v>6.5309155623691293</v>
      </c>
      <c r="AH13" s="111">
        <f ca="1">OFFSET(IND!AQ$28,$E13,0)</f>
        <v>7.3131927972642057</v>
      </c>
      <c r="AJ13">
        <f t="shared" ca="1" si="1"/>
        <v>2.824307013451969</v>
      </c>
    </row>
    <row r="14" spans="1:36" ht="15">
      <c r="A14" s="31" t="s">
        <v>298</v>
      </c>
      <c r="B14">
        <v>0.95327324904709998</v>
      </c>
      <c r="C14" t="s">
        <v>731</v>
      </c>
      <c r="D14" t="s">
        <v>272</v>
      </c>
      <c r="E14" s="114">
        <f>MATCH(F14,IND!$D$29:$D$137,0)</f>
        <v>68</v>
      </c>
      <c r="F14" t="str">
        <f t="shared" si="0"/>
        <v>ICPH</v>
      </c>
      <c r="G14" s="111">
        <f ca="1">OFFSET(IND!P$28,$E14,0)</f>
        <v>0.72826199999999996</v>
      </c>
      <c r="H14" s="111">
        <f ca="1">OFFSET(IND!Q$28,$E14,0)</f>
        <v>0.73650906888958789</v>
      </c>
      <c r="I14" s="111">
        <f ca="1">OFFSET(IND!R$28,$E14,0)</f>
        <v>0.73495637999370877</v>
      </c>
      <c r="J14" s="176">
        <f ca="1">OFFSET(IND!S$28,$E14,0)</f>
        <v>0.72423729518720581</v>
      </c>
      <c r="K14" s="111">
        <f ca="1">OFFSET(IND!T$28,$E14,0)</f>
        <v>0.77133840828665101</v>
      </c>
      <c r="L14" s="111">
        <f ca="1">OFFSET(IND!U$28,$E14,0)</f>
        <v>0.83325353954678238</v>
      </c>
      <c r="M14" s="111">
        <f ca="1">OFFSET(IND!V$28,$E14,0)</f>
        <v>0.81781617951187102</v>
      </c>
      <c r="N14" s="111">
        <f ca="1">OFFSET(IND!W$28,$E14,0)</f>
        <v>0.81747274262220981</v>
      </c>
      <c r="O14" s="176">
        <f ca="1">OFFSET(IND!X$28,$E14,0)</f>
        <v>0.82072487173638842</v>
      </c>
      <c r="P14" s="111">
        <f ca="1">OFFSET(IND!Y$28,$E14,0)</f>
        <v>0.8304004449745005</v>
      </c>
      <c r="Q14" s="111">
        <f ca="1">OFFSET(IND!Z$28,$E14,0)</f>
        <v>0.84355713830189827</v>
      </c>
      <c r="R14" s="111">
        <f ca="1">OFFSET(IND!AA$28,$E14,0)</f>
        <v>0.86241573924576209</v>
      </c>
      <c r="S14" s="111">
        <f ca="1">OFFSET(IND!AB$28,$E14,0)</f>
        <v>0.88134195769227741</v>
      </c>
      <c r="T14" s="111">
        <f ca="1">OFFSET(IND!AC$28,$E14,0)</f>
        <v>0.90758254362384749</v>
      </c>
      <c r="U14" s="111">
        <f ca="1">OFFSET(IND!AD$28,$E14,0)</f>
        <v>0.93527468165448624</v>
      </c>
      <c r="V14" s="111">
        <f ca="1">OFFSET(IND!AE$28,$E14,0)</f>
        <v>0.96336413844610247</v>
      </c>
      <c r="W14" s="111">
        <f ca="1">OFFSET(IND!AF$28,$E14,0)</f>
        <v>0.99329914781848749</v>
      </c>
      <c r="X14" s="111">
        <f ca="1">OFFSET(IND!AG$28,$E14,0)</f>
        <v>1.0315112442067527</v>
      </c>
      <c r="Y14" s="111">
        <f ca="1">OFFSET(IND!AH$28,$E14,0)</f>
        <v>1.0716997211705519</v>
      </c>
      <c r="Z14" s="111">
        <f ca="1">OFFSET(IND!AI$28,$E14,0)</f>
        <v>1.0989015842384504</v>
      </c>
      <c r="AA14" s="111">
        <f ca="1">OFFSET(IND!AJ$28,$E14,0)</f>
        <v>1.1293485289843446</v>
      </c>
      <c r="AB14" s="111">
        <f ca="1">OFFSET(IND!AK$28,$E14,0)</f>
        <v>1.1613353770501256</v>
      </c>
      <c r="AC14" s="111">
        <f ca="1">OFFSET(IND!AL$28,$E14,0)</f>
        <v>1.1810392898169919</v>
      </c>
      <c r="AD14" s="111">
        <f ca="1">OFFSET(IND!AM$28,$E14,0)</f>
        <v>1.2154128164677871</v>
      </c>
      <c r="AE14" s="111">
        <f ca="1">OFFSET(IND!AN$28,$E14,0)</f>
        <v>1.4006538256835739</v>
      </c>
      <c r="AF14" s="111">
        <f ca="1">OFFSET(IND!AO$28,$E14,0)</f>
        <v>1.5855150731307048</v>
      </c>
      <c r="AG14" s="111">
        <f ca="1">OFFSET(IND!AP$28,$E14,0)</f>
        <v>1.8368200019163174</v>
      </c>
      <c r="AH14" s="111">
        <f ca="1">OFFSET(IND!AQ$28,$E14,0)</f>
        <v>2.0568354742305575</v>
      </c>
      <c r="AJ14">
        <f t="shared" ca="1" si="1"/>
        <v>2.8243070134519686</v>
      </c>
    </row>
    <row r="15" spans="1:36" ht="15">
      <c r="A15" s="31" t="s">
        <v>299</v>
      </c>
      <c r="B15">
        <v>1.059192498941</v>
      </c>
      <c r="C15" t="s">
        <v>731</v>
      </c>
      <c r="D15" t="s">
        <v>272</v>
      </c>
      <c r="E15" s="114">
        <f>MATCH(F15,IND!$D$29:$D$137,0)</f>
        <v>64</v>
      </c>
      <c r="F15" t="str">
        <f t="shared" si="0"/>
        <v>ICPK</v>
      </c>
      <c r="G15" s="111">
        <f ca="1">OFFSET(IND!P$28,$E15,0)</f>
        <v>0.80918000000000001</v>
      </c>
      <c r="H15" s="111">
        <f ca="1">OFFSET(IND!Q$28,$E15,0)</f>
        <v>0.81834340987731991</v>
      </c>
      <c r="I15" s="111">
        <f ca="1">OFFSET(IND!R$28,$E15,0)</f>
        <v>0.81661819999300977</v>
      </c>
      <c r="J15" s="176">
        <f ca="1">OFFSET(IND!S$28,$E15,0)</f>
        <v>0.804708105763562</v>
      </c>
      <c r="K15" s="111">
        <f ca="1">OFFSET(IND!T$28,$E15,0)</f>
        <v>0.85704267587405669</v>
      </c>
      <c r="L15" s="111">
        <f ca="1">OFFSET(IND!U$28,$E15,0)</f>
        <v>0.92583726616309159</v>
      </c>
      <c r="M15" s="111">
        <f ca="1">OFFSET(IND!V$28,$E15,0)</f>
        <v>0.90868464390207904</v>
      </c>
      <c r="N15" s="111">
        <f ca="1">OFFSET(IND!W$28,$E15,0)</f>
        <v>0.90830304735801104</v>
      </c>
      <c r="O15" s="176">
        <f ca="1">OFFSET(IND!X$28,$E15,0)</f>
        <v>0.9119165241515429</v>
      </c>
      <c r="P15" s="111">
        <f ca="1">OFFSET(IND!Y$28,$E15,0)</f>
        <v>0.92266716108277846</v>
      </c>
      <c r="Q15" s="111">
        <f ca="1">OFFSET(IND!Z$28,$E15,0)</f>
        <v>0.93728570922433152</v>
      </c>
      <c r="R15" s="111">
        <f ca="1">OFFSET(IND!AA$28,$E15,0)</f>
        <v>0.95823971027306909</v>
      </c>
      <c r="S15" s="111">
        <f ca="1">OFFSET(IND!AB$28,$E15,0)</f>
        <v>0.97926884188030838</v>
      </c>
      <c r="T15" s="111">
        <f ca="1">OFFSET(IND!AC$28,$E15,0)</f>
        <v>1.0084250484709418</v>
      </c>
      <c r="U15" s="111">
        <f ca="1">OFFSET(IND!AD$28,$E15,0)</f>
        <v>1.039194090727207</v>
      </c>
      <c r="V15" s="111">
        <f ca="1">OFFSET(IND!AE$28,$E15,0)</f>
        <v>1.0704045982734474</v>
      </c>
      <c r="W15" s="111">
        <f ca="1">OFFSET(IND!AF$28,$E15,0)</f>
        <v>1.1036657197983197</v>
      </c>
      <c r="X15" s="111">
        <f ca="1">OFFSET(IND!AG$28,$E15,0)</f>
        <v>1.1461236046741701</v>
      </c>
      <c r="Y15" s="111">
        <f ca="1">OFFSET(IND!AH$28,$E15,0)</f>
        <v>1.1907774679672802</v>
      </c>
      <c r="Z15" s="111">
        <f ca="1">OFFSET(IND!AI$28,$E15,0)</f>
        <v>1.2210017602649452</v>
      </c>
      <c r="AA15" s="111">
        <f ca="1">OFFSET(IND!AJ$28,$E15,0)</f>
        <v>1.2548316988714943</v>
      </c>
      <c r="AB15" s="111">
        <f ca="1">OFFSET(IND!AK$28,$E15,0)</f>
        <v>1.2903726411668066</v>
      </c>
      <c r="AC15" s="111">
        <f ca="1">OFFSET(IND!AL$28,$E15,0)</f>
        <v>1.3122658775744358</v>
      </c>
      <c r="AD15" s="111">
        <f ca="1">OFFSET(IND!AM$28,$E15,0)</f>
        <v>1.3504586849642082</v>
      </c>
      <c r="AE15" s="111">
        <f ca="1">OFFSET(IND!AN$28,$E15,0)</f>
        <v>1.5562820285373047</v>
      </c>
      <c r="AF15" s="111">
        <f ca="1">OFFSET(IND!AO$28,$E15,0)</f>
        <v>1.7616834145896725</v>
      </c>
      <c r="AG15" s="111">
        <f ca="1">OFFSET(IND!AP$28,$E15,0)</f>
        <v>2.040911113240353</v>
      </c>
      <c r="AH15" s="111">
        <f ca="1">OFFSET(IND!AQ$28,$E15,0)</f>
        <v>2.2853727491450644</v>
      </c>
      <c r="AJ15">
        <f t="shared" ca="1" si="1"/>
        <v>2.824307013451969</v>
      </c>
    </row>
    <row r="16" spans="1:36" ht="15">
      <c r="A16" s="31" t="s">
        <v>300</v>
      </c>
      <c r="B16">
        <v>0.63551549936469998</v>
      </c>
      <c r="C16" t="s">
        <v>731</v>
      </c>
      <c r="D16" t="s">
        <v>272</v>
      </c>
      <c r="E16" s="114">
        <f>MATCH(F16,IND!$D$29:$D$137,0)</f>
        <v>66</v>
      </c>
      <c r="F16" t="str">
        <f t="shared" si="0"/>
        <v>ICPL</v>
      </c>
      <c r="G16" s="111">
        <f ca="1">OFFSET(IND!P$28,$E16,0)</f>
        <v>0.485508</v>
      </c>
      <c r="H16" s="111">
        <f ca="1">OFFSET(IND!Q$28,$E16,0)</f>
        <v>0.49100604592639197</v>
      </c>
      <c r="I16" s="111">
        <f ca="1">OFFSET(IND!R$28,$E16,0)</f>
        <v>0.48997091999580583</v>
      </c>
      <c r="J16" s="176">
        <f ca="1">OFFSET(IND!S$28,$E16,0)</f>
        <v>0.48282486345813719</v>
      </c>
      <c r="K16" s="111">
        <f ca="1">OFFSET(IND!T$28,$E16,0)</f>
        <v>0.51422560552443397</v>
      </c>
      <c r="L16" s="111">
        <f ca="1">OFFSET(IND!U$28,$E16,0)</f>
        <v>0.55550235969785489</v>
      </c>
      <c r="M16" s="111">
        <f ca="1">OFFSET(IND!V$28,$E16,0)</f>
        <v>0.54521078634124731</v>
      </c>
      <c r="N16" s="111">
        <f ca="1">OFFSET(IND!W$28,$E16,0)</f>
        <v>0.54498182841480647</v>
      </c>
      <c r="O16" s="176">
        <f ca="1">OFFSET(IND!X$28,$E16,0)</f>
        <v>0.54714991449092554</v>
      </c>
      <c r="P16" s="111">
        <f ca="1">OFFSET(IND!Y$28,$E16,0)</f>
        <v>0.55360029664966692</v>
      </c>
      <c r="Q16" s="111">
        <f ca="1">OFFSET(IND!Z$28,$E16,0)</f>
        <v>0.56237142553459873</v>
      </c>
      <c r="R16" s="111">
        <f ca="1">OFFSET(IND!AA$28,$E16,0)</f>
        <v>0.57494382616384121</v>
      </c>
      <c r="S16" s="111">
        <f ca="1">OFFSET(IND!AB$28,$E16,0)</f>
        <v>0.58756130512818472</v>
      </c>
      <c r="T16" s="111">
        <f ca="1">OFFSET(IND!AC$28,$E16,0)</f>
        <v>0.60505502908256481</v>
      </c>
      <c r="U16" s="111">
        <f ca="1">OFFSET(IND!AD$28,$E16,0)</f>
        <v>0.62351645443632397</v>
      </c>
      <c r="V16" s="111">
        <f ca="1">OFFSET(IND!AE$28,$E16,0)</f>
        <v>0.64224275896406813</v>
      </c>
      <c r="W16" s="111">
        <f ca="1">OFFSET(IND!AF$28,$E16,0)</f>
        <v>0.66219943187899144</v>
      </c>
      <c r="X16" s="111">
        <f ca="1">OFFSET(IND!AG$28,$E16,0)</f>
        <v>0.68767416280450155</v>
      </c>
      <c r="Y16" s="111">
        <f ca="1">OFFSET(IND!AH$28,$E16,0)</f>
        <v>0.71446648078036767</v>
      </c>
      <c r="Z16" s="111">
        <f ca="1">OFFSET(IND!AI$28,$E16,0)</f>
        <v>0.73260105615896665</v>
      </c>
      <c r="AA16" s="111">
        <f ca="1">OFFSET(IND!AJ$28,$E16,0)</f>
        <v>0.75289901932289605</v>
      </c>
      <c r="AB16" s="111">
        <f ca="1">OFFSET(IND!AK$28,$E16,0)</f>
        <v>0.77422358470008334</v>
      </c>
      <c r="AC16" s="111">
        <f ca="1">OFFSET(IND!AL$28,$E16,0)</f>
        <v>0.7873595265446609</v>
      </c>
      <c r="AD16" s="111">
        <f ca="1">OFFSET(IND!AM$28,$E16,0)</f>
        <v>0.81027521097852429</v>
      </c>
      <c r="AE16" s="111">
        <f ca="1">OFFSET(IND!AN$28,$E16,0)</f>
        <v>0.93376921712238214</v>
      </c>
      <c r="AF16" s="111">
        <f ca="1">OFFSET(IND!AO$28,$E16,0)</f>
        <v>1.0570100487538028</v>
      </c>
      <c r="AG16" s="111">
        <f ca="1">OFFSET(IND!AP$28,$E16,0)</f>
        <v>1.224546667944211</v>
      </c>
      <c r="AH16" s="111">
        <f ca="1">OFFSET(IND!AQ$28,$E16,0)</f>
        <v>1.3712236494870378</v>
      </c>
      <c r="AJ16">
        <f t="shared" ca="1" si="1"/>
        <v>2.8243070134519672</v>
      </c>
    </row>
    <row r="17" spans="1:36" ht="15">
      <c r="A17" s="31" t="s">
        <v>301</v>
      </c>
      <c r="B17">
        <v>8.4735399915289999</v>
      </c>
      <c r="C17" t="s">
        <v>731</v>
      </c>
      <c r="D17" t="s">
        <v>272</v>
      </c>
      <c r="E17" s="114">
        <f>MATCH(F17,IND!$D$29:$D$137,0)</f>
        <v>71</v>
      </c>
      <c r="F17" t="str">
        <f t="shared" si="0"/>
        <v>ICPO</v>
      </c>
      <c r="G17" s="111">
        <f ca="1">OFFSET(IND!P$28,$E17,0)</f>
        <v>6.4734400000000001</v>
      </c>
      <c r="H17" s="111">
        <f ca="1">OFFSET(IND!Q$28,$E17,0)</f>
        <v>6.5467472790185592</v>
      </c>
      <c r="I17" s="111">
        <f ca="1">OFFSET(IND!R$28,$E17,0)</f>
        <v>6.5329455999440782</v>
      </c>
      <c r="J17" s="176">
        <f ca="1">OFFSET(IND!S$28,$E17,0)</f>
        <v>6.437664846108496</v>
      </c>
      <c r="K17" s="111">
        <f ca="1">OFFSET(IND!T$28,$E17,0)</f>
        <v>6.8563414069924535</v>
      </c>
      <c r="L17" s="111">
        <f ca="1">OFFSET(IND!U$28,$E17,0)</f>
        <v>7.4066981293047327</v>
      </c>
      <c r="M17" s="111">
        <f ca="1">OFFSET(IND!V$28,$E17,0)</f>
        <v>7.2694771512166323</v>
      </c>
      <c r="N17" s="111">
        <f ca="1">OFFSET(IND!W$28,$E17,0)</f>
        <v>7.2664243788640883</v>
      </c>
      <c r="O17" s="176">
        <f ca="1">OFFSET(IND!X$28,$E17,0)</f>
        <v>7.2953321932123432</v>
      </c>
      <c r="P17" s="111">
        <f ca="1">OFFSET(IND!Y$28,$E17,0)</f>
        <v>7.3813372886622277</v>
      </c>
      <c r="Q17" s="111">
        <f ca="1">OFFSET(IND!Z$28,$E17,0)</f>
        <v>7.4982856737946522</v>
      </c>
      <c r="R17" s="111">
        <f ca="1">OFFSET(IND!AA$28,$E17,0)</f>
        <v>7.6659176821845527</v>
      </c>
      <c r="S17" s="111">
        <f ca="1">OFFSET(IND!AB$28,$E17,0)</f>
        <v>7.8341507350424671</v>
      </c>
      <c r="T17" s="111">
        <f ca="1">OFFSET(IND!AC$28,$E17,0)</f>
        <v>8.0674003877675347</v>
      </c>
      <c r="U17" s="111">
        <f ca="1">OFFSET(IND!AD$28,$E17,0)</f>
        <v>8.3135527258176563</v>
      </c>
      <c r="V17" s="111">
        <f ca="1">OFFSET(IND!AE$28,$E17,0)</f>
        <v>8.5632367861875789</v>
      </c>
      <c r="W17" s="111">
        <f ca="1">OFFSET(IND!AF$28,$E17,0)</f>
        <v>8.8293257583865579</v>
      </c>
      <c r="X17" s="111">
        <f ca="1">OFFSET(IND!AG$28,$E17,0)</f>
        <v>9.1689888373933606</v>
      </c>
      <c r="Y17" s="111">
        <f ca="1">OFFSET(IND!AH$28,$E17,0)</f>
        <v>9.5262197437382419</v>
      </c>
      <c r="Z17" s="111">
        <f ca="1">OFFSET(IND!AI$28,$E17,0)</f>
        <v>9.7680140821195618</v>
      </c>
      <c r="AA17" s="111">
        <f ca="1">OFFSET(IND!AJ$28,$E17,0)</f>
        <v>10.038653590971954</v>
      </c>
      <c r="AB17" s="111">
        <f ca="1">OFFSET(IND!AK$28,$E17,0)</f>
        <v>10.322981129334453</v>
      </c>
      <c r="AC17" s="111">
        <f ca="1">OFFSET(IND!AL$28,$E17,0)</f>
        <v>10.498127020595486</v>
      </c>
      <c r="AD17" s="111">
        <f ca="1">OFFSET(IND!AM$28,$E17,0)</f>
        <v>10.803669479713665</v>
      </c>
      <c r="AE17" s="111">
        <f ca="1">OFFSET(IND!AN$28,$E17,0)</f>
        <v>12.450256228298437</v>
      </c>
      <c r="AF17" s="111">
        <f ca="1">OFFSET(IND!AO$28,$E17,0)</f>
        <v>14.09346731671738</v>
      </c>
      <c r="AG17" s="111">
        <f ca="1">OFFSET(IND!AP$28,$E17,0)</f>
        <v>16.327288905922824</v>
      </c>
      <c r="AH17" s="111">
        <f ca="1">OFFSET(IND!AQ$28,$E17,0)</f>
        <v>18.282981993160515</v>
      </c>
      <c r="AJ17">
        <f t="shared" ca="1" si="1"/>
        <v>2.824307013451969</v>
      </c>
    </row>
    <row r="18" spans="1:36" ht="15">
      <c r="A18" s="31" t="s">
        <v>302</v>
      </c>
      <c r="B18">
        <v>14.828694985169999</v>
      </c>
      <c r="C18" t="s">
        <v>731</v>
      </c>
      <c r="D18" t="s">
        <v>272</v>
      </c>
      <c r="E18" s="114">
        <f>MATCH(F18,IND!$D$29:$D$137,0)</f>
        <v>69</v>
      </c>
      <c r="F18" t="str">
        <f t="shared" si="0"/>
        <v>ICPP</v>
      </c>
      <c r="G18" s="111">
        <f ca="1">OFFSET(IND!P$28,$E18,0)</f>
        <v>11.328519999999999</v>
      </c>
      <c r="H18" s="111">
        <f ca="1">OFFSET(IND!Q$28,$E18,0)</f>
        <v>11.456807738282478</v>
      </c>
      <c r="I18" s="111">
        <f ca="1">OFFSET(IND!R$28,$E18,0)</f>
        <v>11.432654799902135</v>
      </c>
      <c r="J18" s="176">
        <f ca="1">OFFSET(IND!S$28,$E18,0)</f>
        <v>11.265913480689866</v>
      </c>
      <c r="K18" s="111">
        <f ca="1">OFFSET(IND!T$28,$E18,0)</f>
        <v>11.998597462236791</v>
      </c>
      <c r="L18" s="111">
        <f ca="1">OFFSET(IND!U$28,$E18,0)</f>
        <v>12.96172172628328</v>
      </c>
      <c r="M18" s="111">
        <f ca="1">OFFSET(IND!V$28,$E18,0)</f>
        <v>12.721585014629103</v>
      </c>
      <c r="N18" s="111">
        <f ca="1">OFFSET(IND!W$28,$E18,0)</f>
        <v>12.716242663012149</v>
      </c>
      <c r="O18" s="176">
        <f ca="1">OFFSET(IND!X$28,$E18,0)</f>
        <v>12.766831338121595</v>
      </c>
      <c r="P18" s="111">
        <f ca="1">OFFSET(IND!Y$28,$E18,0)</f>
        <v>12.917340255158893</v>
      </c>
      <c r="Q18" s="111">
        <f ca="1">OFFSET(IND!Z$28,$E18,0)</f>
        <v>13.121999929140635</v>
      </c>
      <c r="R18" s="111">
        <f ca="1">OFFSET(IND!AA$28,$E18,0)</f>
        <v>13.415355943822961</v>
      </c>
      <c r="S18" s="111">
        <f ca="1">OFFSET(IND!AB$28,$E18,0)</f>
        <v>13.709763786324311</v>
      </c>
      <c r="T18" s="111">
        <f ca="1">OFFSET(IND!AC$28,$E18,0)</f>
        <v>14.117950678593179</v>
      </c>
      <c r="U18" s="111">
        <f ca="1">OFFSET(IND!AD$28,$E18,0)</f>
        <v>14.548717270180891</v>
      </c>
      <c r="V18" s="111">
        <f ca="1">OFFSET(IND!AE$28,$E18,0)</f>
        <v>14.985664375828254</v>
      </c>
      <c r="W18" s="111">
        <f ca="1">OFFSET(IND!AF$28,$E18,0)</f>
        <v>15.451320077176465</v>
      </c>
      <c r="X18" s="111">
        <f ca="1">OFFSET(IND!AG$28,$E18,0)</f>
        <v>16.045730465438368</v>
      </c>
      <c r="Y18" s="111">
        <f ca="1">OFFSET(IND!AH$28,$E18,0)</f>
        <v>16.67088455154191</v>
      </c>
      <c r="Z18" s="111">
        <f ca="1">OFFSET(IND!AI$28,$E18,0)</f>
        <v>17.094024643709218</v>
      </c>
      <c r="AA18" s="111">
        <f ca="1">OFFSET(IND!AJ$28,$E18,0)</f>
        <v>17.567643784200904</v>
      </c>
      <c r="AB18" s="111">
        <f ca="1">OFFSET(IND!AK$28,$E18,0)</f>
        <v>18.065216976335275</v>
      </c>
      <c r="AC18" s="111">
        <f ca="1">OFFSET(IND!AL$28,$E18,0)</f>
        <v>18.371722286042086</v>
      </c>
      <c r="AD18" s="111">
        <f ca="1">OFFSET(IND!AM$28,$E18,0)</f>
        <v>18.906421589498898</v>
      </c>
      <c r="AE18" s="111">
        <f ca="1">OFFSET(IND!AN$28,$E18,0)</f>
        <v>21.787948399522246</v>
      </c>
      <c r="AF18" s="111">
        <f ca="1">OFFSET(IND!AO$28,$E18,0)</f>
        <v>24.66356780425539</v>
      </c>
      <c r="AG18" s="111">
        <f ca="1">OFFSET(IND!AP$28,$E18,0)</f>
        <v>28.572755585364916</v>
      </c>
      <c r="AH18" s="111">
        <f ca="1">OFFSET(IND!AQ$28,$E18,0)</f>
        <v>31.995218488030872</v>
      </c>
      <c r="AJ18">
        <f t="shared" ca="1" si="1"/>
        <v>2.8243070134519668</v>
      </c>
    </row>
    <row r="19" spans="1:36" ht="15">
      <c r="A19" s="31" t="s">
        <v>303</v>
      </c>
      <c r="B19">
        <v>32.941303389589997</v>
      </c>
      <c r="C19" t="s">
        <v>731</v>
      </c>
      <c r="D19" t="s">
        <v>272</v>
      </c>
      <c r="E19" s="114">
        <f>MATCH(F19,IND!$D$29:$D$137,0)</f>
        <v>73</v>
      </c>
      <c r="F19" t="str">
        <f t="shared" si="0"/>
        <v>ICPS</v>
      </c>
      <c r="G19" s="111">
        <f ca="1">OFFSET(IND!P$28,$E19,0)</f>
        <v>19.307168399999998</v>
      </c>
      <c r="H19" s="111">
        <f ca="1">OFFSET(IND!Q$28,$E19,0)</f>
        <v>19.525808872601445</v>
      </c>
      <c r="I19" s="111">
        <f ca="1">OFFSET(IND!R$28,$E19,0)</f>
        <v>19.484645079920309</v>
      </c>
      <c r="J19" s="176">
        <f ca="1">OFFSET(IND!S$28,$E19,0)</f>
        <v>19.200468265184632</v>
      </c>
      <c r="K19" s="111">
        <f ca="1">OFFSET(IND!T$28,$E19,0)</f>
        <v>20.449179748741972</v>
      </c>
      <c r="L19" s="111">
        <f ca="1">OFFSET(IND!U$28,$E19,0)</f>
        <v>22.090630031397748</v>
      </c>
      <c r="M19" s="111">
        <f ca="1">OFFSET(IND!V$28,$E19,0)</f>
        <v>21.681365632259165</v>
      </c>
      <c r="N19" s="111">
        <f ca="1">OFFSET(IND!W$28,$E19,0)</f>
        <v>21.672260675714046</v>
      </c>
      <c r="O19" s="176">
        <f ca="1">OFFSET(IND!X$28,$E19,0)</f>
        <v>21.758478828612301</v>
      </c>
      <c r="P19" s="111">
        <f ca="1">OFFSET(IND!Y$28,$E19,0)</f>
        <v>22.014990800779959</v>
      </c>
      <c r="Q19" s="111">
        <f ca="1">OFFSET(IND!Z$28,$E19,0)</f>
        <v>22.363791773038876</v>
      </c>
      <c r="R19" s="111">
        <f ca="1">OFFSET(IND!AA$28,$E19,0)</f>
        <v>22.8637576976808</v>
      </c>
      <c r="S19" s="111">
        <f ca="1">OFFSET(IND!AB$28,$E19,0)</f>
        <v>23.365516249853037</v>
      </c>
      <c r="T19" s="111">
        <f ca="1">OFFSET(IND!AC$28,$E19,0)</f>
        <v>24.06118815295315</v>
      </c>
      <c r="U19" s="111">
        <f ca="1">OFFSET(IND!AD$28,$E19,0)</f>
        <v>24.795342581323141</v>
      </c>
      <c r="V19" s="111">
        <f ca="1">OFFSET(IND!AE$28,$E19,0)</f>
        <v>25.540030444400244</v>
      </c>
      <c r="W19" s="111">
        <f ca="1">OFFSET(IND!AF$28,$E19,0)</f>
        <v>26.333646295574983</v>
      </c>
      <c r="X19" s="111">
        <f ca="1">OFFSET(IND!AG$28,$E19,0)</f>
        <v>27.346698438739487</v>
      </c>
      <c r="Y19" s="111">
        <f ca="1">OFFSET(IND!AH$28,$E19,0)</f>
        <v>28.412146989507743</v>
      </c>
      <c r="Z19" s="111">
        <f ca="1">OFFSET(IND!AI$28,$E19,0)</f>
        <v>29.13330359392436</v>
      </c>
      <c r="AA19" s="111">
        <f ca="1">OFFSET(IND!AJ$28,$E19,0)</f>
        <v>29.940491514582686</v>
      </c>
      <c r="AB19" s="111">
        <f ca="1">OFFSET(IND!AK$28,$E19,0)</f>
        <v>30.788504265750873</v>
      </c>
      <c r="AC19" s="111">
        <f ca="1">OFFSET(IND!AL$28,$E19,0)</f>
        <v>31.3108805011288</v>
      </c>
      <c r="AD19" s="111">
        <f ca="1">OFFSET(IND!AM$28,$E19,0)</f>
        <v>32.222167191288094</v>
      </c>
      <c r="AE19" s="111">
        <f ca="1">OFFSET(IND!AN$28,$E19,0)</f>
        <v>37.133146151490806</v>
      </c>
      <c r="AF19" s="111">
        <f ca="1">OFFSET(IND!AO$28,$E19,0)</f>
        <v>42.034057135581456</v>
      </c>
      <c r="AG19" s="111">
        <f ca="1">OFFSET(IND!AP$28,$E19,0)</f>
        <v>48.696476127391854</v>
      </c>
      <c r="AH19" s="111">
        <f ca="1">OFFSET(IND!AQ$28,$E19,0)</f>
        <v>54.529371122018198</v>
      </c>
      <c r="AJ19">
        <f t="shared" ca="1" si="1"/>
        <v>2.8243070134519677</v>
      </c>
    </row>
    <row r="20" spans="1:36" ht="15">
      <c r="A20" s="31" t="s">
        <v>304</v>
      </c>
      <c r="B20">
        <v>39.685391397639997</v>
      </c>
      <c r="C20" t="s">
        <v>731</v>
      </c>
      <c r="D20" t="s">
        <v>272</v>
      </c>
      <c r="E20" s="114">
        <f>MATCH(F20,IND!$D$29:$D$137,0)</f>
        <v>74</v>
      </c>
      <c r="F20" t="str">
        <f t="shared" si="0"/>
        <v>ICPT</v>
      </c>
      <c r="G20" s="111">
        <f ca="1">OFFSET(IND!P$28,$E20,0)</f>
        <v>26.600000000000001</v>
      </c>
      <c r="H20" s="111">
        <f ca="1">OFFSET(IND!Q$28,$E20,0)</f>
        <v>26.901226800880782</v>
      </c>
      <c r="I20" s="111">
        <f ca="1">OFFSET(IND!R$28,$E20,0)</f>
        <v>26.844514347628536</v>
      </c>
      <c r="J20" s="176">
        <f ca="1">OFFSET(IND!S$28,$E20,0)</f>
        <v>26.452996383141883</v>
      </c>
      <c r="K20" s="111">
        <f ca="1">OFFSET(IND!T$28,$E20,0)</f>
        <v>28.173379443695971</v>
      </c>
      <c r="L20" s="111">
        <f ca="1">OFFSET(IND!U$28,$E20,0)</f>
        <v>30.434849205292064</v>
      </c>
      <c r="M20" s="111">
        <f ca="1">OFFSET(IND!V$28,$E20,0)</f>
        <v>29.870994745044733</v>
      </c>
      <c r="N20" s="111">
        <f ca="1">OFFSET(IND!W$28,$E20,0)</f>
        <v>29.858450603973267</v>
      </c>
      <c r="O20" s="176">
        <f ca="1">OFFSET(IND!X$28,$E20,0)</f>
        <v>29.9772356489669</v>
      </c>
      <c r="P20" s="111">
        <f ca="1">OFFSET(IND!Y$28,$E20,0)</f>
        <v>30.330639023211035</v>
      </c>
      <c r="Q20" s="111">
        <f ca="1">OFFSET(IND!Z$28,$E20,0)</f>
        <v>30.811191410276102</v>
      </c>
      <c r="R20" s="111">
        <f ca="1">OFFSET(IND!AA$28,$E20,0)</f>
        <v>31.500007777334627</v>
      </c>
      <c r="S20" s="111">
        <f ca="1">OFFSET(IND!AB$28,$E20,0)</f>
        <v>32.191293895074267</v>
      </c>
      <c r="T20" s="111">
        <f ca="1">OFFSET(IND!AC$28,$E20,0)</f>
        <v>33.149739599751655</v>
      </c>
      <c r="U20" s="111">
        <f ca="1">OFFSET(IND!AD$28,$E20,0)</f>
        <v>34.161203704174227</v>
      </c>
      <c r="V20" s="111">
        <f ca="1">OFFSET(IND!AE$28,$E20,0)</f>
        <v>35.187180002068381</v>
      </c>
      <c r="W20" s="111">
        <f ca="1">OFFSET(IND!AF$28,$E20,0)</f>
        <v>36.280565691978666</v>
      </c>
      <c r="X20" s="111">
        <f ca="1">OFFSET(IND!AG$28,$E20,0)</f>
        <v>37.676274604331439</v>
      </c>
      <c r="Y20" s="111">
        <f ca="1">OFFSET(IND!AH$28,$E20,0)</f>
        <v>39.144171442608126</v>
      </c>
      <c r="Z20" s="111">
        <f ca="1">OFFSET(IND!AI$28,$E20,0)</f>
        <v>40.137728098874824</v>
      </c>
      <c r="AA20" s="111">
        <f ca="1">OFFSET(IND!AJ$28,$E20,0)</f>
        <v>41.249812390298494</v>
      </c>
      <c r="AB20" s="111">
        <f ca="1">OFFSET(IND!AK$28,$E20,0)</f>
        <v>42.418142137765443</v>
      </c>
      <c r="AC20" s="111">
        <f ca="1">OFFSET(IND!AL$28,$E20,0)</f>
        <v>43.137833786648187</v>
      </c>
      <c r="AD20" s="111">
        <f ca="1">OFFSET(IND!AM$28,$E20,0)</f>
        <v>44.393337724669323</v>
      </c>
      <c r="AE20" s="111">
        <f ca="1">OFFSET(IND!AN$28,$E20,0)</f>
        <v>51.159324203628721</v>
      </c>
      <c r="AF20" s="111">
        <f ca="1">OFFSET(IND!AO$28,$E20,0)</f>
        <v>57.911439763816787</v>
      </c>
      <c r="AG20" s="111">
        <f ca="1">OFFSET(IND!AP$28,$E20,0)</f>
        <v>67.090431810219442</v>
      </c>
      <c r="AH20" s="111">
        <f ca="1">OFFSET(IND!AQ$28,$E20,0)</f>
        <v>75.126566557822343</v>
      </c>
      <c r="AJ20">
        <f t="shared" ca="1" si="1"/>
        <v>2.8243070134519677</v>
      </c>
    </row>
    <row r="21" spans="1:36" ht="15">
      <c r="A21" s="31" t="s">
        <v>305</v>
      </c>
      <c r="B21">
        <v>0.053061366499999998</v>
      </c>
      <c r="C21" t="s">
        <v>731</v>
      </c>
      <c r="D21" t="s">
        <v>272</v>
      </c>
      <c r="E21" s="114">
        <f>MATCH(F21,IND!$D$29:$D$137,0)</f>
        <v>88</v>
      </c>
      <c r="F21" t="str">
        <f t="shared" si="0"/>
        <v>IFBA</v>
      </c>
      <c r="G21" s="111">
        <f ca="1">OFFSET(IND!P$28,$E21,0)</f>
        <v>0.029904</v>
      </c>
      <c r="H21" s="111">
        <f ca="1">OFFSET(IND!Q$28,$E21,0)</f>
        <v>0.030329173986535427</v>
      </c>
      <c r="I21" s="111">
        <f ca="1">OFFSET(IND!R$28,$E21,0)</f>
        <v>0.030231256879581957</v>
      </c>
      <c r="J21" s="176">
        <f ca="1">OFFSET(IND!S$28,$E21,0)</f>
        <v>0.029773620615300724</v>
      </c>
      <c r="K21" s="111">
        <f ca="1">OFFSET(IND!T$28,$E21,0)</f>
        <v>0.032547040690284634</v>
      </c>
      <c r="L21" s="111">
        <f ca="1">OFFSET(IND!U$28,$E21,0)</f>
        <v>0.034043316364935891</v>
      </c>
      <c r="M21" s="111">
        <f ca="1">OFFSET(IND!V$28,$E21,0)</f>
        <v>0.034303844628182312</v>
      </c>
      <c r="N21" s="111">
        <f ca="1">OFFSET(IND!W$28,$E21,0)</f>
        <v>0.034638446106663431</v>
      </c>
      <c r="O21" s="176">
        <f ca="1">OFFSET(IND!X$28,$E21,0)</f>
        <v>0.034487679556713884</v>
      </c>
      <c r="P21" s="111">
        <f ca="1">OFFSET(IND!Y$28,$E21,0)</f>
        <v>0.034427144688646709</v>
      </c>
      <c r="Q21" s="111">
        <f ca="1">OFFSET(IND!Z$28,$E21,0)</f>
        <v>0.034924597166856239</v>
      </c>
      <c r="R21" s="111">
        <f ca="1">OFFSET(IND!AA$28,$E21,0)</f>
        <v>0.035514697279975131</v>
      </c>
      <c r="S21" s="111">
        <f ca="1">OFFSET(IND!AB$28,$E21,0)</f>
        <v>0.036104053057520805</v>
      </c>
      <c r="T21" s="111">
        <f ca="1">OFFSET(IND!AC$28,$E21,0)</f>
        <v>0.037081051228465146</v>
      </c>
      <c r="U21" s="111">
        <f ca="1">OFFSET(IND!AD$28,$E21,0)</f>
        <v>0.038115826866991727</v>
      </c>
      <c r="V21" s="111">
        <f ca="1">OFFSET(IND!AE$28,$E21,0)</f>
        <v>0.039138209046616183</v>
      </c>
      <c r="W21" s="111">
        <f ca="1">OFFSET(IND!AF$28,$E21,0)</f>
        <v>0.040152980244876423</v>
      </c>
      <c r="X21" s="111">
        <f ca="1">OFFSET(IND!AG$28,$E21,0)</f>
        <v>0.041247703407547388</v>
      </c>
      <c r="Y21" s="111">
        <f ca="1">OFFSET(IND!AH$28,$E21,0)</f>
        <v>0.042738813407178292</v>
      </c>
      <c r="Z21" s="111">
        <f ca="1">OFFSET(IND!AI$28,$E21,0)</f>
        <v>0.04364557265168393</v>
      </c>
      <c r="AA21" s="111">
        <f ca="1">OFFSET(IND!AJ$28,$E21,0)</f>
        <v>0.044508309040331553</v>
      </c>
      <c r="AB21" s="111">
        <f ca="1">OFFSET(IND!AK$28,$E21,0)</f>
        <v>0.045358464837189381</v>
      </c>
      <c r="AC21" s="111">
        <f ca="1">OFFSET(IND!AL$28,$E21,0)</f>
        <v>0.046266645564962378</v>
      </c>
      <c r="AD21" s="111">
        <f ca="1">OFFSET(IND!AM$28,$E21,0)</f>
        <v>0.047171460501331586</v>
      </c>
      <c r="AE21" s="111">
        <f ca="1">OFFSET(IND!AN$28,$E21,0)</f>
        <v>0.052065732404467595</v>
      </c>
      <c r="AF21" s="111">
        <f ca="1">OFFSET(IND!AO$28,$E21,0)</f>
        <v>0.057754619284283285</v>
      </c>
      <c r="AG21" s="111">
        <f ca="1">OFFSET(IND!AP$28,$E21,0)</f>
        <v>0.064825577974251189</v>
      </c>
      <c r="AH21" s="111">
        <f ca="1">OFFSET(IND!AQ$28,$E21,0)</f>
        <v>0.07259042708367322</v>
      </c>
      <c r="AJ21">
        <f t="shared" ca="1" si="1"/>
        <v>2.4274487387531174</v>
      </c>
    </row>
    <row r="22" spans="1:36" ht="15">
      <c r="A22" s="31" t="s">
        <v>306</v>
      </c>
      <c r="B22">
        <v>12.204114317089999</v>
      </c>
      <c r="C22" t="s">
        <v>731</v>
      </c>
      <c r="D22" t="s">
        <v>272</v>
      </c>
      <c r="E22" s="114">
        <f>MATCH(F22,IND!$D$29:$D$137,0)</f>
        <v>90</v>
      </c>
      <c r="F22" t="str">
        <f t="shared" si="0"/>
        <v>IFBC</v>
      </c>
      <c r="G22" s="111">
        <f ca="1">OFFSET(IND!P$28,$E22,0)</f>
        <v>6.8779199999999996</v>
      </c>
      <c r="H22" s="111">
        <f ca="1">OFFSET(IND!Q$28,$E22,0)</f>
        <v>6.9757100169031485</v>
      </c>
      <c r="I22" s="111">
        <f ca="1">OFFSET(IND!R$28,$E22,0)</f>
        <v>6.95318908230385</v>
      </c>
      <c r="J22" s="176">
        <f ca="1">OFFSET(IND!S$28,$E22,0)</f>
        <v>6.8479327415191671</v>
      </c>
      <c r="K22" s="111">
        <f ca="1">OFFSET(IND!T$28,$E22,0)</f>
        <v>7.4858193587654664</v>
      </c>
      <c r="L22" s="111">
        <f ca="1">OFFSET(IND!U$28,$E22,0)</f>
        <v>7.8299627639352565</v>
      </c>
      <c r="M22" s="111">
        <f ca="1">OFFSET(IND!V$28,$E22,0)</f>
        <v>7.8898842644819327</v>
      </c>
      <c r="N22" s="111">
        <f ca="1">OFFSET(IND!W$28,$E22,0)</f>
        <v>7.96684260453259</v>
      </c>
      <c r="O22" s="176">
        <f ca="1">OFFSET(IND!X$28,$E22,0)</f>
        <v>7.9321662980441943</v>
      </c>
      <c r="P22" s="111">
        <f ca="1">OFFSET(IND!Y$28,$E22,0)</f>
        <v>7.9182432783887444</v>
      </c>
      <c r="Q22" s="111">
        <f ca="1">OFFSET(IND!Z$28,$E22,0)</f>
        <v>8.0326573483769366</v>
      </c>
      <c r="R22" s="111">
        <f ca="1">OFFSET(IND!AA$28,$E22,0)</f>
        <v>8.1683803743942818</v>
      </c>
      <c r="S22" s="111">
        <f ca="1">OFFSET(IND!AB$28,$E22,0)</f>
        <v>8.3039322032297864</v>
      </c>
      <c r="T22" s="111">
        <f ca="1">OFFSET(IND!AC$28,$E22,0)</f>
        <v>8.528641782546984</v>
      </c>
      <c r="U22" s="111">
        <f ca="1">OFFSET(IND!AD$28,$E22,0)</f>
        <v>8.7666401794080979</v>
      </c>
      <c r="V22" s="111">
        <f ca="1">OFFSET(IND!AE$28,$E22,0)</f>
        <v>9.0017880807217239</v>
      </c>
      <c r="W22" s="111">
        <f ca="1">OFFSET(IND!AF$28,$E22,0)</f>
        <v>9.2351854563215792</v>
      </c>
      <c r="X22" s="111">
        <f ca="1">OFFSET(IND!AG$28,$E22,0)</f>
        <v>9.4869717837359016</v>
      </c>
      <c r="Y22" s="111">
        <f ca="1">OFFSET(IND!AH$28,$E22,0)</f>
        <v>9.8299270836510093</v>
      </c>
      <c r="Z22" s="111">
        <f ca="1">OFFSET(IND!AI$28,$E22,0)</f>
        <v>10.038481709887305</v>
      </c>
      <c r="AA22" s="111">
        <f ca="1">OFFSET(IND!AJ$28,$E22,0)</f>
        <v>10.236911079276259</v>
      </c>
      <c r="AB22" s="111">
        <f ca="1">OFFSET(IND!AK$28,$E22,0)</f>
        <v>10.43244691255356</v>
      </c>
      <c r="AC22" s="111">
        <f ca="1">OFFSET(IND!AL$28,$E22,0)</f>
        <v>10.64132847994135</v>
      </c>
      <c r="AD22" s="111">
        <f ca="1">OFFSET(IND!AM$28,$E22,0)</f>
        <v>10.849435915306268</v>
      </c>
      <c r="AE22" s="111">
        <f ca="1">OFFSET(IND!AN$28,$E22,0)</f>
        <v>11.97511845302755</v>
      </c>
      <c r="AF22" s="111">
        <f ca="1">OFFSET(IND!AO$28,$E22,0)</f>
        <v>13.283562435385159</v>
      </c>
      <c r="AG22" s="111">
        <f ca="1">OFFSET(IND!AP$28,$E22,0)</f>
        <v>14.909882934077778</v>
      </c>
      <c r="AH22" s="111">
        <f ca="1">OFFSET(IND!AQ$28,$E22,0)</f>
        <v>16.695798229244843</v>
      </c>
      <c r="AJ22">
        <f t="shared" ca="1" si="1"/>
        <v>2.4274487387531178</v>
      </c>
    </row>
    <row r="23" spans="1:36" ht="15">
      <c r="A23" s="31" t="s">
        <v>307</v>
      </c>
      <c r="B23" t="s">
        <v>370</v>
      </c>
      <c r="C23" t="s">
        <v>731</v>
      </c>
      <c r="D23" t="s">
        <v>272</v>
      </c>
      <c r="E23" s="114">
        <f>MATCH(F23,IND!$D$29:$D$137,0)</f>
        <v>95</v>
      </c>
      <c r="F23" t="str">
        <f t="shared" si="0"/>
        <v>IFBE</v>
      </c>
      <c r="G23" s="111">
        <f ca="1">OFFSET(IND!P$28,$E23,0)</f>
        <v>0</v>
      </c>
      <c r="H23" s="111">
        <f ca="1">OFFSET(IND!Q$28,$E23,0)</f>
        <v>0</v>
      </c>
      <c r="I23" s="111">
        <f ca="1">OFFSET(IND!R$28,$E23,0)</f>
        <v>0</v>
      </c>
      <c r="J23" s="176">
        <f ca="1">OFFSET(IND!S$28,$E23,0)</f>
        <v>0</v>
      </c>
      <c r="K23" s="111">
        <f ca="1">OFFSET(IND!T$28,$E23,0)</f>
        <v>0</v>
      </c>
      <c r="L23" s="111">
        <f ca="1">OFFSET(IND!U$28,$E23,0)</f>
        <v>0</v>
      </c>
      <c r="M23" s="111">
        <f ca="1">OFFSET(IND!V$28,$E23,0)</f>
        <v>0</v>
      </c>
      <c r="N23" s="111">
        <f ca="1">OFFSET(IND!W$28,$E23,0)</f>
        <v>0</v>
      </c>
      <c r="O23" s="176">
        <f ca="1">OFFSET(IND!X$28,$E23,0)</f>
        <v>0</v>
      </c>
      <c r="P23" s="111">
        <f ca="1">OFFSET(IND!Y$28,$E23,0)</f>
        <v>0</v>
      </c>
      <c r="Q23" s="111">
        <f ca="1">OFFSET(IND!Z$28,$E23,0)</f>
        <v>0</v>
      </c>
      <c r="R23" s="111">
        <f ca="1">OFFSET(IND!AA$28,$E23,0)</f>
        <v>0</v>
      </c>
      <c r="S23" s="111">
        <f ca="1">OFFSET(IND!AB$28,$E23,0)</f>
        <v>0</v>
      </c>
      <c r="T23" s="111">
        <f ca="1">OFFSET(IND!AC$28,$E23,0)</f>
        <v>0</v>
      </c>
      <c r="U23" s="111">
        <f ca="1">OFFSET(IND!AD$28,$E23,0)</f>
        <v>0</v>
      </c>
      <c r="V23" s="111">
        <f ca="1">OFFSET(IND!AE$28,$E23,0)</f>
        <v>0</v>
      </c>
      <c r="W23" s="111">
        <f ca="1">OFFSET(IND!AF$28,$E23,0)</f>
        <v>0</v>
      </c>
      <c r="X23" s="111">
        <f ca="1">OFFSET(IND!AG$28,$E23,0)</f>
        <v>0</v>
      </c>
      <c r="Y23" s="111">
        <f ca="1">OFFSET(IND!AH$28,$E23,0)</f>
        <v>0</v>
      </c>
      <c r="Z23" s="111">
        <f ca="1">OFFSET(IND!AI$28,$E23,0)</f>
        <v>0</v>
      </c>
      <c r="AA23" s="111">
        <f ca="1">OFFSET(IND!AJ$28,$E23,0)</f>
        <v>0</v>
      </c>
      <c r="AB23" s="111">
        <f ca="1">OFFSET(IND!AK$28,$E23,0)</f>
        <v>0</v>
      </c>
      <c r="AC23" s="111">
        <f ca="1">OFFSET(IND!AL$28,$E23,0)</f>
        <v>0</v>
      </c>
      <c r="AD23" s="111">
        <f ca="1">OFFSET(IND!AM$28,$E23,0)</f>
        <v>0</v>
      </c>
      <c r="AE23" s="111">
        <f ca="1">OFFSET(IND!AN$28,$E23,0)</f>
        <v>0</v>
      </c>
      <c r="AF23" s="111">
        <f ca="1">OFFSET(IND!AO$28,$E23,0)</f>
        <v>0</v>
      </c>
      <c r="AG23" s="111">
        <f ca="1">OFFSET(IND!AP$28,$E23,0)</f>
        <v>0</v>
      </c>
      <c r="AH23" s="111">
        <f ca="1">OFFSET(IND!AQ$28,$E23,0)</f>
        <v>0</v>
      </c>
      <c r="AJ23" t="e">
        <f t="shared" ca="1" si="1"/>
        <v>#DIV/0!</v>
      </c>
    </row>
    <row r="24" spans="1:36" ht="15">
      <c r="A24" s="31" t="s">
        <v>308</v>
      </c>
      <c r="B24">
        <v>0.84898186553730004</v>
      </c>
      <c r="C24" t="s">
        <v>731</v>
      </c>
      <c r="D24" t="s">
        <v>272</v>
      </c>
      <c r="E24" s="114">
        <f>MATCH(F24,IND!$D$29:$D$137,0)</f>
        <v>93</v>
      </c>
      <c r="F24" t="str">
        <f t="shared" si="0"/>
        <v>IFBF</v>
      </c>
      <c r="G24" s="111">
        <f ca="1">OFFSET(IND!P$28,$E24,0)</f>
        <v>0.478464</v>
      </c>
      <c r="H24" s="111">
        <f ca="1">OFFSET(IND!Q$28,$E24,0)</f>
        <v>0.48526678378456684</v>
      </c>
      <c r="I24" s="111">
        <f ca="1">OFFSET(IND!R$28,$E24,0)</f>
        <v>0.48370011007331132</v>
      </c>
      <c r="J24" s="176">
        <f ca="1">OFFSET(IND!S$28,$E24,0)</f>
        <v>0.47637792984481159</v>
      </c>
      <c r="K24" s="111">
        <f ca="1">OFFSET(IND!T$28,$E24,0)</f>
        <v>0.52075265104455415</v>
      </c>
      <c r="L24" s="111">
        <f ca="1">OFFSET(IND!U$28,$E24,0)</f>
        <v>0.54469306183897426</v>
      </c>
      <c r="M24" s="111">
        <f ca="1">OFFSET(IND!V$28,$E24,0)</f>
        <v>0.54886151405091699</v>
      </c>
      <c r="N24" s="111">
        <f ca="1">OFFSET(IND!W$28,$E24,0)</f>
        <v>0.5542151377066149</v>
      </c>
      <c r="O24" s="176">
        <f ca="1">OFFSET(IND!X$28,$E24,0)</f>
        <v>0.55180287290742214</v>
      </c>
      <c r="P24" s="111">
        <f ca="1">OFFSET(IND!Y$28,$E24,0)</f>
        <v>0.55083431501834734</v>
      </c>
      <c r="Q24" s="111">
        <f ca="1">OFFSET(IND!Z$28,$E24,0)</f>
        <v>0.55879355466969982</v>
      </c>
      <c r="R24" s="111">
        <f ca="1">OFFSET(IND!AA$28,$E24,0)</f>
        <v>0.5682351564796021</v>
      </c>
      <c r="S24" s="111">
        <f ca="1">OFFSET(IND!AB$28,$E24,0)</f>
        <v>0.57766484892033287</v>
      </c>
      <c r="T24" s="111">
        <f ca="1">OFFSET(IND!AC$28,$E24,0)</f>
        <v>0.59329681965544234</v>
      </c>
      <c r="U24" s="111">
        <f ca="1">OFFSET(IND!AD$28,$E24,0)</f>
        <v>0.60985322987186763</v>
      </c>
      <c r="V24" s="111">
        <f ca="1">OFFSET(IND!AE$28,$E24,0)</f>
        <v>0.62621134474585893</v>
      </c>
      <c r="W24" s="111">
        <f ca="1">OFFSET(IND!AF$28,$E24,0)</f>
        <v>0.64244768391802276</v>
      </c>
      <c r="X24" s="111">
        <f ca="1">OFFSET(IND!AG$28,$E24,0)</f>
        <v>0.65996325452075821</v>
      </c>
      <c r="Y24" s="111">
        <f ca="1">OFFSET(IND!AH$28,$E24,0)</f>
        <v>0.68382101451485267</v>
      </c>
      <c r="Z24" s="111">
        <f ca="1">OFFSET(IND!AI$28,$E24,0)</f>
        <v>0.69832916242694287</v>
      </c>
      <c r="AA24" s="111">
        <f ca="1">OFFSET(IND!AJ$28,$E24,0)</f>
        <v>0.71213294464530486</v>
      </c>
      <c r="AB24" s="111">
        <f ca="1">OFFSET(IND!AK$28,$E24,0)</f>
        <v>0.7257354373950301</v>
      </c>
      <c r="AC24" s="111">
        <f ca="1">OFFSET(IND!AL$28,$E24,0)</f>
        <v>0.74026632903939804</v>
      </c>
      <c r="AD24" s="111">
        <f ca="1">OFFSET(IND!AM$28,$E24,0)</f>
        <v>0.75474336802130537</v>
      </c>
      <c r="AE24" s="111">
        <f ca="1">OFFSET(IND!AN$28,$E24,0)</f>
        <v>0.83305171847148152</v>
      </c>
      <c r="AF24" s="111">
        <f ca="1">OFFSET(IND!AO$28,$E24,0)</f>
        <v>0.92407390854853255</v>
      </c>
      <c r="AG24" s="111">
        <f ca="1">OFFSET(IND!AP$28,$E24,0)</f>
        <v>1.037209247588019</v>
      </c>
      <c r="AH24" s="111">
        <f ca="1">OFFSET(IND!AQ$28,$E24,0)</f>
        <v>1.1614468333387715</v>
      </c>
      <c r="AJ24">
        <f t="shared" ca="1" si="1"/>
        <v>2.4274487387531174</v>
      </c>
    </row>
    <row r="25" spans="1:36" ht="15">
      <c r="A25" s="31" t="s">
        <v>309</v>
      </c>
      <c r="B25">
        <v>1.432656898094</v>
      </c>
      <c r="C25" t="s">
        <v>731</v>
      </c>
      <c r="D25" t="s">
        <v>272</v>
      </c>
      <c r="E25" s="114">
        <f>MATCH(F25,IND!$D$29:$D$137,0)</f>
        <v>91</v>
      </c>
      <c r="F25" t="str">
        <f t="shared" si="0"/>
        <v>IFBH</v>
      </c>
      <c r="G25" s="111">
        <f ca="1">OFFSET(IND!P$28,$E25,0)</f>
        <v>0.80740800000000001</v>
      </c>
      <c r="H25" s="111">
        <f ca="1">OFFSET(IND!Q$28,$E25,0)</f>
        <v>0.81888769763645664</v>
      </c>
      <c r="I25" s="111">
        <f ca="1">OFFSET(IND!R$28,$E25,0)</f>
        <v>0.8162439357487129</v>
      </c>
      <c r="J25" s="176">
        <f ca="1">OFFSET(IND!S$28,$E25,0)</f>
        <v>0.80388775661311962</v>
      </c>
      <c r="K25" s="111">
        <f ca="1">OFFSET(IND!T$28,$E25,0)</f>
        <v>0.87877009863768518</v>
      </c>
      <c r="L25" s="111">
        <f ca="1">OFFSET(IND!U$28,$E25,0)</f>
        <v>0.91916954185326916</v>
      </c>
      <c r="M25" s="111">
        <f ca="1">OFFSET(IND!V$28,$E25,0)</f>
        <v>0.92620380496092247</v>
      </c>
      <c r="N25" s="111">
        <f ca="1">OFFSET(IND!W$28,$E25,0)</f>
        <v>0.93523804487991269</v>
      </c>
      <c r="O25" s="176">
        <f ca="1">OFFSET(IND!X$28,$E25,0)</f>
        <v>0.93116734803127488</v>
      </c>
      <c r="P25" s="111">
        <f ca="1">OFFSET(IND!Y$28,$E25,0)</f>
        <v>0.92953290659346122</v>
      </c>
      <c r="Q25" s="111">
        <f ca="1">OFFSET(IND!Z$28,$E25,0)</f>
        <v>0.94296412350511849</v>
      </c>
      <c r="R25" s="111">
        <f ca="1">OFFSET(IND!AA$28,$E25,0)</f>
        <v>0.95889682655932851</v>
      </c>
      <c r="S25" s="111">
        <f ca="1">OFFSET(IND!AB$28,$E25,0)</f>
        <v>0.97480943255306174</v>
      </c>
      <c r="T25" s="111">
        <f ca="1">OFFSET(IND!AC$28,$E25,0)</f>
        <v>1.0011883831685588</v>
      </c>
      <c r="U25" s="111">
        <f ca="1">OFFSET(IND!AD$28,$E25,0)</f>
        <v>1.0291273254087765</v>
      </c>
      <c r="V25" s="111">
        <f ca="1">OFFSET(IND!AE$28,$E25,0)</f>
        <v>1.056731644258637</v>
      </c>
      <c r="W25" s="111">
        <f ca="1">OFFSET(IND!AF$28,$E25,0)</f>
        <v>1.0841304666116633</v>
      </c>
      <c r="X25" s="111">
        <f ca="1">OFFSET(IND!AG$28,$E25,0)</f>
        <v>1.1136879920037794</v>
      </c>
      <c r="Y25" s="111">
        <f ca="1">OFFSET(IND!AH$28,$E25,0)</f>
        <v>1.1539479619938138</v>
      </c>
      <c r="Z25" s="111">
        <f ca="1">OFFSET(IND!AI$28,$E25,0)</f>
        <v>1.1784304615954659</v>
      </c>
      <c r="AA25" s="111">
        <f ca="1">OFFSET(IND!AJ$28,$E25,0)</f>
        <v>1.2017243440889518</v>
      </c>
      <c r="AB25" s="111">
        <f ca="1">OFFSET(IND!AK$28,$E25,0)</f>
        <v>1.2246785506041131</v>
      </c>
      <c r="AC25" s="111">
        <f ca="1">OFFSET(IND!AL$28,$E25,0)</f>
        <v>1.2491994302539842</v>
      </c>
      <c r="AD25" s="111">
        <f ca="1">OFFSET(IND!AM$28,$E25,0)</f>
        <v>1.2736294335359528</v>
      </c>
      <c r="AE25" s="111">
        <f ca="1">OFFSET(IND!AN$28,$E25,0)</f>
        <v>1.4057747749206251</v>
      </c>
      <c r="AF25" s="111">
        <f ca="1">OFFSET(IND!AO$28,$E25,0)</f>
        <v>1.5593747206756488</v>
      </c>
      <c r="AG25" s="111">
        <f ca="1">OFFSET(IND!AP$28,$E25,0)</f>
        <v>1.7502906053047824</v>
      </c>
      <c r="AH25" s="111">
        <f ca="1">OFFSET(IND!AQ$28,$E25,0)</f>
        <v>1.9599415312591772</v>
      </c>
      <c r="AJ25">
        <f t="shared" ca="1" si="1"/>
        <v>2.4274487387531178</v>
      </c>
    </row>
    <row r="26" spans="1:36" ht="15">
      <c r="A26" s="31" t="s">
        <v>310</v>
      </c>
      <c r="B26">
        <v>1.857147830862</v>
      </c>
      <c r="C26" t="s">
        <v>731</v>
      </c>
      <c r="D26" t="s">
        <v>272</v>
      </c>
      <c r="E26" s="114">
        <f>MATCH(F26,IND!$D$29:$D$137,0)</f>
        <v>87</v>
      </c>
      <c r="F26" t="str">
        <f t="shared" si="0"/>
        <v>IFBK</v>
      </c>
      <c r="G26" s="111">
        <f ca="1">OFFSET(IND!P$28,$E26,0)</f>
        <v>1.04664</v>
      </c>
      <c r="H26" s="111">
        <f ca="1">OFFSET(IND!Q$28,$E26,0)</f>
        <v>1.0615210895287399</v>
      </c>
      <c r="I26" s="111">
        <f ca="1">OFFSET(IND!R$28,$E26,0)</f>
        <v>1.0580939907853684</v>
      </c>
      <c r="J26" s="176">
        <f ca="1">OFFSET(IND!S$28,$E26,0)</f>
        <v>1.0420767215355253</v>
      </c>
      <c r="K26" s="111">
        <f ca="1">OFFSET(IND!T$28,$E26,0)</f>
        <v>1.1391464241599623</v>
      </c>
      <c r="L26" s="111">
        <f ca="1">OFFSET(IND!U$28,$E26,0)</f>
        <v>1.1915160727727563</v>
      </c>
      <c r="M26" s="111">
        <f ca="1">OFFSET(IND!V$28,$E26,0)</f>
        <v>1.200634561986381</v>
      </c>
      <c r="N26" s="111">
        <f ca="1">OFFSET(IND!W$28,$E26,0)</f>
        <v>1.2123456137332203</v>
      </c>
      <c r="O26" s="176">
        <f ca="1">OFFSET(IND!X$28,$E26,0)</f>
        <v>1.2070687844849861</v>
      </c>
      <c r="P26" s="111">
        <f ca="1">OFFSET(IND!Y$28,$E26,0)</f>
        <v>1.2049500641026352</v>
      </c>
      <c r="Q26" s="111">
        <f ca="1">OFFSET(IND!Z$28,$E26,0)</f>
        <v>1.2223609008399687</v>
      </c>
      <c r="R26" s="111">
        <f ca="1">OFFSET(IND!AA$28,$E26,0)</f>
        <v>1.2430144047991298</v>
      </c>
      <c r="S26" s="111">
        <f ca="1">OFFSET(IND!AB$28,$E26,0)</f>
        <v>1.2636418570132284</v>
      </c>
      <c r="T26" s="111">
        <f ca="1">OFFSET(IND!AC$28,$E26,0)</f>
        <v>1.2978367929962802</v>
      </c>
      <c r="U26" s="111">
        <f ca="1">OFFSET(IND!AD$28,$E26,0)</f>
        <v>1.3340539403447105</v>
      </c>
      <c r="V26" s="111">
        <f ca="1">OFFSET(IND!AE$28,$E26,0)</f>
        <v>1.3698373166315665</v>
      </c>
      <c r="W26" s="111">
        <f ca="1">OFFSET(IND!AF$28,$E26,0)</f>
        <v>1.4053543085706748</v>
      </c>
      <c r="X26" s="111">
        <f ca="1">OFFSET(IND!AG$28,$E26,0)</f>
        <v>1.4436696192641585</v>
      </c>
      <c r="Y26" s="111">
        <f ca="1">OFFSET(IND!AH$28,$E26,0)</f>
        <v>1.49585846925124</v>
      </c>
      <c r="Z26" s="111">
        <f ca="1">OFFSET(IND!AI$28,$E26,0)</f>
        <v>1.5275950428089373</v>
      </c>
      <c r="AA26" s="111">
        <f ca="1">OFFSET(IND!AJ$28,$E26,0)</f>
        <v>1.5577908164116043</v>
      </c>
      <c r="AB26" s="111">
        <f ca="1">OFFSET(IND!AK$28,$E26,0)</f>
        <v>1.5875462693016285</v>
      </c>
      <c r="AC26" s="111">
        <f ca="1">OFFSET(IND!AL$28,$E26,0)</f>
        <v>1.6193325947736834</v>
      </c>
      <c r="AD26" s="111">
        <f ca="1">OFFSET(IND!AM$28,$E26,0)</f>
        <v>1.6510011175466057</v>
      </c>
      <c r="AE26" s="111">
        <f ca="1">OFFSET(IND!AN$28,$E26,0)</f>
        <v>1.8223006341563659</v>
      </c>
      <c r="AF26" s="111">
        <f ca="1">OFFSET(IND!AO$28,$E26,0)</f>
        <v>2.0214116749499151</v>
      </c>
      <c r="AG26" s="111">
        <f ca="1">OFFSET(IND!AP$28,$E26,0)</f>
        <v>2.268895229098792</v>
      </c>
      <c r="AH26" s="111">
        <f ca="1">OFFSET(IND!AQ$28,$E26,0)</f>
        <v>2.5406649479285632</v>
      </c>
      <c r="AJ26">
        <f t="shared" ca="1" si="1"/>
        <v>2.4274487387531178</v>
      </c>
    </row>
    <row r="27" spans="1:36" ht="15">
      <c r="A27" s="31" t="s">
        <v>311</v>
      </c>
      <c r="B27">
        <v>0.39796024947059999</v>
      </c>
      <c r="C27" t="s">
        <v>731</v>
      </c>
      <c r="D27" t="s">
        <v>272</v>
      </c>
      <c r="E27" s="114">
        <f>MATCH(F27,IND!$D$29:$D$137,0)</f>
        <v>89</v>
      </c>
      <c r="F27" t="str">
        <f t="shared" si="0"/>
        <v>IFBL</v>
      </c>
      <c r="G27" s="111">
        <f ca="1">OFFSET(IND!P$28,$E27,0)</f>
        <v>0.22428000000000001</v>
      </c>
      <c r="H27" s="111">
        <f ca="1">OFFSET(IND!Q$28,$E27,0)</f>
        <v>0.22746880489901572</v>
      </c>
      <c r="I27" s="111">
        <f ca="1">OFFSET(IND!R$28,$E27,0)</f>
        <v>0.22673442659686469</v>
      </c>
      <c r="J27" s="176">
        <f ca="1">OFFSET(IND!S$28,$E27,0)</f>
        <v>0.22330215461475544</v>
      </c>
      <c r="K27" s="111">
        <f ca="1">OFFSET(IND!T$28,$E27,0)</f>
        <v>0.24410280517713476</v>
      </c>
      <c r="L27" s="111">
        <f ca="1">OFFSET(IND!U$28,$E27,0)</f>
        <v>0.2553248727370192</v>
      </c>
      <c r="M27" s="111">
        <f ca="1">OFFSET(IND!V$28,$E27,0)</f>
        <v>0.25727883471136737</v>
      </c>
      <c r="N27" s="111">
        <f ca="1">OFFSET(IND!W$28,$E27,0)</f>
        <v>0.25978834579997578</v>
      </c>
      <c r="O27" s="176">
        <f ca="1">OFFSET(IND!X$28,$E27,0)</f>
        <v>0.25865759667535421</v>
      </c>
      <c r="P27" s="111">
        <f ca="1">OFFSET(IND!Y$28,$E27,0)</f>
        <v>0.25820358516485042</v>
      </c>
      <c r="Q27" s="111">
        <f ca="1">OFFSET(IND!Z$28,$E27,0)</f>
        <v>0.2619344787514219</v>
      </c>
      <c r="R27" s="111">
        <f ca="1">OFFSET(IND!AA$28,$E27,0)</f>
        <v>0.26636022959981359</v>
      </c>
      <c r="S27" s="111">
        <f ca="1">OFFSET(IND!AB$28,$E27,0)</f>
        <v>0.27078039793140612</v>
      </c>
      <c r="T27" s="111">
        <f ca="1">OFFSET(IND!AC$28,$E27,0)</f>
        <v>0.27810788421348864</v>
      </c>
      <c r="U27" s="111">
        <f ca="1">OFFSET(IND!AD$28,$E27,0)</f>
        <v>0.28586870150243798</v>
      </c>
      <c r="V27" s="111">
        <f ca="1">OFFSET(IND!AE$28,$E27,0)</f>
        <v>0.2935365678496214</v>
      </c>
      <c r="W27" s="111">
        <f ca="1">OFFSET(IND!AF$28,$E27,0)</f>
        <v>0.30114735183657321</v>
      </c>
      <c r="X27" s="111">
        <f ca="1">OFFSET(IND!AG$28,$E27,0)</f>
        <v>0.30935777555660543</v>
      </c>
      <c r="Y27" s="111">
        <f ca="1">OFFSET(IND!AH$28,$E27,0)</f>
        <v>0.32054110055383717</v>
      </c>
      <c r="Z27" s="111">
        <f ca="1">OFFSET(IND!AI$28,$E27,0)</f>
        <v>0.32734179488762943</v>
      </c>
      <c r="AA27" s="111">
        <f ca="1">OFFSET(IND!AJ$28,$E27,0)</f>
        <v>0.33381231780248666</v>
      </c>
      <c r="AB27" s="111">
        <f ca="1">OFFSET(IND!AK$28,$E27,0)</f>
        <v>0.3401884862789204</v>
      </c>
      <c r="AC27" s="111">
        <f ca="1">OFFSET(IND!AL$28,$E27,0)</f>
        <v>0.34699984173721787</v>
      </c>
      <c r="AD27" s="111">
        <f ca="1">OFFSET(IND!AM$28,$E27,0)</f>
        <v>0.35378595375998689</v>
      </c>
      <c r="AE27" s="111">
        <f ca="1">OFFSET(IND!AN$28,$E27,0)</f>
        <v>0.39049299303350693</v>
      </c>
      <c r="AF27" s="111">
        <f ca="1">OFFSET(IND!AO$28,$E27,0)</f>
        <v>0.43315964463212459</v>
      </c>
      <c r="AG27" s="111">
        <f ca="1">OFFSET(IND!AP$28,$E27,0)</f>
        <v>0.48619183480688394</v>
      </c>
      <c r="AH27" s="111">
        <f ca="1">OFFSET(IND!AQ$28,$E27,0)</f>
        <v>0.54442820312754914</v>
      </c>
      <c r="AJ27">
        <f t="shared" ca="1" si="1"/>
        <v>2.4274487387531174</v>
      </c>
    </row>
    <row r="28" spans="1:36" ht="15">
      <c r="A28" s="31" t="s">
        <v>312</v>
      </c>
      <c r="B28">
        <v>4.45715479407</v>
      </c>
      <c r="C28" t="s">
        <v>731</v>
      </c>
      <c r="D28" t="s">
        <v>272</v>
      </c>
      <c r="E28" s="114">
        <f>MATCH(F28,IND!$D$29:$D$137,0)</f>
        <v>94</v>
      </c>
      <c r="F28" t="str">
        <f t="shared" si="0"/>
        <v>IFBO</v>
      </c>
      <c r="G28" s="111">
        <f ca="1">OFFSET(IND!P$28,$E28,0)</f>
        <v>2.5119359999999999</v>
      </c>
      <c r="H28" s="111">
        <f ca="1">OFFSET(IND!Q$28,$E28,0)</f>
        <v>2.5476506148689761</v>
      </c>
      <c r="I28" s="111">
        <f ca="1">OFFSET(IND!R$28,$E28,0)</f>
        <v>2.5394255778848849</v>
      </c>
      <c r="J28" s="176">
        <f ca="1">OFFSET(IND!S$28,$E28,0)</f>
        <v>2.5009841316852612</v>
      </c>
      <c r="K28" s="111">
        <f ca="1">OFFSET(IND!T$28,$E28,0)</f>
        <v>2.7339514179839095</v>
      </c>
      <c r="L28" s="111">
        <f ca="1">OFFSET(IND!U$28,$E28,0)</f>
        <v>2.8596385746546154</v>
      </c>
      <c r="M28" s="111">
        <f ca="1">OFFSET(IND!V$28,$E28,0)</f>
        <v>2.8815229487673144</v>
      </c>
      <c r="N28" s="111">
        <f ca="1">OFFSET(IND!W$28,$E28,0)</f>
        <v>2.9096294729597285</v>
      </c>
      <c r="O28" s="176">
        <f ca="1">OFFSET(IND!X$28,$E28,0)</f>
        <v>2.8969650827639666</v>
      </c>
      <c r="P28" s="111">
        <f ca="1">OFFSET(IND!Y$28,$E28,0)</f>
        <v>2.8918801538463241</v>
      </c>
      <c r="Q28" s="111">
        <f ca="1">OFFSET(IND!Z$28,$E28,0)</f>
        <v>2.9336661620159248</v>
      </c>
      <c r="R28" s="111">
        <f ca="1">OFFSET(IND!AA$28,$E28,0)</f>
        <v>2.9832345715179116</v>
      </c>
      <c r="S28" s="111">
        <f ca="1">OFFSET(IND!AB$28,$E28,0)</f>
        <v>3.032740456831748</v>
      </c>
      <c r="T28" s="111">
        <f ca="1">OFFSET(IND!AC$28,$E28,0)</f>
        <v>3.1148083031910723</v>
      </c>
      <c r="U28" s="111">
        <f ca="1">OFFSET(IND!AD$28,$E28,0)</f>
        <v>3.2017294568273051</v>
      </c>
      <c r="V28" s="111">
        <f ca="1">OFFSET(IND!AE$28,$E28,0)</f>
        <v>3.2876095599157598</v>
      </c>
      <c r="W28" s="111">
        <f ca="1">OFFSET(IND!AF$28,$E28,0)</f>
        <v>3.3728503405696197</v>
      </c>
      <c r="X28" s="111">
        <f ca="1">OFFSET(IND!AG$28,$E28,0)</f>
        <v>3.4648070862339808</v>
      </c>
      <c r="Y28" s="111">
        <f ca="1">OFFSET(IND!AH$28,$E28,0)</f>
        <v>3.5900603262029764</v>
      </c>
      <c r="Z28" s="111">
        <f ca="1">OFFSET(IND!AI$28,$E28,0)</f>
        <v>3.6662281027414498</v>
      </c>
      <c r="AA28" s="111">
        <f ca="1">OFFSET(IND!AJ$28,$E28,0)</f>
        <v>3.7386979593878507</v>
      </c>
      <c r="AB28" s="111">
        <f ca="1">OFFSET(IND!AK$28,$E28,0)</f>
        <v>3.8101110463239083</v>
      </c>
      <c r="AC28" s="111">
        <f ca="1">OFFSET(IND!AL$28,$E28,0)</f>
        <v>3.8863982274568403</v>
      </c>
      <c r="AD28" s="111">
        <f ca="1">OFFSET(IND!AM$28,$E28,0)</f>
        <v>3.9624026821118536</v>
      </c>
      <c r="AE28" s="111">
        <f ca="1">OFFSET(IND!AN$28,$E28,0)</f>
        <v>4.3735215219752783</v>
      </c>
      <c r="AF28" s="111">
        <f ca="1">OFFSET(IND!AO$28,$E28,0)</f>
        <v>4.8513880198797965</v>
      </c>
      <c r="AG28" s="111">
        <f ca="1">OFFSET(IND!AP$28,$E28,0)</f>
        <v>5.4453485498371013</v>
      </c>
      <c r="AH28" s="111">
        <f ca="1">OFFSET(IND!AQ$28,$E28,0)</f>
        <v>6.0975958750285519</v>
      </c>
      <c r="AJ28">
        <f t="shared" ca="1" si="1"/>
        <v>2.4274487387531178</v>
      </c>
    </row>
    <row r="29" spans="1:36" ht="15">
      <c r="A29" s="31" t="s">
        <v>313</v>
      </c>
      <c r="B29">
        <v>5.9428730587610001</v>
      </c>
      <c r="C29" t="s">
        <v>731</v>
      </c>
      <c r="D29" t="s">
        <v>272</v>
      </c>
      <c r="E29" s="114">
        <f>MATCH(F29,IND!$D$29:$D$137,0)</f>
        <v>92</v>
      </c>
      <c r="F29" t="str">
        <f t="shared" si="0"/>
        <v>IFBP</v>
      </c>
      <c r="G29" s="111">
        <f ca="1">OFFSET(IND!P$28,$E29,0)</f>
        <v>3.3492479999999998</v>
      </c>
      <c r="H29" s="111">
        <f ca="1">OFFSET(IND!Q$28,$E29,0)</f>
        <v>3.3968674864919679</v>
      </c>
      <c r="I29" s="111">
        <f ca="1">OFFSET(IND!R$28,$E29,0)</f>
        <v>3.3859007705131794</v>
      </c>
      <c r="J29" s="176">
        <f ca="1">OFFSET(IND!S$28,$E29,0)</f>
        <v>3.3346455089136815</v>
      </c>
      <c r="K29" s="111">
        <f ca="1">OFFSET(IND!T$28,$E29,0)</f>
        <v>3.6452685573118795</v>
      </c>
      <c r="L29" s="111">
        <f ca="1">OFFSET(IND!U$28,$E29,0)</f>
        <v>3.8128514328728205</v>
      </c>
      <c r="M29" s="111">
        <f ca="1">OFFSET(IND!V$28,$E29,0)</f>
        <v>3.8420305983564194</v>
      </c>
      <c r="N29" s="111">
        <f ca="1">OFFSET(IND!W$28,$E29,0)</f>
        <v>3.879505963946305</v>
      </c>
      <c r="O29" s="176">
        <f ca="1">OFFSET(IND!X$28,$E29,0)</f>
        <v>3.8626201103519557</v>
      </c>
      <c r="P29" s="111">
        <f ca="1">OFFSET(IND!Y$28,$E29,0)</f>
        <v>3.8558402051284326</v>
      </c>
      <c r="Q29" s="111">
        <f ca="1">OFFSET(IND!Z$28,$E29,0)</f>
        <v>3.9115548826878999</v>
      </c>
      <c r="R29" s="111">
        <f ca="1">OFFSET(IND!AA$28,$E29,0)</f>
        <v>3.9776460953572155</v>
      </c>
      <c r="S29" s="111">
        <f ca="1">OFFSET(IND!AB$28,$E29,0)</f>
        <v>4.0436539424423312</v>
      </c>
      <c r="T29" s="111">
        <f ca="1">OFFSET(IND!AC$28,$E29,0)</f>
        <v>4.153077737588097</v>
      </c>
      <c r="U29" s="111">
        <f ca="1">OFFSET(IND!AD$28,$E29,0)</f>
        <v>4.2689726091030735</v>
      </c>
      <c r="V29" s="111">
        <f ca="1">OFFSET(IND!AE$28,$E29,0)</f>
        <v>4.3834794132210124</v>
      </c>
      <c r="W29" s="111">
        <f ca="1">OFFSET(IND!AF$28,$E29,0)</f>
        <v>4.4971337874261588</v>
      </c>
      <c r="X29" s="111">
        <f ca="1">OFFSET(IND!AG$28,$E29,0)</f>
        <v>4.6197427816453072</v>
      </c>
      <c r="Y29" s="111">
        <f ca="1">OFFSET(IND!AH$28,$E29,0)</f>
        <v>4.786747101603968</v>
      </c>
      <c r="Z29" s="111">
        <f ca="1">OFFSET(IND!AI$28,$E29,0)</f>
        <v>4.8883041369885998</v>
      </c>
      <c r="AA29" s="111">
        <f ca="1">OFFSET(IND!AJ$28,$E29,0)</f>
        <v>4.9849306125171342</v>
      </c>
      <c r="AB29" s="111">
        <f ca="1">OFFSET(IND!AK$28,$E29,0)</f>
        <v>5.0801480617652111</v>
      </c>
      <c r="AC29" s="111">
        <f ca="1">OFFSET(IND!AL$28,$E29,0)</f>
        <v>5.1818643032757867</v>
      </c>
      <c r="AD29" s="111">
        <f ca="1">OFFSET(IND!AM$28,$E29,0)</f>
        <v>5.2832035761491376</v>
      </c>
      <c r="AE29" s="111">
        <f ca="1">OFFSET(IND!AN$28,$E29,0)</f>
        <v>5.8313620293003705</v>
      </c>
      <c r="AF29" s="111">
        <f ca="1">OFFSET(IND!AO$28,$E29,0)</f>
        <v>6.4685173598397272</v>
      </c>
      <c r="AG29" s="111">
        <f ca="1">OFFSET(IND!AP$28,$E29,0)</f>
        <v>7.2604647331161329</v>
      </c>
      <c r="AH29" s="111">
        <f ca="1">OFFSET(IND!AQ$28,$E29,0)</f>
        <v>8.1301278333714002</v>
      </c>
      <c r="AJ29">
        <f t="shared" ca="1" si="1"/>
        <v>2.4274487387531174</v>
      </c>
    </row>
    <row r="30" spans="1:36" ht="15">
      <c r="A30" s="31" t="s">
        <v>314</v>
      </c>
      <c r="B30">
        <v>28.205650466129999</v>
      </c>
      <c r="C30" t="s">
        <v>731</v>
      </c>
      <c r="D30" t="s">
        <v>272</v>
      </c>
      <c r="E30" s="114">
        <f>MATCH(F30,IND!$D$29:$D$137,0)</f>
        <v>96</v>
      </c>
      <c r="F30" t="str">
        <f t="shared" si="0"/>
        <v>IFBS</v>
      </c>
      <c r="G30" s="111">
        <f ca="1">OFFSET(IND!P$28,$E30,0)</f>
        <v>40.544747177343801</v>
      </c>
      <c r="H30" s="111">
        <f ca="1">OFFSET(IND!Q$28,$E30,0)</f>
        <v>41.121210921005598</v>
      </c>
      <c r="I30" s="111">
        <f ca="1">OFFSET(IND!R$28,$E30,0)</f>
        <v>40.988451947431315</v>
      </c>
      <c r="J30" s="176">
        <f ca="1">OFFSET(IND!S$28,$E30,0)</f>
        <v>40.367974866289437</v>
      </c>
      <c r="K30" s="111">
        <f ca="1">OFFSET(IND!T$28,$E30,0)</f>
        <v>44.128261642533168</v>
      </c>
      <c r="L30" s="111">
        <f ca="1">OFFSET(IND!U$28,$E30,0)</f>
        <v>46.156957433609442</v>
      </c>
      <c r="M30" s="111">
        <f ca="1">OFFSET(IND!V$28,$E30,0)</f>
        <v>46.510189528509073</v>
      </c>
      <c r="N30" s="111">
        <f ca="1">OFFSET(IND!W$28,$E30,0)</f>
        <v>46.963852327806244</v>
      </c>
      <c r="O30" s="176">
        <f ca="1">OFFSET(IND!X$28,$E30,0)</f>
        <v>46.759438481815579</v>
      </c>
      <c r="P30" s="111">
        <f ca="1">OFFSET(IND!Y$28,$E30,0)</f>
        <v>46.677363477762697</v>
      </c>
      <c r="Q30" s="111">
        <f ca="1">OFFSET(IND!Z$28,$E30,0)</f>
        <v>47.351824585365307</v>
      </c>
      <c r="R30" s="111">
        <f ca="1">OFFSET(IND!AA$28,$E30,0)</f>
        <v>48.151900157052282</v>
      </c>
      <c r="S30" s="111">
        <f ca="1">OFFSET(IND!AB$28,$E30,0)</f>
        <v>48.950966536068343</v>
      </c>
      <c r="T30" s="111">
        <f ca="1">OFFSET(IND!AC$28,$E30,0)</f>
        <v>50.275610190217137</v>
      </c>
      <c r="U30" s="111">
        <f ca="1">OFFSET(IND!AD$28,$E30,0)</f>
        <v>51.678590281487025</v>
      </c>
      <c r="V30" s="111">
        <f ca="1">OFFSET(IND!AE$28,$E30,0)</f>
        <v>53.064766946531684</v>
      </c>
      <c r="W30" s="111">
        <f ca="1">OFFSET(IND!AF$28,$E30,0)</f>
        <v>54.440624412967999</v>
      </c>
      <c r="X30" s="111">
        <f ca="1">OFFSET(IND!AG$28,$E30,0)</f>
        <v>55.924883169645248</v>
      </c>
      <c r="Y30" s="111">
        <f ca="1">OFFSET(IND!AH$28,$E30,0)</f>
        <v>57.946575182374119</v>
      </c>
      <c r="Z30" s="111">
        <f ca="1">OFFSET(IND!AI$28,$E30,0)</f>
        <v>59.175986776782906</v>
      </c>
      <c r="AA30" s="111">
        <f ca="1">OFFSET(IND!AJ$28,$E30,0)</f>
        <v>60.345710852438764</v>
      </c>
      <c r="AB30" s="111">
        <f ca="1">OFFSET(IND!AK$28,$E30,0)</f>
        <v>61.498377781443381</v>
      </c>
      <c r="AC30" s="111">
        <f ca="1">OFFSET(IND!AL$28,$E30,0)</f>
        <v>62.729716665836513</v>
      </c>
      <c r="AD30" s="111">
        <f ca="1">OFFSET(IND!AM$28,$E30,0)</f>
        <v>63.956492108498828</v>
      </c>
      <c r="AE30" s="111">
        <f ca="1">OFFSET(IND!AN$28,$E30,0)</f>
        <v>70.592293905242627</v>
      </c>
      <c r="AF30" s="111">
        <f ca="1">OFFSET(IND!AO$28,$E30,0)</f>
        <v>78.305458708032731</v>
      </c>
      <c r="AG30" s="111">
        <f ca="1">OFFSET(IND!AP$28,$E30,0)</f>
        <v>87.892478250107075</v>
      </c>
      <c r="AH30" s="111">
        <f ca="1">OFFSET(IND!AQ$28,$E30,0)</f>
        <v>98.420295398707239</v>
      </c>
      <c r="AJ30">
        <f t="shared" ca="1" si="1"/>
        <v>2.4274487387531178</v>
      </c>
    </row>
    <row r="31" spans="1:36" ht="15">
      <c r="A31" s="31" t="s">
        <v>315</v>
      </c>
      <c r="B31">
        <v>1.0975498905550001</v>
      </c>
      <c r="C31" t="s">
        <v>731</v>
      </c>
      <c r="D31" t="s">
        <v>272</v>
      </c>
      <c r="E31" s="114">
        <f>MATCH(F31,IND!$D$29:$D$137,0)</f>
        <v>53</v>
      </c>
      <c r="F31" t="str">
        <f t="shared" si="0"/>
        <v>IMIA</v>
      </c>
      <c r="G31" s="111">
        <f ca="1">OFFSET(IND!P$28,$E31,0)</f>
        <v>0.71939570019765298</v>
      </c>
      <c r="H31" s="111">
        <f ca="1">OFFSET(IND!Q$28,$E31,0)</f>
        <v>0.71721143396735521</v>
      </c>
      <c r="I31" s="111">
        <f ca="1">OFFSET(IND!R$28,$E31,0)</f>
        <v>0.70991521323736106</v>
      </c>
      <c r="J31" s="176">
        <f ca="1">OFFSET(IND!S$28,$E31,0)</f>
        <v>0.68333358670962918</v>
      </c>
      <c r="K31" s="111">
        <f ca="1">OFFSET(IND!T$28,$E31,0)</f>
        <v>0.80605318093793976</v>
      </c>
      <c r="L31" s="111">
        <f ca="1">OFFSET(IND!U$28,$E31,0)</f>
        <v>0.75613268622751295</v>
      </c>
      <c r="M31" s="111">
        <f ca="1">OFFSET(IND!V$28,$E31,0)</f>
        <v>0.76082850435428617</v>
      </c>
      <c r="N31" s="111">
        <f ca="1">OFFSET(IND!W$28,$E31,0)</f>
        <v>0.75946010220482874</v>
      </c>
      <c r="O31" s="176">
        <f ca="1">OFFSET(IND!X$28,$E31,0)</f>
        <v>0.76449127423184893</v>
      </c>
      <c r="P31" s="111">
        <f ca="1">OFFSET(IND!Y$28,$E31,0)</f>
        <v>0.77887078911367424</v>
      </c>
      <c r="Q31" s="111">
        <f ca="1">OFFSET(IND!Z$28,$E31,0)</f>
        <v>0.7882196164151043</v>
      </c>
      <c r="R31" s="111">
        <f ca="1">OFFSET(IND!AA$28,$E31,0)</f>
        <v>0.79810169236832751</v>
      </c>
      <c r="S31" s="111">
        <f ca="1">OFFSET(IND!AB$28,$E31,0)</f>
        <v>0.81287464476628923</v>
      </c>
      <c r="T31" s="111">
        <f ca="1">OFFSET(IND!AC$28,$E31,0)</f>
        <v>0.82960486676640666</v>
      </c>
      <c r="U31" s="111">
        <f ca="1">OFFSET(IND!AD$28,$E31,0)</f>
        <v>0.84957653528513266</v>
      </c>
      <c r="V31" s="111">
        <f ca="1">OFFSET(IND!AE$28,$E31,0)</f>
        <v>0.87030494303996009</v>
      </c>
      <c r="W31" s="111">
        <f ca="1">OFFSET(IND!AF$28,$E31,0)</f>
        <v>0.89222593116402094</v>
      </c>
      <c r="X31" s="111">
        <f ca="1">OFFSET(IND!AG$28,$E31,0)</f>
        <v>0.91595116184339143</v>
      </c>
      <c r="Y31" s="111">
        <f ca="1">OFFSET(IND!AH$28,$E31,0)</f>
        <v>0.94748115498293062</v>
      </c>
      <c r="Z31" s="111">
        <f ca="1">OFFSET(IND!AI$28,$E31,0)</f>
        <v>0.96946378497697694</v>
      </c>
      <c r="AA31" s="111">
        <f ca="1">OFFSET(IND!AJ$28,$E31,0)</f>
        <v>0.99152586555899747</v>
      </c>
      <c r="AB31" s="111">
        <f ca="1">OFFSET(IND!AK$28,$E31,0)</f>
        <v>1.0145632146659798</v>
      </c>
      <c r="AC31" s="111">
        <f ca="1">OFFSET(IND!AL$28,$E31,0)</f>
        <v>1.0384717780902764</v>
      </c>
      <c r="AD31" s="111">
        <f ca="1">OFFSET(IND!AM$28,$E31,0)</f>
        <v>1.0653669677057429</v>
      </c>
      <c r="AE31" s="111">
        <f ca="1">OFFSET(IND!AN$28,$E31,0)</f>
        <v>1.193970527993153</v>
      </c>
      <c r="AF31" s="111">
        <f ca="1">OFFSET(IND!AO$28,$E31,0)</f>
        <v>1.3773791660468924</v>
      </c>
      <c r="AG31" s="111">
        <f ca="1">OFFSET(IND!AP$28,$E31,0)</f>
        <v>1.5841069312354576</v>
      </c>
      <c r="AH31" s="111">
        <f ca="1">OFFSET(IND!AQ$28,$E31,0)</f>
        <v>1.7674102570268808</v>
      </c>
      <c r="AJ31">
        <f t="shared" ca="1" si="1"/>
        <v>2.4567984720249054</v>
      </c>
    </row>
    <row r="32" spans="1:36" ht="15">
      <c r="A32" s="31" t="s">
        <v>316</v>
      </c>
      <c r="B32">
        <v>19.17682172608</v>
      </c>
      <c r="C32" t="s">
        <v>731</v>
      </c>
      <c r="D32" t="s">
        <v>272</v>
      </c>
      <c r="E32" s="114">
        <f>MATCH(F32,IND!$D$29:$D$137,0)</f>
        <v>55</v>
      </c>
      <c r="F32" t="str">
        <f t="shared" si="0"/>
        <v>IMIC</v>
      </c>
      <c r="G32" s="111">
        <f ca="1">OFFSET(IND!P$28,$E32,0)</f>
        <v>12.569563545045501</v>
      </c>
      <c r="H32" s="111">
        <f ca="1">OFFSET(IND!Q$28,$E32,0)</f>
        <v>12.531399189637925</v>
      </c>
      <c r="I32" s="111">
        <f ca="1">OFFSET(IND!R$28,$E32,0)</f>
        <v>12.403916762262918</v>
      </c>
      <c r="J32" s="176">
        <f ca="1">OFFSET(IND!S$28,$E32,0)</f>
        <v>11.93947216844731</v>
      </c>
      <c r="K32" s="111">
        <f ca="1">OFFSET(IND!T$28,$E32,0)</f>
        <v>14.083677002381041</v>
      </c>
      <c r="L32" s="111">
        <f ca="1">OFFSET(IND!U$28,$E32,0)</f>
        <v>13.211446559120928</v>
      </c>
      <c r="M32" s="111">
        <f ca="1">OFFSET(IND!V$28,$E32,0)</f>
        <v>13.293493733331498</v>
      </c>
      <c r="N32" s="111">
        <f ca="1">OFFSET(IND!W$28,$E32,0)</f>
        <v>13.269584474813472</v>
      </c>
      <c r="O32" s="176">
        <f ca="1">OFFSET(IND!X$28,$E32,0)</f>
        <v>13.357491083766391</v>
      </c>
      <c r="P32" s="111">
        <f ca="1">OFFSET(IND!Y$28,$E32,0)</f>
        <v>13.608735601914569</v>
      </c>
      <c r="Q32" s="111">
        <f ca="1">OFFSET(IND!Z$28,$E32,0)</f>
        <v>13.772081975551075</v>
      </c>
      <c r="R32" s="111">
        <f ca="1">OFFSET(IND!AA$28,$E32,0)</f>
        <v>13.944745478567395</v>
      </c>
      <c r="S32" s="111">
        <f ca="1">OFFSET(IND!AB$28,$E32,0)</f>
        <v>14.202864291152865</v>
      </c>
      <c r="T32" s="111">
        <f ca="1">OFFSET(IND!AC$28,$E32,0)</f>
        <v>14.495181285117964</v>
      </c>
      <c r="U32" s="111">
        <f ca="1">OFFSET(IND!AD$28,$E32,0)</f>
        <v>14.844134102708811</v>
      </c>
      <c r="V32" s="111">
        <f ca="1">OFFSET(IND!AE$28,$E32,0)</f>
        <v>15.206308964735832</v>
      </c>
      <c r="W32" s="111">
        <f ca="1">OFFSET(IND!AF$28,$E32,0)</f>
        <v>15.58932105824691</v>
      </c>
      <c r="X32" s="111">
        <f ca="1">OFFSET(IND!AG$28,$E32,0)</f>
        <v>16.003857584616576</v>
      </c>
      <c r="Y32" s="111">
        <f ca="1">OFFSET(IND!AH$28,$E32,0)</f>
        <v>16.554761978725963</v>
      </c>
      <c r="Z32" s="111">
        <f ca="1">OFFSET(IND!AI$28,$E32,0)</f>
        <v>16.938851103141737</v>
      </c>
      <c r="AA32" s="111">
        <f ca="1">OFFSET(IND!AJ$28,$E32,0)</f>
        <v>17.324328419360654</v>
      </c>
      <c r="AB32" s="111">
        <f ca="1">OFFSET(IND!AK$28,$E32,0)</f>
        <v>17.726846009374121</v>
      </c>
      <c r="AC32" s="111">
        <f ca="1">OFFSET(IND!AL$28,$E32,0)</f>
        <v>18.144585797295957</v>
      </c>
      <c r="AD32" s="111">
        <f ca="1">OFFSET(IND!AM$28,$E32,0)</f>
        <v>18.614509088239693</v>
      </c>
      <c r="AE32" s="111">
        <f ca="1">OFFSET(IND!AN$28,$E32,0)</f>
        <v>20.861520882593705</v>
      </c>
      <c r="AF32" s="111">
        <f ca="1">OFFSET(IND!AO$28,$E32,0)</f>
        <v>24.066108469221383</v>
      </c>
      <c r="AG32" s="111">
        <f ca="1">OFFSET(IND!AP$28,$E32,0)</f>
        <v>27.678136981970329</v>
      </c>
      <c r="AH32" s="111">
        <f ca="1">OFFSET(IND!AQ$28,$E32,0)</f>
        <v>30.880884511487725</v>
      </c>
      <c r="AJ32">
        <f t="shared" ca="1" si="1"/>
        <v>2.4567984720249041</v>
      </c>
    </row>
    <row r="33" spans="1:36" ht="15">
      <c r="A33" s="31" t="s">
        <v>317</v>
      </c>
      <c r="B33">
        <v>0.20646280210080001</v>
      </c>
      <c r="C33" t="s">
        <v>731</v>
      </c>
      <c r="D33" t="s">
        <v>272</v>
      </c>
      <c r="E33" s="114">
        <f>MATCH(F33,IND!$D$29:$D$137,0)</f>
        <v>60</v>
      </c>
      <c r="F33" t="str">
        <f t="shared" si="0"/>
        <v>IMIE</v>
      </c>
      <c r="G33" s="111">
        <f ca="1">OFFSET(IND!P$28,$E33,0)</f>
        <v>0.13532728977530001</v>
      </c>
      <c r="H33" s="111">
        <f ca="1">OFFSET(IND!Q$28,$E33,0)</f>
        <v>0.13491640209691566</v>
      </c>
      <c r="I33" s="111">
        <f ca="1">OFFSET(IND!R$28,$E33,0)</f>
        <v>0.13354389211844181</v>
      </c>
      <c r="J33" s="176">
        <f ca="1">OFFSET(IND!S$28,$E33,0)</f>
        <v>0.12854355715003868</v>
      </c>
      <c r="K33" s="111">
        <f ca="1">OFFSET(IND!T$28,$E33,0)</f>
        <v>0.15162864104014115</v>
      </c>
      <c r="L33" s="111">
        <f ca="1">OFFSET(IND!U$28,$E33,0)</f>
        <v>0.14223797432980612</v>
      </c>
      <c r="M33" s="111">
        <f ca="1">OFFSET(IND!V$28,$E33,0)</f>
        <v>0.14312131619604102</v>
      </c>
      <c r="N33" s="111">
        <f ca="1">OFFSET(IND!W$28,$E33,0)</f>
        <v>0.14286390271114266</v>
      </c>
      <c r="O33" s="176">
        <f ca="1">OFFSET(IND!X$28,$E33,0)</f>
        <v>0.14381032882214512</v>
      </c>
      <c r="P33" s="111">
        <f ca="1">OFFSET(IND!Y$28,$E33,0)</f>
        <v>0.14651529463818541</v>
      </c>
      <c r="Q33" s="111">
        <f ca="1">OFFSET(IND!Z$28,$E33,0)</f>
        <v>0.14827392547366616</v>
      </c>
      <c r="R33" s="111">
        <f ca="1">OFFSET(IND!AA$28,$E33,0)</f>
        <v>0.15013286702104536</v>
      </c>
      <c r="S33" s="111">
        <f ca="1">OFFSET(IND!AB$28,$E33,0)</f>
        <v>0.1529118433333119</v>
      </c>
      <c r="T33" s="111">
        <f ca="1">OFFSET(IND!AC$28,$E33,0)</f>
        <v>0.15605900643144127</v>
      </c>
      <c r="U33" s="111">
        <f ca="1">OFFSET(IND!AD$28,$E33,0)</f>
        <v>0.15981592598515462</v>
      </c>
      <c r="V33" s="111">
        <f ca="1">OFFSET(IND!AE$28,$E33,0)</f>
        <v>0.16371519761278239</v>
      </c>
      <c r="W33" s="111">
        <f ca="1">OFFSET(IND!AF$28,$E33,0)</f>
        <v>0.16783880845895599</v>
      </c>
      <c r="X33" s="111">
        <f ca="1">OFFSET(IND!AG$28,$E33,0)</f>
        <v>0.172301819797849</v>
      </c>
      <c r="Y33" s="111">
        <f ca="1">OFFSET(IND!AH$28,$E33,0)</f>
        <v>0.17823300414748486</v>
      </c>
      <c r="Z33" s="111">
        <f ca="1">OFFSET(IND!AI$28,$E33,0)</f>
        <v>0.18236821059702324</v>
      </c>
      <c r="AA33" s="111">
        <f ca="1">OFFSET(IND!AJ$28,$E33,0)</f>
        <v>0.18651836269155039</v>
      </c>
      <c r="AB33" s="111">
        <f ca="1">OFFSET(IND!AK$28,$E33,0)</f>
        <v>0.19085197494055156</v>
      </c>
      <c r="AC33" s="111">
        <f ca="1">OFFSET(IND!AL$28,$E33,0)</f>
        <v>0.19534947345179091</v>
      </c>
      <c r="AD33" s="111">
        <f ca="1">OFFSET(IND!AM$28,$E33,0)</f>
        <v>0.20040879354176905</v>
      </c>
      <c r="AE33" s="111">
        <f ca="1">OFFSET(IND!AN$28,$E33,0)</f>
        <v>0.22460072472007328</v>
      </c>
      <c r="AF33" s="111">
        <f ca="1">OFFSET(IND!AO$28,$E33,0)</f>
        <v>0.25910217350878884</v>
      </c>
      <c r="AG33" s="111">
        <f ca="1">OFFSET(IND!AP$28,$E33,0)</f>
        <v>0.29799024050249873</v>
      </c>
      <c r="AH33" s="111">
        <f ca="1">OFFSET(IND!AQ$28,$E33,0)</f>
        <v>0.33247187874322881</v>
      </c>
      <c r="AJ33">
        <f t="shared" ca="1" si="1"/>
        <v>2.4567984720249063</v>
      </c>
    </row>
    <row r="34" spans="1:36" ht="15">
      <c r="A34" s="31" t="s">
        <v>318</v>
      </c>
      <c r="B34">
        <v>6.5077475668130003</v>
      </c>
      <c r="C34" t="s">
        <v>731</v>
      </c>
      <c r="D34" t="s">
        <v>272</v>
      </c>
      <c r="E34" s="114">
        <f>MATCH(F34,IND!$D$29:$D$137,0)</f>
        <v>58</v>
      </c>
      <c r="F34" t="str">
        <f t="shared" si="0"/>
        <v>IMIF</v>
      </c>
      <c r="G34" s="111">
        <f ca="1">OFFSET(IND!P$28,$E34,0)</f>
        <v>4.2655424211891404</v>
      </c>
      <c r="H34" s="111">
        <f ca="1">OFFSET(IND!Q$28,$E34,0)</f>
        <v>4.2525911618725418</v>
      </c>
      <c r="I34" s="111">
        <f ca="1">OFFSET(IND!R$28,$E34,0)</f>
        <v>4.2093293811451913</v>
      </c>
      <c r="J34" s="176">
        <f ca="1">OFFSET(IND!S$28,$E34,0)</f>
        <v>4.0517178530986726</v>
      </c>
      <c r="K34" s="111">
        <f ca="1">OFFSET(IND!T$28,$E34,0)</f>
        <v>4.7793641747936109</v>
      </c>
      <c r="L34" s="111">
        <f ca="1">OFFSET(IND!U$28,$E34,0)</f>
        <v>4.4833685387124262</v>
      </c>
      <c r="M34" s="111">
        <f ca="1">OFFSET(IND!V$28,$E34,0)</f>
        <v>4.5112116456651599</v>
      </c>
      <c r="N34" s="111">
        <f ca="1">OFFSET(IND!W$28,$E34,0)</f>
        <v>4.5030979226944039</v>
      </c>
      <c r="O34" s="176">
        <f ca="1">OFFSET(IND!X$28,$E34,0)</f>
        <v>4.5329294572777474</v>
      </c>
      <c r="P34" s="111">
        <f ca="1">OFFSET(IND!Y$28,$E34,0)</f>
        <v>4.6181905044423255</v>
      </c>
      <c r="Q34" s="111">
        <f ca="1">OFFSET(IND!Z$28,$E34,0)</f>
        <v>4.6736228894727958</v>
      </c>
      <c r="R34" s="111">
        <f ca="1">OFFSET(IND!AA$28,$E34,0)</f>
        <v>4.7322170875981184</v>
      </c>
      <c r="S34" s="111">
        <f ca="1">OFFSET(IND!AB$28,$E34,0)</f>
        <v>4.81981095995849</v>
      </c>
      <c r="T34" s="111">
        <f ca="1">OFFSET(IND!AC$28,$E34,0)</f>
        <v>4.9190101512211095</v>
      </c>
      <c r="U34" s="111">
        <f ca="1">OFFSET(IND!AD$28,$E34,0)</f>
        <v>5.0374289842293516</v>
      </c>
      <c r="V34" s="111">
        <f ca="1">OFFSET(IND!AE$28,$E34,0)</f>
        <v>5.1603347822173431</v>
      </c>
      <c r="W34" s="111">
        <f ca="1">OFFSET(IND!AF$28,$E34,0)</f>
        <v>5.2903117958857244</v>
      </c>
      <c r="X34" s="111">
        <f ca="1">OFFSET(IND!AG$28,$E34,0)</f>
        <v>5.4309867789132129</v>
      </c>
      <c r="Y34" s="111">
        <f ca="1">OFFSET(IND!AH$28,$E34,0)</f>
        <v>5.6179388599995406</v>
      </c>
      <c r="Z34" s="111">
        <f ca="1">OFFSET(IND!AI$28,$E34,0)</f>
        <v>5.7482813693350101</v>
      </c>
      <c r="AA34" s="111">
        <f ca="1">OFFSET(IND!AJ$28,$E34,0)</f>
        <v>5.8790949682993157</v>
      </c>
      <c r="AB34" s="111">
        <f ca="1">OFFSET(IND!AK$28,$E34,0)</f>
        <v>6.0156912669157485</v>
      </c>
      <c r="AC34" s="111">
        <f ca="1">OFFSET(IND!AL$28,$E34,0)</f>
        <v>6.1574532923045693</v>
      </c>
      <c r="AD34" s="111">
        <f ca="1">OFFSET(IND!AM$28,$E34,0)</f>
        <v>6.3169240428236204</v>
      </c>
      <c r="AE34" s="111">
        <f ca="1">OFFSET(IND!AN$28,$E34,0)</f>
        <v>7.0794584057217929</v>
      </c>
      <c r="AF34" s="111">
        <f ca="1">OFFSET(IND!AO$28,$E34,0)</f>
        <v>8.1669507632877387</v>
      </c>
      <c r="AG34" s="111">
        <f ca="1">OFFSET(IND!AP$28,$E34,0)</f>
        <v>9.3927101774838171</v>
      </c>
      <c r="AH34" s="111">
        <f ca="1">OFFSET(IND!AQ$28,$E34,0)</f>
        <v>10.479578102734894</v>
      </c>
      <c r="AJ34">
        <f t="shared" ca="1" si="1"/>
        <v>2.456798472024905</v>
      </c>
    </row>
    <row r="35" spans="1:36" ht="15">
      <c r="A35" s="31" t="s">
        <v>319</v>
      </c>
      <c r="B35">
        <v>8.5041886448849997</v>
      </c>
      <c r="C35" t="s">
        <v>731</v>
      </c>
      <c r="D35" t="s">
        <v>272</v>
      </c>
      <c r="E35" s="114">
        <f>MATCH(F35,IND!$D$29:$D$137,0)</f>
        <v>56</v>
      </c>
      <c r="F35" t="str">
        <f t="shared" si="0"/>
        <v>IMIH</v>
      </c>
      <c r="G35" s="111">
        <f ca="1">OFFSET(IND!P$28,$E35,0)</f>
        <v>5.5741217756416299</v>
      </c>
      <c r="H35" s="111">
        <f ca="1">OFFSET(IND!Q$28,$E35,0)</f>
        <v>5.5571973403763701</v>
      </c>
      <c r="I35" s="111">
        <f ca="1">OFFSET(IND!R$28,$E35,0)</f>
        <v>5.5006637485856853</v>
      </c>
      <c r="J35" s="176">
        <f ca="1">OFFSET(IND!S$28,$E35,0)</f>
        <v>5.2947002945095845</v>
      </c>
      <c r="K35" s="111">
        <f ca="1">OFFSET(IND!T$28,$E35,0)</f>
        <v>6.2455733151545347</v>
      </c>
      <c r="L35" s="111">
        <f ca="1">OFFSET(IND!U$28,$E35,0)</f>
        <v>5.8587723980240307</v>
      </c>
      <c r="M35" s="111">
        <f ca="1">OFFSET(IND!V$28,$E35,0)</f>
        <v>5.8951571888529273</v>
      </c>
      <c r="N35" s="111">
        <f ca="1">OFFSET(IND!W$28,$E35,0)</f>
        <v>5.8845543450813702</v>
      </c>
      <c r="O35" s="176">
        <f ca="1">OFFSET(IND!X$28,$E35,0)</f>
        <v>5.9235375716215168</v>
      </c>
      <c r="P35" s="111">
        <f ca="1">OFFSET(IND!Y$28,$E35,0)</f>
        <v>6.0349549278886219</v>
      </c>
      <c r="Q35" s="111">
        <f ca="1">OFFSET(IND!Z$28,$E35,0)</f>
        <v>6.1073928112722689</v>
      </c>
      <c r="R35" s="111">
        <f ca="1">OFFSET(IND!AA$28,$E35,0)</f>
        <v>6.1839624859926925</v>
      </c>
      <c r="S35" s="111">
        <f ca="1">OFFSET(IND!AB$28,$E35,0)</f>
        <v>6.2984283295185453</v>
      </c>
      <c r="T35" s="111">
        <f ca="1">OFFSET(IND!AC$28,$E35,0)</f>
        <v>6.4280597614781074</v>
      </c>
      <c r="U35" s="111">
        <f ca="1">OFFSET(IND!AD$28,$E35,0)</f>
        <v>6.5828070199834618</v>
      </c>
      <c r="V35" s="111">
        <f ca="1">OFFSET(IND!AE$28,$E35,0)</f>
        <v>6.7434177506408979</v>
      </c>
      <c r="W35" s="111">
        <f ca="1">OFFSET(IND!AF$28,$E35,0)</f>
        <v>6.9132689983093751</v>
      </c>
      <c r="X35" s="111">
        <f ca="1">OFFSET(IND!AG$28,$E35,0)</f>
        <v>7.0971001289731603</v>
      </c>
      <c r="Y35" s="111">
        <f ca="1">OFFSET(IND!AH$28,$E35,0)</f>
        <v>7.3414052051595329</v>
      </c>
      <c r="Z35" s="111">
        <f ca="1">OFFSET(IND!AI$28,$E35,0)</f>
        <v>7.5117340749345685</v>
      </c>
      <c r="AA35" s="111">
        <f ca="1">OFFSET(IND!AJ$28,$E35,0)</f>
        <v>7.682678554800674</v>
      </c>
      <c r="AB35" s="111">
        <f ca="1">OFFSET(IND!AK$28,$E35,0)</f>
        <v>7.861179745835047</v>
      </c>
      <c r="AC35" s="111">
        <f ca="1">OFFSET(IND!AL$28,$E35,0)</f>
        <v>8.0464314007602358</v>
      </c>
      <c r="AD35" s="111">
        <f ca="1">OFFSET(IND!AM$28,$E35,0)</f>
        <v>8.2548244479446886</v>
      </c>
      <c r="AE35" s="111">
        <f ca="1">OFFSET(IND!AN$28,$E35,0)</f>
        <v>9.2512884324057278</v>
      </c>
      <c r="AF35" s="111">
        <f ca="1">OFFSET(IND!AO$28,$E35,0)</f>
        <v>10.672400739492405</v>
      </c>
      <c r="AG35" s="111">
        <f ca="1">OFFSET(IND!AP$28,$E35,0)</f>
        <v>12.274197549301958</v>
      </c>
      <c r="AH35" s="111">
        <f ca="1">OFFSET(IND!AQ$28,$E35,0)</f>
        <v>13.694493861277103</v>
      </c>
      <c r="AJ35">
        <f t="shared" ca="1" si="1"/>
        <v>2.4567984720249041</v>
      </c>
    </row>
    <row r="36" spans="1:36" ht="15">
      <c r="A36" s="31" t="s">
        <v>320</v>
      </c>
      <c r="B36">
        <v>2.3622746235790002</v>
      </c>
      <c r="C36" t="s">
        <v>731</v>
      </c>
      <c r="D36" t="s">
        <v>272</v>
      </c>
      <c r="E36" s="114">
        <f>MATCH(F36,IND!$D$29:$D$137,0)</f>
        <v>52</v>
      </c>
      <c r="F36" t="str">
        <f t="shared" si="0"/>
        <v>IMIK</v>
      </c>
      <c r="G36" s="111">
        <f ca="1">OFFSET(IND!P$28,$E36,0)</f>
        <v>1.54836715990045</v>
      </c>
      <c r="H36" s="111">
        <f ca="1">OFFSET(IND!Q$28,$E36,0)</f>
        <v>1.5436659278823224</v>
      </c>
      <c r="I36" s="111">
        <f ca="1">OFFSET(IND!R$28,$E36,0)</f>
        <v>1.5279621523849098</v>
      </c>
      <c r="J36" s="176">
        <f ca="1">OFFSET(IND!S$28,$E36,0)</f>
        <v>1.4707500818082153</v>
      </c>
      <c r="K36" s="111">
        <f ca="1">OFFSET(IND!T$28,$E36,0)</f>
        <v>1.7348814764318121</v>
      </c>
      <c r="L36" s="111">
        <f ca="1">OFFSET(IND!U$28,$E36,0)</f>
        <v>1.6274367772288947</v>
      </c>
      <c r="M36" s="111">
        <f ca="1">OFFSET(IND!V$28,$E36,0)</f>
        <v>1.6375436635702549</v>
      </c>
      <c r="N36" s="111">
        <f ca="1">OFFSET(IND!W$28,$E36,0)</f>
        <v>1.634598429189267</v>
      </c>
      <c r="O36" s="176">
        <f ca="1">OFFSET(IND!X$28,$E36,0)</f>
        <v>1.6454271032281966</v>
      </c>
      <c r="P36" s="111">
        <f ca="1">OFFSET(IND!Y$28,$E36,0)</f>
        <v>1.6763763688579481</v>
      </c>
      <c r="Q36" s="111">
        <f ca="1">OFFSET(IND!Z$28,$E36,0)</f>
        <v>1.6964980031311832</v>
      </c>
      <c r="R36" s="111">
        <f ca="1">OFFSET(IND!AA$28,$E36,0)</f>
        <v>1.7177673572201897</v>
      </c>
      <c r="S36" s="111">
        <f ca="1">OFFSET(IND!AB$28,$E36,0)</f>
        <v>1.7495634248662597</v>
      </c>
      <c r="T36" s="111">
        <f ca="1">OFFSET(IND!AC$28,$E36,0)</f>
        <v>1.7855721559661379</v>
      </c>
      <c r="U36" s="111">
        <f ca="1">OFFSET(IND!AD$28,$E36,0)</f>
        <v>1.8285575055509586</v>
      </c>
      <c r="V36" s="111">
        <f ca="1">OFFSET(IND!AE$28,$E36,0)</f>
        <v>1.8731715974002463</v>
      </c>
      <c r="W36" s="111">
        <f ca="1">OFFSET(IND!AF$28,$E36,0)</f>
        <v>1.9203524995303789</v>
      </c>
      <c r="X36" s="111">
        <f ca="1">OFFSET(IND!AG$28,$E36,0)</f>
        <v>1.9714167024925413</v>
      </c>
      <c r="Y36" s="111">
        <f ca="1">OFFSET(IND!AH$28,$E36,0)</f>
        <v>2.0392792236554227</v>
      </c>
      <c r="Z36" s="111">
        <f ca="1">OFFSET(IND!AI$28,$E36,0)</f>
        <v>2.0865927985929327</v>
      </c>
      <c r="AA36" s="111">
        <f ca="1">OFFSET(IND!AJ$28,$E36,0)</f>
        <v>2.1340773763335177</v>
      </c>
      <c r="AB36" s="111">
        <f ca="1">OFFSET(IND!AK$28,$E36,0)</f>
        <v>2.1836610405097323</v>
      </c>
      <c r="AC36" s="111">
        <f ca="1">OFFSET(IND!AL$28,$E36,0)</f>
        <v>2.2351198335445073</v>
      </c>
      <c r="AD36" s="111">
        <f ca="1">OFFSET(IND!AM$28,$E36,0)</f>
        <v>2.2930067910957441</v>
      </c>
      <c r="AE36" s="111">
        <f ca="1">OFFSET(IND!AN$28,$E36,0)</f>
        <v>2.5698023423349214</v>
      </c>
      <c r="AF36" s="111">
        <f ca="1">OFFSET(IND!AO$28,$E36,0)</f>
        <v>2.964555760970109</v>
      </c>
      <c r="AG36" s="111">
        <f ca="1">OFFSET(IND!AP$28,$E36,0)</f>
        <v>3.4094993192505401</v>
      </c>
      <c r="AH36" s="111">
        <f ca="1">OFFSET(IND!AQ$28,$E36,0)</f>
        <v>3.8040260725769688</v>
      </c>
      <c r="AJ36">
        <f t="shared" ca="1" si="1"/>
        <v>2.4567984720249059</v>
      </c>
    </row>
    <row r="37" spans="1:36" ht="15">
      <c r="A37" s="31" t="s">
        <v>321</v>
      </c>
      <c r="B37">
        <v>1.594535370916</v>
      </c>
      <c r="C37" t="s">
        <v>731</v>
      </c>
      <c r="D37" t="s">
        <v>272</v>
      </c>
      <c r="E37" s="114">
        <f>MATCH(F37,IND!$D$29:$D$137,0)</f>
        <v>54</v>
      </c>
      <c r="F37" t="str">
        <f t="shared" si="0"/>
        <v>IMIL</v>
      </c>
      <c r="G37" s="111">
        <f ca="1">OFFSET(IND!P$28,$E37,0)</f>
        <v>1.0451478329328101</v>
      </c>
      <c r="H37" s="111">
        <f ca="1">OFFSET(IND!Q$28,$E37,0)</f>
        <v>1.0419745013205739</v>
      </c>
      <c r="I37" s="111">
        <f ca="1">OFFSET(IND!R$28,$E37,0)</f>
        <v>1.0313744528598203</v>
      </c>
      <c r="J37" s="176">
        <f ca="1">OFFSET(IND!S$28,$E37,0)</f>
        <v>0.99275630522055125</v>
      </c>
      <c r="K37" s="111">
        <f ca="1">OFFSET(IND!T$28,$E37,0)</f>
        <v>1.1710449965914802</v>
      </c>
      <c r="L37" s="111">
        <f ca="1">OFFSET(IND!U$28,$E37,0)</f>
        <v>1.0985198246295105</v>
      </c>
      <c r="M37" s="111">
        <f ca="1">OFFSET(IND!V$28,$E37,0)</f>
        <v>1.1053419729099287</v>
      </c>
      <c r="N37" s="111">
        <f ca="1">OFFSET(IND!W$28,$E37,0)</f>
        <v>1.1033539397027619</v>
      </c>
      <c r="O37" s="176">
        <f ca="1">OFFSET(IND!X$28,$E37,0)</f>
        <v>1.1106632946790393</v>
      </c>
      <c r="P37" s="111">
        <f ca="1">OFFSET(IND!Y$28,$E37,0)</f>
        <v>1.1315540489791216</v>
      </c>
      <c r="Q37" s="111">
        <f ca="1">OFFSET(IND!Z$28,$E37,0)</f>
        <v>1.1451361521135555</v>
      </c>
      <c r="R37" s="111">
        <f ca="1">OFFSET(IND!AA$28,$E37,0)</f>
        <v>1.1594929661236351</v>
      </c>
      <c r="S37" s="111">
        <f ca="1">OFFSET(IND!AB$28,$E37,0)</f>
        <v>1.1809553117847325</v>
      </c>
      <c r="T37" s="111">
        <f ca="1">OFFSET(IND!AC$28,$E37,0)</f>
        <v>1.2052612052771503</v>
      </c>
      <c r="U37" s="111">
        <f ca="1">OFFSET(IND!AD$28,$E37,0)</f>
        <v>1.2342763162469044</v>
      </c>
      <c r="V37" s="111">
        <f ca="1">OFFSET(IND!AE$28,$E37,0)</f>
        <v>1.2643908282451737</v>
      </c>
      <c r="W37" s="111">
        <f ca="1">OFFSET(IND!AF$28,$E37,0)</f>
        <v>1.2962379371830133</v>
      </c>
      <c r="X37" s="111">
        <f ca="1">OFFSET(IND!AG$28,$E37,0)</f>
        <v>1.3307062741824731</v>
      </c>
      <c r="Y37" s="111">
        <f ca="1">OFFSET(IND!AH$28,$E37,0)</f>
        <v>1.3765134759674182</v>
      </c>
      <c r="Z37" s="111">
        <f ca="1">OFFSET(IND!AI$28,$E37,0)</f>
        <v>1.4084501390502375</v>
      </c>
      <c r="AA37" s="111">
        <f ca="1">OFFSET(IND!AJ$28,$E37,0)</f>
        <v>1.4405022290251326</v>
      </c>
      <c r="AB37" s="111">
        <f ca="1">OFFSET(IND!AK$28,$E37,0)</f>
        <v>1.4739712023440776</v>
      </c>
      <c r="AC37" s="111">
        <f ca="1">OFFSET(IND!AL$28,$E37,0)</f>
        <v>1.5087058876425508</v>
      </c>
      <c r="AD37" s="111">
        <f ca="1">OFFSET(IND!AM$28,$E37,0)</f>
        <v>1.547779583989636</v>
      </c>
      <c r="AE37" s="111">
        <f ca="1">OFFSET(IND!AN$28,$E37,0)</f>
        <v>1.7346165810760816</v>
      </c>
      <c r="AF37" s="111">
        <f ca="1">OFFSET(IND!AO$28,$E37,0)</f>
        <v>2.0010751386548349</v>
      </c>
      <c r="AG37" s="111">
        <f ca="1">OFFSET(IND!AP$28,$E37,0)</f>
        <v>2.3014120404941276</v>
      </c>
      <c r="AH37" s="111">
        <f ca="1">OFFSET(IND!AQ$28,$E37,0)</f>
        <v>2.5677175989894687</v>
      </c>
      <c r="AJ37">
        <f t="shared" ca="1" si="1"/>
        <v>2.456798472024905</v>
      </c>
    </row>
    <row r="38" spans="1:36" ht="15">
      <c r="A38" s="31" t="s">
        <v>322</v>
      </c>
      <c r="B38">
        <v>31.93143244434</v>
      </c>
      <c r="C38" t="s">
        <v>731</v>
      </c>
      <c r="D38" t="s">
        <v>272</v>
      </c>
      <c r="E38" s="114">
        <f>MATCH(F38,IND!$D$29:$D$137,0)</f>
        <v>59</v>
      </c>
      <c r="F38" t="str">
        <f t="shared" si="0"/>
        <v>IMIO</v>
      </c>
      <c r="G38" s="111">
        <f ca="1">OFFSET(IND!P$28,$E38,0)</f>
        <v>20.9296501227637</v>
      </c>
      <c r="H38" s="111">
        <f ca="1">OFFSET(IND!Q$28,$E38,0)</f>
        <v>20.866102442450156</v>
      </c>
      <c r="I38" s="111">
        <f ca="1">OFFSET(IND!R$28,$E38,0)</f>
        <v>20.653830744057636</v>
      </c>
      <c r="J38" s="176">
        <f ca="1">OFFSET(IND!S$28,$E38,0)</f>
        <v>19.880481469428183</v>
      </c>
      <c r="K38" s="111">
        <f ca="1">OFFSET(IND!T$28,$E38,0)</f>
        <v>23.450808856289665</v>
      </c>
      <c r="L38" s="111">
        <f ca="1">OFFSET(IND!U$28,$E38,0)</f>
        <v>21.998453097202631</v>
      </c>
      <c r="M38" s="111">
        <f ca="1">OFFSET(IND!V$28,$E38,0)</f>
        <v>22.135070303013691</v>
      </c>
      <c r="N38" s="111">
        <f ca="1">OFFSET(IND!W$28,$E38,0)</f>
        <v>22.095258863763341</v>
      </c>
      <c r="O38" s="176">
        <f ca="1">OFFSET(IND!X$28,$E38,0)</f>
        <v>22.241632646931684</v>
      </c>
      <c r="P38" s="111">
        <f ca="1">OFFSET(IND!Y$28,$E38,0)</f>
        <v>22.659981290562708</v>
      </c>
      <c r="Q38" s="111">
        <f ca="1">OFFSET(IND!Z$28,$E38,0)</f>
        <v>22.931970245213552</v>
      </c>
      <c r="R38" s="111">
        <f ca="1">OFFSET(IND!AA$28,$E38,0)</f>
        <v>23.219473203781018</v>
      </c>
      <c r="S38" s="111">
        <f ca="1">OFFSET(IND!AB$28,$E38,0)</f>
        <v>23.649268273288147</v>
      </c>
      <c r="T38" s="111">
        <f ca="1">OFFSET(IND!AC$28,$E38,0)</f>
        <v>24.136006924690175</v>
      </c>
      <c r="U38" s="111">
        <f ca="1">OFFSET(IND!AD$28,$E38,0)</f>
        <v>24.717050200803591</v>
      </c>
      <c r="V38" s="111">
        <f ca="1">OFFSET(IND!AE$28,$E38,0)</f>
        <v>25.320109576598199</v>
      </c>
      <c r="W38" s="111">
        <f ca="1">OFFSET(IND!AF$28,$E38,0)</f>
        <v>25.957865142354009</v>
      </c>
      <c r="X38" s="111">
        <f ca="1">OFFSET(IND!AG$28,$E38,0)</f>
        <v>26.648112216481159</v>
      </c>
      <c r="Y38" s="111">
        <f ca="1">OFFSET(IND!AH$28,$E38,0)</f>
        <v>27.565426185139</v>
      </c>
      <c r="Z38" s="111">
        <f ca="1">OFFSET(IND!AI$28,$E38,0)</f>
        <v>28.204975121040551</v>
      </c>
      <c r="AA38" s="111">
        <f ca="1">OFFSET(IND!AJ$28,$E38,0)</f>
        <v>28.846835542829343</v>
      </c>
      <c r="AB38" s="111">
        <f ca="1">OFFSET(IND!AK$28,$E38,0)</f>
        <v>29.517069819226361</v>
      </c>
      <c r="AC38" s="111">
        <f ca="1">OFFSET(IND!AL$28,$E38,0)</f>
        <v>30.212650661968333</v>
      </c>
      <c r="AD38" s="111">
        <f ca="1">OFFSET(IND!AM$28,$E38,0)</f>
        <v>30.995122545637422</v>
      </c>
      <c r="AE38" s="111">
        <f ca="1">OFFSET(IND!AN$28,$E38,0)</f>
        <v>34.736634373714402</v>
      </c>
      <c r="AF38" s="111">
        <f ca="1">OFFSET(IND!AO$28,$E38,0)</f>
        <v>40.072610975885773</v>
      </c>
      <c r="AG38" s="111">
        <f ca="1">OFFSET(IND!AP$28,$E38,0)</f>
        <v>46.087019728772056</v>
      </c>
      <c r="AH38" s="111">
        <f ca="1">OFFSET(IND!AQ$28,$E38,0)</f>
        <v>51.419932441621732</v>
      </c>
      <c r="AJ38">
        <f t="shared" ca="1" si="1"/>
        <v>2.4567984720249054</v>
      </c>
    </row>
    <row r="39" spans="1:36" ht="15">
      <c r="A39" s="31" t="s">
        <v>323</v>
      </c>
      <c r="B39">
        <v>16.901755910559999</v>
      </c>
      <c r="C39" t="s">
        <v>731</v>
      </c>
      <c r="D39" t="s">
        <v>272</v>
      </c>
      <c r="E39" s="114">
        <f>MATCH(F39,IND!$D$29:$D$137,0)</f>
        <v>57</v>
      </c>
      <c r="F39" t="str">
        <f t="shared" si="0"/>
        <v>IMIP</v>
      </c>
      <c r="G39" s="111">
        <f ca="1">OFFSET(IND!P$28,$E39,0)</f>
        <v>11.078357924751099</v>
      </c>
      <c r="H39" s="111">
        <f ca="1">OFFSET(IND!Q$28,$E39,0)</f>
        <v>11.044721244554738</v>
      </c>
      <c r="I39" s="111">
        <f ca="1">OFFSET(IND!R$28,$E39,0)</f>
        <v>10.932362851638773</v>
      </c>
      <c r="J39" s="176">
        <f ca="1">OFFSET(IND!S$28,$E39,0)</f>
        <v>10.523018213054799</v>
      </c>
      <c r="K39" s="111">
        <f ca="1">OFFSET(IND!T$28,$E39,0)</f>
        <v>12.412842671093559</v>
      </c>
      <c r="L39" s="111">
        <f ca="1">OFFSET(IND!U$28,$E39,0)</f>
        <v>11.644090358519538</v>
      </c>
      <c r="M39" s="111">
        <f ca="1">OFFSET(IND!V$28,$E39,0)</f>
        <v>11.716403765374256</v>
      </c>
      <c r="N39" s="111">
        <f ca="1">OFFSET(IND!W$28,$E39,0)</f>
        <v>11.695331011127152</v>
      </c>
      <c r="O39" s="176">
        <f ca="1">OFFSET(IND!X$28,$E39,0)</f>
        <v>11.772808711481785</v>
      </c>
      <c r="P39" s="111">
        <f ca="1">OFFSET(IND!Y$28,$E39,0)</f>
        <v>11.994246527417268</v>
      </c>
      <c r="Q39" s="111">
        <f ca="1">OFFSET(IND!Z$28,$E39,0)</f>
        <v>12.138214103249972</v>
      </c>
      <c r="R39" s="111">
        <f ca="1">OFFSET(IND!AA$28,$E39,0)</f>
        <v>12.290393459366923</v>
      </c>
      <c r="S39" s="111">
        <f ca="1">OFFSET(IND!AB$28,$E39,0)</f>
        <v>12.517890029370003</v>
      </c>
      <c r="T39" s="111">
        <f ca="1">OFFSET(IND!AC$28,$E39,0)</f>
        <v>12.775527637472086</v>
      </c>
      <c r="U39" s="111">
        <f ca="1">OFFSET(IND!AD$28,$E39,0)</f>
        <v>13.083082008653539</v>
      </c>
      <c r="V39" s="111">
        <f ca="1">OFFSET(IND!AE$28,$E39,0)</f>
        <v>13.402289810778395</v>
      </c>
      <c r="W39" s="111">
        <f ca="1">OFFSET(IND!AF$28,$E39,0)</f>
        <v>13.739862793819359</v>
      </c>
      <c r="X39" s="111">
        <f ca="1">OFFSET(IND!AG$28,$E39,0)</f>
        <v>14.105220269880361</v>
      </c>
      <c r="Y39" s="111">
        <f ca="1">OFFSET(IND!AH$28,$E39,0)</f>
        <v>14.590767444083365</v>
      </c>
      <c r="Z39" s="111">
        <f ca="1">OFFSET(IND!AI$28,$E39,0)</f>
        <v>14.929289683143878</v>
      </c>
      <c r="AA39" s="111">
        <f ca="1">OFFSET(IND!AJ$28,$E39,0)</f>
        <v>15.269035424166757</v>
      </c>
      <c r="AB39" s="111">
        <f ca="1">OFFSET(IND!AK$28,$E39,0)</f>
        <v>15.623799845158533</v>
      </c>
      <c r="AC39" s="111">
        <f ca="1">OFFSET(IND!AL$28,$E39,0)</f>
        <v>15.991980559900362</v>
      </c>
      <c r="AD39" s="111">
        <f ca="1">OFFSET(IND!AM$28,$E39,0)</f>
        <v>16.406153923644855</v>
      </c>
      <c r="AE39" s="111">
        <f ca="1">OFFSET(IND!AN$28,$E39,0)</f>
        <v>18.386588711995401</v>
      </c>
      <c r="AF39" s="111">
        <f ca="1">OFFSET(IND!AO$28,$E39,0)</f>
        <v>21.210996111556167</v>
      </c>
      <c r="AG39" s="111">
        <f ca="1">OFFSET(IND!AP$28,$E39,0)</f>
        <v>24.394507182186132</v>
      </c>
      <c r="AH39" s="111">
        <f ca="1">OFFSET(IND!AQ$28,$E39,0)</f>
        <v>27.217292822073489</v>
      </c>
      <c r="AJ39">
        <f t="shared" ca="1" si="1"/>
        <v>2.4567984720249041</v>
      </c>
    </row>
    <row r="40" spans="1:36" ht="15">
      <c r="A40" s="31" t="s">
        <v>324</v>
      </c>
      <c r="B40">
        <v>28.149155918999998</v>
      </c>
      <c r="C40" t="s">
        <v>731</v>
      </c>
      <c r="D40" t="s">
        <v>272</v>
      </c>
      <c r="E40" s="114">
        <f>MATCH(F40,IND!$D$29:$D$137,0)</f>
        <v>62</v>
      </c>
      <c r="F40" t="str">
        <f t="shared" si="0"/>
        <v>IMIR</v>
      </c>
      <c r="G40" s="111">
        <f ca="1">OFFSET(IND!P$28,$E40,0)</f>
        <v>25.406351025250501</v>
      </c>
      <c r="H40" s="111">
        <f ca="1">OFFSET(IND!Q$28,$E40,0)</f>
        <v>25.329210955377555</v>
      </c>
      <c r="I40" s="111">
        <f ca="1">OFFSET(IND!R$28,$E40,0)</f>
        <v>25.071535874788374</v>
      </c>
      <c r="J40" s="176">
        <f ca="1">OFFSET(IND!S$28,$E40,0)</f>
        <v>24.132772779317943</v>
      </c>
      <c r="K40" s="111">
        <f ca="1">OFFSET(IND!T$28,$E40,0)</f>
        <v>28.466767391440502</v>
      </c>
      <c r="L40" s="111">
        <f ca="1">OFFSET(IND!U$28,$E40,0)</f>
        <v>26.703763231673072</v>
      </c>
      <c r="M40" s="111">
        <f ca="1">OFFSET(IND!V$28,$E40,0)</f>
        <v>26.869601870473328</v>
      </c>
      <c r="N40" s="111">
        <f ca="1">OFFSET(IND!W$28,$E40,0)</f>
        <v>26.821275052084964</v>
      </c>
      <c r="O40" s="176">
        <f ca="1">OFFSET(IND!X$28,$E40,0)</f>
        <v>26.998957129628348</v>
      </c>
      <c r="P40" s="111">
        <f ca="1">OFFSET(IND!Y$28,$E40,0)</f>
        <v>27.506787524722583</v>
      </c>
      <c r="Q40" s="111">
        <f ca="1">OFFSET(IND!Z$28,$E40,0)</f>
        <v>27.836952951106589</v>
      </c>
      <c r="R40" s="111">
        <f ca="1">OFFSET(IND!AA$28,$E40,0)</f>
        <v>28.185950714725131</v>
      </c>
      <c r="S40" s="111">
        <f ca="1">OFFSET(IND!AB$28,$E40,0)</f>
        <v>28.707675843466948</v>
      </c>
      <c r="T40" s="111">
        <f ca="1">OFFSET(IND!AC$28,$E40,0)</f>
        <v>29.298524374739195</v>
      </c>
      <c r="U40" s="111">
        <f ca="1">OFFSET(IND!AD$28,$E40,0)</f>
        <v>30.003848608408212</v>
      </c>
      <c r="V40" s="111">
        <f ca="1">OFFSET(IND!AE$28,$E40,0)</f>
        <v>30.735898026369675</v>
      </c>
      <c r="W40" s="111">
        <f ca="1">OFFSET(IND!AF$28,$E40,0)</f>
        <v>31.510064898575362</v>
      </c>
      <c r="X40" s="111">
        <f ca="1">OFFSET(IND!AG$28,$E40,0)</f>
        <v>32.347950833436407</v>
      </c>
      <c r="Y40" s="111">
        <f ca="1">OFFSET(IND!AH$28,$E40,0)</f>
        <v>33.461471630553739</v>
      </c>
      <c r="Z40" s="111">
        <f ca="1">OFFSET(IND!AI$28,$E40,0)</f>
        <v>34.237815461818641</v>
      </c>
      <c r="AA40" s="111">
        <f ca="1">OFFSET(IND!AJ$28,$E40,0)</f>
        <v>35.016965189096929</v>
      </c>
      <c r="AB40" s="111">
        <f ca="1">OFFSET(IND!AK$28,$E40,0)</f>
        <v>35.830557733426041</v>
      </c>
      <c r="AC40" s="111">
        <f ca="1">OFFSET(IND!AL$28,$E40,0)</f>
        <v>36.674918291461424</v>
      </c>
      <c r="AD40" s="111">
        <f ca="1">OFFSET(IND!AM$28,$E40,0)</f>
        <v>37.62475525611589</v>
      </c>
      <c r="AE40" s="111">
        <f ca="1">OFFSET(IND!AN$28,$E40,0)</f>
        <v>42.166549424278422</v>
      </c>
      <c r="AF40" s="111">
        <f ca="1">OFFSET(IND!AO$28,$E40,0)</f>
        <v>48.643852858502676</v>
      </c>
      <c r="AG40" s="111">
        <f ca="1">OFFSET(IND!AP$28,$E40,0)</f>
        <v>55.94470017744441</v>
      </c>
      <c r="AH40" s="111">
        <f ca="1">OFFSET(IND!AQ$28,$E40,0)</f>
        <v>62.418284378563804</v>
      </c>
      <c r="AJ40">
        <f t="shared" ca="1" si="1"/>
        <v>2.456798472024905</v>
      </c>
    </row>
    <row r="41" spans="1:36" ht="15">
      <c r="A41" s="31" t="s">
        <v>325</v>
      </c>
      <c r="B41">
        <v>0.052585839407999997</v>
      </c>
      <c r="C41" t="s">
        <v>731</v>
      </c>
      <c r="D41" t="s">
        <v>272</v>
      </c>
      <c r="E41" s="114">
        <f>MATCH(F41,IND!$D$29:$D$137,0)</f>
        <v>61</v>
      </c>
      <c r="F41" t="str">
        <f t="shared" si="0"/>
        <v>IMIS</v>
      </c>
      <c r="G41" s="111">
        <f ca="1">OFFSET(IND!P$28,$E41,0)</f>
        <v>25.233177191199999</v>
      </c>
      <c r="H41" s="111">
        <f ca="1">OFFSET(IND!Q$28,$E41,0)</f>
        <v>25.156562920629973</v>
      </c>
      <c r="I41" s="111">
        <f ca="1">OFFSET(IND!R$28,$E41,0)</f>
        <v>24.900644195433998</v>
      </c>
      <c r="J41" s="176">
        <f ca="1">OFFSET(IND!S$28,$E41,0)</f>
        <v>23.968279862396869</v>
      </c>
      <c r="K41" s="111">
        <f ca="1">OFFSET(IND!T$28,$E41,0)</f>
        <v>28.27273326008098</v>
      </c>
      <c r="L41" s="111">
        <f ca="1">OFFSET(IND!U$28,$E41,0)</f>
        <v>26.521746024329538</v>
      </c>
      <c r="M41" s="111">
        <f ca="1">OFFSET(IND!V$28,$E41,0)</f>
        <v>26.686454279908439</v>
      </c>
      <c r="N41" s="111">
        <f ca="1">OFFSET(IND!W$28,$E41,0)</f>
        <v>26.638456864999522</v>
      </c>
      <c r="O41" s="176">
        <f ca="1">OFFSET(IND!X$28,$E41,0)</f>
        <v>26.81492783251063</v>
      </c>
      <c r="P41" s="111">
        <f ca="1">OFFSET(IND!Y$28,$E41,0)</f>
        <v>27.319296772771054</v>
      </c>
      <c r="Q41" s="111">
        <f ca="1">OFFSET(IND!Z$28,$E41,0)</f>
        <v>27.647211737736928</v>
      </c>
      <c r="R41" s="111">
        <f ca="1">OFFSET(IND!AA$28,$E41,0)</f>
        <v>27.993830675653943</v>
      </c>
      <c r="S41" s="111">
        <f ca="1">OFFSET(IND!AB$28,$E41,0)</f>
        <v>28.511999640790254</v>
      </c>
      <c r="T41" s="111">
        <f ca="1">OFFSET(IND!AC$28,$E41,0)</f>
        <v>29.09882085206673</v>
      </c>
      <c r="U41" s="111">
        <f ca="1">OFFSET(IND!AD$28,$E41,0)</f>
        <v>29.799337480673856</v>
      </c>
      <c r="V41" s="111">
        <f ca="1">OFFSET(IND!AE$28,$E41,0)</f>
        <v>30.526397130356639</v>
      </c>
      <c r="W41" s="111">
        <f ca="1">OFFSET(IND!AF$28,$E41,0)</f>
        <v>31.295287154843365</v>
      </c>
      <c r="X41" s="111">
        <f ca="1">OFFSET(IND!AG$28,$E41,0)</f>
        <v>32.127461922457584</v>
      </c>
      <c r="Y41" s="111">
        <f ca="1">OFFSET(IND!AH$28,$E41,0)</f>
        <v>33.233392780132604</v>
      </c>
      <c r="Z41" s="111">
        <f ca="1">OFFSET(IND!AI$28,$E41,0)</f>
        <v>34.00444492517039</v>
      </c>
      <c r="AA41" s="111">
        <f ca="1">OFFSET(IND!AJ$28,$E41,0)</f>
        <v>34.77828384077651</v>
      </c>
      <c r="AB41" s="111">
        <f ca="1">OFFSET(IND!AK$28,$E41,0)</f>
        <v>35.586330805572523</v>
      </c>
      <c r="AC41" s="111">
        <f ca="1">OFFSET(IND!AL$28,$E41,0)</f>
        <v>36.424936064273076</v>
      </c>
      <c r="AD41" s="111">
        <f ca="1">OFFSET(IND!AM$28,$E41,0)</f>
        <v>37.368298785194995</v>
      </c>
      <c r="AE41" s="111">
        <f ca="1">OFFSET(IND!AN$28,$E41,0)</f>
        <v>41.879135343239206</v>
      </c>
      <c r="AF41" s="111">
        <f ca="1">OFFSET(IND!AO$28,$E41,0)</f>
        <v>48.312288420377612</v>
      </c>
      <c r="AG41" s="111">
        <f ca="1">OFFSET(IND!AP$28,$E41,0)</f>
        <v>55.56337197274059</v>
      </c>
      <c r="AH41" s="111">
        <f ca="1">OFFSET(IND!AQ$28,$E41,0)</f>
        <v>61.992831167673842</v>
      </c>
      <c r="AJ41">
        <f t="shared" ca="1" si="1"/>
        <v>2.456798472024905</v>
      </c>
    </row>
    <row r="42" spans="1:36" ht="15">
      <c r="A42" s="31" t="s">
        <v>326</v>
      </c>
      <c r="B42" t="s">
        <v>370</v>
      </c>
      <c r="C42" t="s">
        <v>731</v>
      </c>
      <c r="D42" t="s">
        <v>272</v>
      </c>
      <c r="E42" s="114">
        <f>MATCH(F42,IND!$D$29:$D$137,0)</f>
        <v>77</v>
      </c>
      <c r="F42" t="str">
        <f t="shared" si="0"/>
        <v>INFA</v>
      </c>
      <c r="G42" s="111">
        <f ca="1">OFFSET(IND!P$28,$E42,0)</f>
        <v>0</v>
      </c>
      <c r="H42" s="111">
        <f ca="1">OFFSET(IND!Q$28,$E42,0)</f>
        <v>0</v>
      </c>
      <c r="I42" s="111">
        <f ca="1">OFFSET(IND!R$28,$E42,0)</f>
        <v>0</v>
      </c>
      <c r="J42" s="176">
        <f ca="1">OFFSET(IND!S$28,$E42,0)</f>
        <v>0</v>
      </c>
      <c r="K42" s="111">
        <f ca="1">OFFSET(IND!T$28,$E42,0)</f>
        <v>0</v>
      </c>
      <c r="L42" s="111">
        <f ca="1">OFFSET(IND!U$28,$E42,0)</f>
        <v>0</v>
      </c>
      <c r="M42" s="111">
        <f ca="1">OFFSET(IND!V$28,$E42,0)</f>
        <v>0</v>
      </c>
      <c r="N42" s="111">
        <f ca="1">OFFSET(IND!W$28,$E42,0)</f>
        <v>0</v>
      </c>
      <c r="O42" s="176">
        <f ca="1">OFFSET(IND!X$28,$E42,0)</f>
        <v>0</v>
      </c>
      <c r="P42" s="111">
        <f ca="1">OFFSET(IND!Y$28,$E42,0)</f>
        <v>0</v>
      </c>
      <c r="Q42" s="111">
        <f ca="1">OFFSET(IND!Z$28,$E42,0)</f>
        <v>0</v>
      </c>
      <c r="R42" s="111">
        <f ca="1">OFFSET(IND!AA$28,$E42,0)</f>
        <v>0</v>
      </c>
      <c r="S42" s="111">
        <f ca="1">OFFSET(IND!AB$28,$E42,0)</f>
        <v>0</v>
      </c>
      <c r="T42" s="111">
        <f ca="1">OFFSET(IND!AC$28,$E42,0)</f>
        <v>0</v>
      </c>
      <c r="U42" s="111">
        <f ca="1">OFFSET(IND!AD$28,$E42,0)</f>
        <v>0</v>
      </c>
      <c r="V42" s="111">
        <f ca="1">OFFSET(IND!AE$28,$E42,0)</f>
        <v>0</v>
      </c>
      <c r="W42" s="111">
        <f ca="1">OFFSET(IND!AF$28,$E42,0)</f>
        <v>0</v>
      </c>
      <c r="X42" s="111">
        <f ca="1">OFFSET(IND!AG$28,$E42,0)</f>
        <v>0</v>
      </c>
      <c r="Y42" s="111">
        <f ca="1">OFFSET(IND!AH$28,$E42,0)</f>
        <v>0</v>
      </c>
      <c r="Z42" s="111">
        <f ca="1">OFFSET(IND!AI$28,$E42,0)</f>
        <v>0</v>
      </c>
      <c r="AA42" s="111">
        <f ca="1">OFFSET(IND!AJ$28,$E42,0)</f>
        <v>0</v>
      </c>
      <c r="AB42" s="111">
        <f ca="1">OFFSET(IND!AK$28,$E42,0)</f>
        <v>0</v>
      </c>
      <c r="AC42" s="111">
        <f ca="1">OFFSET(IND!AL$28,$E42,0)</f>
        <v>0</v>
      </c>
      <c r="AD42" s="111">
        <f ca="1">OFFSET(IND!AM$28,$E42,0)</f>
        <v>0</v>
      </c>
      <c r="AE42" s="111">
        <f ca="1">OFFSET(IND!AN$28,$E42,0)</f>
        <v>0</v>
      </c>
      <c r="AF42" s="111">
        <f ca="1">OFFSET(IND!AO$28,$E42,0)</f>
        <v>0</v>
      </c>
      <c r="AG42" s="111">
        <f ca="1">OFFSET(IND!AP$28,$E42,0)</f>
        <v>0</v>
      </c>
      <c r="AH42" s="111">
        <f ca="1">OFFSET(IND!AQ$28,$E42,0)</f>
        <v>0</v>
      </c>
      <c r="AJ42" t="e">
        <f t="shared" ca="1" si="1"/>
        <v>#DIV/0!</v>
      </c>
    </row>
    <row r="43" spans="1:36" ht="15">
      <c r="A43" s="31" t="s">
        <v>327</v>
      </c>
      <c r="B43" t="s">
        <v>370</v>
      </c>
      <c r="C43" t="s">
        <v>731</v>
      </c>
      <c r="D43" t="s">
        <v>272</v>
      </c>
      <c r="E43" s="114">
        <f>MATCH(F43,IND!$D$29:$D$137,0)</f>
        <v>79</v>
      </c>
      <c r="F43" t="str">
        <f t="shared" si="0"/>
        <v>INFC</v>
      </c>
      <c r="G43" s="111">
        <f ca="1">OFFSET(IND!P$28,$E43,0)</f>
        <v>0</v>
      </c>
      <c r="H43" s="111">
        <f ca="1">OFFSET(IND!Q$28,$E43,0)</f>
        <v>0</v>
      </c>
      <c r="I43" s="111">
        <f ca="1">OFFSET(IND!R$28,$E43,0)</f>
        <v>0</v>
      </c>
      <c r="J43" s="176">
        <f ca="1">OFFSET(IND!S$28,$E43,0)</f>
        <v>0</v>
      </c>
      <c r="K43" s="111">
        <f ca="1">OFFSET(IND!T$28,$E43,0)</f>
        <v>0</v>
      </c>
      <c r="L43" s="111">
        <f ca="1">OFFSET(IND!U$28,$E43,0)</f>
        <v>0</v>
      </c>
      <c r="M43" s="111">
        <f ca="1">OFFSET(IND!V$28,$E43,0)</f>
        <v>0</v>
      </c>
      <c r="N43" s="111">
        <f ca="1">OFFSET(IND!W$28,$E43,0)</f>
        <v>0</v>
      </c>
      <c r="O43" s="176">
        <f ca="1">OFFSET(IND!X$28,$E43,0)</f>
        <v>0</v>
      </c>
      <c r="P43" s="111">
        <f ca="1">OFFSET(IND!Y$28,$E43,0)</f>
        <v>0</v>
      </c>
      <c r="Q43" s="111">
        <f ca="1">OFFSET(IND!Z$28,$E43,0)</f>
        <v>0</v>
      </c>
      <c r="R43" s="111">
        <f ca="1">OFFSET(IND!AA$28,$E43,0)</f>
        <v>0</v>
      </c>
      <c r="S43" s="111">
        <f ca="1">OFFSET(IND!AB$28,$E43,0)</f>
        <v>0</v>
      </c>
      <c r="T43" s="111">
        <f ca="1">OFFSET(IND!AC$28,$E43,0)</f>
        <v>0</v>
      </c>
      <c r="U43" s="111">
        <f ca="1">OFFSET(IND!AD$28,$E43,0)</f>
        <v>0</v>
      </c>
      <c r="V43" s="111">
        <f ca="1">OFFSET(IND!AE$28,$E43,0)</f>
        <v>0</v>
      </c>
      <c r="W43" s="111">
        <f ca="1">OFFSET(IND!AF$28,$E43,0)</f>
        <v>0</v>
      </c>
      <c r="X43" s="111">
        <f ca="1">OFFSET(IND!AG$28,$E43,0)</f>
        <v>0</v>
      </c>
      <c r="Y43" s="111">
        <f ca="1">OFFSET(IND!AH$28,$E43,0)</f>
        <v>0</v>
      </c>
      <c r="Z43" s="111">
        <f ca="1">OFFSET(IND!AI$28,$E43,0)</f>
        <v>0</v>
      </c>
      <c r="AA43" s="111">
        <f ca="1">OFFSET(IND!AJ$28,$E43,0)</f>
        <v>0</v>
      </c>
      <c r="AB43" s="111">
        <f ca="1">OFFSET(IND!AK$28,$E43,0)</f>
        <v>0</v>
      </c>
      <c r="AC43" s="111">
        <f ca="1">OFFSET(IND!AL$28,$E43,0)</f>
        <v>0</v>
      </c>
      <c r="AD43" s="111">
        <f ca="1">OFFSET(IND!AM$28,$E43,0)</f>
        <v>0</v>
      </c>
      <c r="AE43" s="111">
        <f ca="1">OFFSET(IND!AN$28,$E43,0)</f>
        <v>0</v>
      </c>
      <c r="AF43" s="111">
        <f ca="1">OFFSET(IND!AO$28,$E43,0)</f>
        <v>0</v>
      </c>
      <c r="AG43" s="111">
        <f ca="1">OFFSET(IND!AP$28,$E43,0)</f>
        <v>0</v>
      </c>
      <c r="AH43" s="111">
        <f ca="1">OFFSET(IND!AQ$28,$E43,0)</f>
        <v>0</v>
      </c>
      <c r="AJ43" t="e">
        <f t="shared" ca="1" si="1"/>
        <v>#DIV/0!</v>
      </c>
    </row>
    <row r="44" spans="1:36" ht="15">
      <c r="A44" s="31" t="s">
        <v>328</v>
      </c>
      <c r="B44">
        <v>55.015944485879999</v>
      </c>
      <c r="C44" t="s">
        <v>731</v>
      </c>
      <c r="D44" t="s">
        <v>272</v>
      </c>
      <c r="E44" s="114">
        <f>MATCH(F44,IND!$D$29:$D$137,0)</f>
        <v>84</v>
      </c>
      <c r="F44" t="str">
        <f t="shared" si="0"/>
        <v>INFE</v>
      </c>
      <c r="G44" s="111">
        <f ca="1">OFFSET(IND!P$28,$E44,0)</f>
        <v>6.8830524422467798</v>
      </c>
      <c r="H44" s="111">
        <f ca="1">OFFSET(IND!Q$28,$E44,0)</f>
        <v>6.7561504733716884</v>
      </c>
      <c r="I44" s="111">
        <f ca="1">OFFSET(IND!R$28,$E44,0)</f>
        <v>6.4876332638678713</v>
      </c>
      <c r="J44" s="176">
        <f ca="1">OFFSET(IND!S$28,$E44,0)</f>
        <v>6.1156359436919612</v>
      </c>
      <c r="K44" s="111">
        <f ca="1">OFFSET(IND!T$28,$E44,0)</f>
        <v>5.9587554407751071</v>
      </c>
      <c r="L44" s="111">
        <f ca="1">OFFSET(IND!U$28,$E44,0)</f>
        <v>6.8096615902056179</v>
      </c>
      <c r="M44" s="111">
        <f ca="1">OFFSET(IND!V$28,$E44,0)</f>
        <v>6.3891916815119076</v>
      </c>
      <c r="N44" s="111">
        <f ca="1">OFFSET(IND!W$28,$E44,0)</f>
        <v>6.2908316165236968</v>
      </c>
      <c r="O44" s="176">
        <f ca="1">OFFSET(IND!X$28,$E44,0)</f>
        <v>6.2659807332428317</v>
      </c>
      <c r="P44" s="111">
        <f ca="1">OFFSET(IND!Y$28,$E44,0)</f>
        <v>6.4130519910339672</v>
      </c>
      <c r="Q44" s="111">
        <f ca="1">OFFSET(IND!Z$28,$E44,0)</f>
        <v>6.4069467096371797</v>
      </c>
      <c r="R44" s="111">
        <f ca="1">OFFSET(IND!AA$28,$E44,0)</f>
        <v>6.4041720066546626</v>
      </c>
      <c r="S44" s="111">
        <f ca="1">OFFSET(IND!AB$28,$E44,0)</f>
        <v>6.4819643041535571</v>
      </c>
      <c r="T44" s="111">
        <f ca="1">OFFSET(IND!AC$28,$E44,0)</f>
        <v>6.5978185817222252</v>
      </c>
      <c r="U44" s="111">
        <f ca="1">OFFSET(IND!AD$28,$E44,0)</f>
        <v>6.7377768499414303</v>
      </c>
      <c r="V44" s="111">
        <f ca="1">OFFSET(IND!AE$28,$E44,0)</f>
        <v>6.88541629260944</v>
      </c>
      <c r="W44" s="111">
        <f ca="1">OFFSET(IND!AF$28,$E44,0)</f>
        <v>7.0505260000404304</v>
      </c>
      <c r="X44" s="111">
        <f ca="1">OFFSET(IND!AG$28,$E44,0)</f>
        <v>7.2046723761408975</v>
      </c>
      <c r="Y44" s="111">
        <f ca="1">OFFSET(IND!AH$28,$E44,0)</f>
        <v>7.6531964012900415</v>
      </c>
      <c r="Z44" s="111">
        <f ca="1">OFFSET(IND!AI$28,$E44,0)</f>
        <v>7.7822644301500326</v>
      </c>
      <c r="AA44" s="111">
        <f ca="1">OFFSET(IND!AJ$28,$E44,0)</f>
        <v>7.9624965810697956</v>
      </c>
      <c r="AB44" s="111">
        <f ca="1">OFFSET(IND!AK$28,$E44,0)</f>
        <v>8.1542942553288995</v>
      </c>
      <c r="AC44" s="111">
        <f ca="1">OFFSET(IND!AL$28,$E44,0)</f>
        <v>8.3690861717704728</v>
      </c>
      <c r="AD44" s="111">
        <f ca="1">OFFSET(IND!AM$28,$E44,0)</f>
        <v>8.5940113302957553</v>
      </c>
      <c r="AE44" s="111">
        <f ca="1">OFFSET(IND!AN$28,$E44,0)</f>
        <v>9.5874717786917003</v>
      </c>
      <c r="AF44" s="111">
        <f ca="1">OFFSET(IND!AO$28,$E44,0)</f>
        <v>10.894926395304443</v>
      </c>
      <c r="AG44" s="111">
        <f ca="1">OFFSET(IND!AP$28,$E44,0)</f>
        <v>12.612307215194738</v>
      </c>
      <c r="AH44" s="111">
        <f ca="1">OFFSET(IND!AQ$28,$E44,0)</f>
        <v>14.123017424158254</v>
      </c>
      <c r="AJ44">
        <f t="shared" ca="1" si="1"/>
        <v>2.0518538166982481</v>
      </c>
    </row>
    <row r="45" spans="1:36" ht="15">
      <c r="A45" s="31" t="s">
        <v>329</v>
      </c>
      <c r="B45" t="s">
        <v>370</v>
      </c>
      <c r="C45" t="s">
        <v>731</v>
      </c>
      <c r="D45" t="s">
        <v>272</v>
      </c>
      <c r="E45" s="114">
        <f>MATCH(F45,IND!$D$29:$D$137,0)</f>
        <v>82</v>
      </c>
      <c r="F45" t="str">
        <f t="shared" si="0"/>
        <v>INFF</v>
      </c>
      <c r="G45" s="111">
        <f ca="1">OFFSET(IND!P$28,$E45,0)</f>
        <v>0</v>
      </c>
      <c r="H45" s="111">
        <f ca="1">OFFSET(IND!Q$28,$E45,0)</f>
        <v>0</v>
      </c>
      <c r="I45" s="111">
        <f ca="1">OFFSET(IND!R$28,$E45,0)</f>
        <v>0</v>
      </c>
      <c r="J45" s="176">
        <f ca="1">OFFSET(IND!S$28,$E45,0)</f>
        <v>0</v>
      </c>
      <c r="K45" s="111">
        <f ca="1">OFFSET(IND!T$28,$E45,0)</f>
        <v>0</v>
      </c>
      <c r="L45" s="111">
        <f ca="1">OFFSET(IND!U$28,$E45,0)</f>
        <v>0</v>
      </c>
      <c r="M45" s="111">
        <f ca="1">OFFSET(IND!V$28,$E45,0)</f>
        <v>0</v>
      </c>
      <c r="N45" s="111">
        <f ca="1">OFFSET(IND!W$28,$E45,0)</f>
        <v>0</v>
      </c>
      <c r="O45" s="176">
        <f ca="1">OFFSET(IND!X$28,$E45,0)</f>
        <v>0</v>
      </c>
      <c r="P45" s="111">
        <f ca="1">OFFSET(IND!Y$28,$E45,0)</f>
        <v>0</v>
      </c>
      <c r="Q45" s="111">
        <f ca="1">OFFSET(IND!Z$28,$E45,0)</f>
        <v>0</v>
      </c>
      <c r="R45" s="111">
        <f ca="1">OFFSET(IND!AA$28,$E45,0)</f>
        <v>0</v>
      </c>
      <c r="S45" s="111">
        <f ca="1">OFFSET(IND!AB$28,$E45,0)</f>
        <v>0</v>
      </c>
      <c r="T45" s="111">
        <f ca="1">OFFSET(IND!AC$28,$E45,0)</f>
        <v>0</v>
      </c>
      <c r="U45" s="111">
        <f ca="1">OFFSET(IND!AD$28,$E45,0)</f>
        <v>0</v>
      </c>
      <c r="V45" s="111">
        <f ca="1">OFFSET(IND!AE$28,$E45,0)</f>
        <v>0</v>
      </c>
      <c r="W45" s="111">
        <f ca="1">OFFSET(IND!AF$28,$E45,0)</f>
        <v>0</v>
      </c>
      <c r="X45" s="111">
        <f ca="1">OFFSET(IND!AG$28,$E45,0)</f>
        <v>0</v>
      </c>
      <c r="Y45" s="111">
        <f ca="1">OFFSET(IND!AH$28,$E45,0)</f>
        <v>0</v>
      </c>
      <c r="Z45" s="111">
        <f ca="1">OFFSET(IND!AI$28,$E45,0)</f>
        <v>0</v>
      </c>
      <c r="AA45" s="111">
        <f ca="1">OFFSET(IND!AJ$28,$E45,0)</f>
        <v>0</v>
      </c>
      <c r="AB45" s="111">
        <f ca="1">OFFSET(IND!AK$28,$E45,0)</f>
        <v>0</v>
      </c>
      <c r="AC45" s="111">
        <f ca="1">OFFSET(IND!AL$28,$E45,0)</f>
        <v>0</v>
      </c>
      <c r="AD45" s="111">
        <f ca="1">OFFSET(IND!AM$28,$E45,0)</f>
        <v>0</v>
      </c>
      <c r="AE45" s="111">
        <f ca="1">OFFSET(IND!AN$28,$E45,0)</f>
        <v>0</v>
      </c>
      <c r="AF45" s="111">
        <f ca="1">OFFSET(IND!AO$28,$E45,0)</f>
        <v>0</v>
      </c>
      <c r="AG45" s="111">
        <f ca="1">OFFSET(IND!AP$28,$E45,0)</f>
        <v>0</v>
      </c>
      <c r="AH45" s="111">
        <f ca="1">OFFSET(IND!AQ$28,$E45,0)</f>
        <v>0</v>
      </c>
      <c r="AJ45" t="e">
        <f t="shared" ca="1" si="1"/>
        <v>#DIV/0!</v>
      </c>
    </row>
    <row r="46" spans="1:36" ht="15">
      <c r="A46" s="31" t="s">
        <v>330</v>
      </c>
      <c r="B46">
        <v>0.72389400639309998</v>
      </c>
      <c r="C46" t="s">
        <v>731</v>
      </c>
      <c r="D46" t="s">
        <v>272</v>
      </c>
      <c r="E46" s="114">
        <f>MATCH(F46,IND!$D$29:$D$137,0)</f>
        <v>80</v>
      </c>
      <c r="F46" t="str">
        <f t="shared" si="0"/>
        <v>INFH</v>
      </c>
      <c r="G46" s="111">
        <f ca="1">OFFSET(IND!P$28,$E46,0)</f>
        <v>0.090566479503247102</v>
      </c>
      <c r="H46" s="111">
        <f ca="1">OFFSET(IND!Q$28,$E46,0)</f>
        <v>0.088896716754890637</v>
      </c>
      <c r="I46" s="111">
        <f ca="1">OFFSET(IND!R$28,$E46,0)</f>
        <v>0.085363595577208837</v>
      </c>
      <c r="J46" s="176">
        <f ca="1">OFFSET(IND!S$28,$E46,0)</f>
        <v>0.080468893995946852</v>
      </c>
      <c r="K46" s="111">
        <f ca="1">OFFSET(IND!T$28,$E46,0)</f>
        <v>0.078404676852304026</v>
      </c>
      <c r="L46" s="111">
        <f ca="1">OFFSET(IND!U$28,$E46,0)</f>
        <v>0.089600810397442332</v>
      </c>
      <c r="M46" s="111">
        <f ca="1">OFFSET(IND!V$28,$E46,0)</f>
        <v>0.084068311598840886</v>
      </c>
      <c r="N46" s="111">
        <f ca="1">OFFSET(IND!W$28,$E46,0)</f>
        <v>0.08277410021741706</v>
      </c>
      <c r="O46" s="176">
        <f ca="1">OFFSET(IND!X$28,$E46,0)</f>
        <v>0.082447114911089886</v>
      </c>
      <c r="P46" s="111">
        <f ca="1">OFFSET(IND!Y$28,$E46,0)</f>
        <v>0.084382263039920621</v>
      </c>
      <c r="Q46" s="111">
        <f ca="1">OFFSET(IND!Z$28,$E46,0)</f>
        <v>0.084301930389962892</v>
      </c>
      <c r="R46" s="111">
        <f ca="1">OFFSET(IND!AA$28,$E46,0)</f>
        <v>0.084265421140192934</v>
      </c>
      <c r="S46" s="111">
        <f ca="1">OFFSET(IND!AB$28,$E46,0)</f>
        <v>0.085289004002020496</v>
      </c>
      <c r="T46" s="111">
        <f ca="1">OFFSET(IND!AC$28,$E46,0)</f>
        <v>0.086813402391081915</v>
      </c>
      <c r="U46" s="111">
        <f ca="1">OFFSET(IND!AD$28,$E46,0)</f>
        <v>0.088654958551860938</v>
      </c>
      <c r="V46" s="111">
        <f ca="1">OFFSET(IND!AE$28,$E46,0)</f>
        <v>0.090597582797492651</v>
      </c>
      <c r="W46" s="111">
        <f ca="1">OFFSET(IND!AF$28,$E46,0)</f>
        <v>0.092770078947900417</v>
      </c>
      <c r="X46" s="111">
        <f ca="1">OFFSET(IND!AG$28,$E46,0)</f>
        <v>0.09479832073869604</v>
      </c>
      <c r="Y46" s="111">
        <f ca="1">OFFSET(IND!AH$28,$E46,0)</f>
        <v>0.10069995264855319</v>
      </c>
      <c r="Z46" s="111">
        <f ca="1">OFFSET(IND!AI$28,$E46,0)</f>
        <v>0.10239821618618465</v>
      </c>
      <c r="AA46" s="111">
        <f ca="1">OFFSET(IND!AJ$28,$E46,0)</f>
        <v>0.10476969185618154</v>
      </c>
      <c r="AB46" s="111">
        <f ca="1">OFFSET(IND!AK$28,$E46,0)</f>
        <v>0.10729334546485396</v>
      </c>
      <c r="AC46" s="111">
        <f ca="1">OFFSET(IND!AL$28,$E46,0)</f>
        <v>0.11011955489171676</v>
      </c>
      <c r="AD46" s="111">
        <f ca="1">OFFSET(IND!AM$28,$E46,0)</f>
        <v>0.11307909645125996</v>
      </c>
      <c r="AE46" s="111">
        <f ca="1">OFFSET(IND!AN$28,$E46,0)</f>
        <v>0.12615094445646977</v>
      </c>
      <c r="AF46" s="111">
        <f ca="1">OFFSET(IND!AO$28,$E46,0)</f>
        <v>0.1433542946750585</v>
      </c>
      <c r="AG46" s="111">
        <f ca="1">OFFSET(IND!AP$28,$E46,0)</f>
        <v>0.16595141072624661</v>
      </c>
      <c r="AH46" s="111">
        <f ca="1">OFFSET(IND!AQ$28,$E46,0)</f>
        <v>0.1858291766336613</v>
      </c>
      <c r="AJ46">
        <f t="shared" ca="1" si="1"/>
        <v>2.051853816698249</v>
      </c>
    </row>
    <row r="47" spans="1:36" ht="15">
      <c r="A47" s="31" t="s">
        <v>331</v>
      </c>
      <c r="B47">
        <v>0.80432667377019995</v>
      </c>
      <c r="C47" t="s">
        <v>731</v>
      </c>
      <c r="D47" t="s">
        <v>272</v>
      </c>
      <c r="E47" s="114">
        <f>MATCH(F47,IND!$D$29:$D$137,0)</f>
        <v>76</v>
      </c>
      <c r="F47" t="str">
        <f t="shared" si="0"/>
        <v>INFK</v>
      </c>
      <c r="G47" s="111">
        <f ca="1">OFFSET(IND!P$28,$E47,0)</f>
        <v>0.100629421670275</v>
      </c>
      <c r="H47" s="111">
        <f ca="1">OFFSET(IND!Q$28,$E47,0)</f>
        <v>0.098774129727656701</v>
      </c>
      <c r="I47" s="111">
        <f ca="1">OFFSET(IND!R$28,$E47,0)</f>
        <v>0.094848439530232462</v>
      </c>
      <c r="J47" s="176">
        <f ca="1">OFFSET(IND!S$28,$E47,0)</f>
        <v>0.08940988221771913</v>
      </c>
      <c r="K47" s="111">
        <f ca="1">OFFSET(IND!T$28,$E47,0)</f>
        <v>0.087116307613671534</v>
      </c>
      <c r="L47" s="111">
        <f ca="1">OFFSET(IND!U$28,$E47,0)</f>
        <v>0.099556455997158594</v>
      </c>
      <c r="M47" s="111">
        <f ca="1">OFFSET(IND!V$28,$E47,0)</f>
        <v>0.09340923510982363</v>
      </c>
      <c r="N47" s="111">
        <f ca="1">OFFSET(IND!W$28,$E47,0)</f>
        <v>0.091971222463797145</v>
      </c>
      <c r="O47" s="176">
        <f ca="1">OFFSET(IND!X$28,$E47,0)</f>
        <v>0.091607905456766961</v>
      </c>
      <c r="P47" s="111">
        <f ca="1">OFFSET(IND!Y$28,$E47,0)</f>
        <v>0.09375807004435667</v>
      </c>
      <c r="Q47" s="111">
        <f ca="1">OFFSET(IND!Z$28,$E47,0)</f>
        <v>0.093668811544403638</v>
      </c>
      <c r="R47" s="111">
        <f ca="1">OFFSET(IND!AA$28,$E47,0)</f>
        <v>0.0936282457113259</v>
      </c>
      <c r="S47" s="111">
        <f ca="1">OFFSET(IND!AB$28,$E47,0)</f>
        <v>0.094765560002245411</v>
      </c>
      <c r="T47" s="111">
        <f ca="1">OFFSET(IND!AC$28,$E47,0)</f>
        <v>0.096459335990091447</v>
      </c>
      <c r="U47" s="111">
        <f ca="1">OFFSET(IND!AD$28,$E47,0)</f>
        <v>0.098505509502068142</v>
      </c>
      <c r="V47" s="111">
        <f ca="1">OFFSET(IND!AE$28,$E47,0)</f>
        <v>0.10066398088610339</v>
      </c>
      <c r="W47" s="111">
        <f ca="1">OFFSET(IND!AF$28,$E47,0)</f>
        <v>0.10307786549766758</v>
      </c>
      <c r="X47" s="111">
        <f ca="1">OFFSET(IND!AG$28,$E47,0)</f>
        <v>0.1053314674874405</v>
      </c>
      <c r="Y47" s="111">
        <f ca="1">OFFSET(IND!AH$28,$E47,0)</f>
        <v>0.1118888362761707</v>
      </c>
      <c r="Z47" s="111">
        <f ca="1">OFFSET(IND!AI$28,$E47,0)</f>
        <v>0.1137757957624279</v>
      </c>
      <c r="AA47" s="111">
        <f ca="1">OFFSET(IND!AJ$28,$E47,0)</f>
        <v>0.11641076872909112</v>
      </c>
      <c r="AB47" s="111">
        <f ca="1">OFFSET(IND!AK$28,$E47,0)</f>
        <v>0.1192148282942827</v>
      </c>
      <c r="AC47" s="111">
        <f ca="1">OFFSET(IND!AL$28,$E47,0)</f>
        <v>0.12235506099079695</v>
      </c>
      <c r="AD47" s="111">
        <f ca="1">OFFSET(IND!AM$28,$E47,0)</f>
        <v>0.1256434405014005</v>
      </c>
      <c r="AE47" s="111">
        <f ca="1">OFFSET(IND!AN$28,$E47,0)</f>
        <v>0.14016771606274481</v>
      </c>
      <c r="AF47" s="111">
        <f ca="1">OFFSET(IND!AO$28,$E47,0)</f>
        <v>0.15928254963895458</v>
      </c>
      <c r="AG47" s="111">
        <f ca="1">OFFSET(IND!AP$28,$E47,0)</f>
        <v>0.18439045636249701</v>
      </c>
      <c r="AH47" s="111">
        <f ca="1">OFFSET(IND!AQ$28,$E47,0)</f>
        <v>0.20647686292629119</v>
      </c>
      <c r="AJ47">
        <f t="shared" ca="1" si="1"/>
        <v>2.0518538166982485</v>
      </c>
    </row>
    <row r="48" spans="1:36" ht="15">
      <c r="A48" s="31" t="s">
        <v>332</v>
      </c>
      <c r="B48">
        <v>0.241298002131</v>
      </c>
      <c r="C48" t="s">
        <v>731</v>
      </c>
      <c r="D48" t="s">
        <v>272</v>
      </c>
      <c r="E48" s="114">
        <f>MATCH(F48,IND!$D$29:$D$137,0)</f>
        <v>78</v>
      </c>
      <c r="F48" t="str">
        <f t="shared" si="0"/>
        <v>INFL</v>
      </c>
      <c r="G48" s="111">
        <f ca="1">OFFSET(IND!P$28,$E48,0)</f>
        <v>0.0301888265010824</v>
      </c>
      <c r="H48" s="111">
        <f ca="1">OFFSET(IND!Q$28,$E48,0)</f>
        <v>0.029632238918296912</v>
      </c>
      <c r="I48" s="111">
        <f ca="1">OFFSET(IND!R$28,$E48,0)</f>
        <v>0.028454531859069643</v>
      </c>
      <c r="J48" s="176">
        <f ca="1">OFFSET(IND!S$28,$E48,0)</f>
        <v>0.026822964665315648</v>
      </c>
      <c r="K48" s="111">
        <f ca="1">OFFSET(IND!T$28,$E48,0)</f>
        <v>0.026134892284101374</v>
      </c>
      <c r="L48" s="111">
        <f ca="1">OFFSET(IND!U$28,$E48,0)</f>
        <v>0.029866936799147481</v>
      </c>
      <c r="M48" s="111">
        <f ca="1">OFFSET(IND!V$28,$E48,0)</f>
        <v>0.028022770532946998</v>
      </c>
      <c r="N48" s="111">
        <f ca="1">OFFSET(IND!W$28,$E48,0)</f>
        <v>0.027591366739139055</v>
      </c>
      <c r="O48" s="176">
        <f ca="1">OFFSET(IND!X$28,$E48,0)</f>
        <v>0.027482371637029997</v>
      </c>
      <c r="P48" s="111">
        <f ca="1">OFFSET(IND!Y$28,$E48,0)</f>
        <v>0.028127421013306907</v>
      </c>
      <c r="Q48" s="111">
        <f ca="1">OFFSET(IND!Z$28,$E48,0)</f>
        <v>0.028100643463320998</v>
      </c>
      <c r="R48" s="111">
        <f ca="1">OFFSET(IND!AA$28,$E48,0)</f>
        <v>0.028088473713397677</v>
      </c>
      <c r="S48" s="111">
        <f ca="1">OFFSET(IND!AB$28,$E48,0)</f>
        <v>0.028429668000673532</v>
      </c>
      <c r="T48" s="111">
        <f ca="1">OFFSET(IND!AC$28,$E48,0)</f>
        <v>0.02893780079702734</v>
      </c>
      <c r="U48" s="111">
        <f ca="1">OFFSET(IND!AD$28,$E48,0)</f>
        <v>0.029551652850620346</v>
      </c>
      <c r="V48" s="111">
        <f ca="1">OFFSET(IND!AE$28,$E48,0)</f>
        <v>0.030199194265830915</v>
      </c>
      <c r="W48" s="111">
        <f ca="1">OFFSET(IND!AF$28,$E48,0)</f>
        <v>0.03092335964930017</v>
      </c>
      <c r="X48" s="111">
        <f ca="1">OFFSET(IND!AG$28,$E48,0)</f>
        <v>0.031599440246232048</v>
      </c>
      <c r="Y48" s="111">
        <f ca="1">OFFSET(IND!AH$28,$E48,0)</f>
        <v>0.033566650882851101</v>
      </c>
      <c r="Z48" s="111">
        <f ca="1">OFFSET(IND!AI$28,$E48,0)</f>
        <v>0.034132738728728254</v>
      </c>
      <c r="AA48" s="111">
        <f ca="1">OFFSET(IND!AJ$28,$E48,0)</f>
        <v>0.034923230618727215</v>
      </c>
      <c r="AB48" s="111">
        <f ca="1">OFFSET(IND!AK$28,$E48,0)</f>
        <v>0.035764448488284688</v>
      </c>
      <c r="AC48" s="111">
        <f ca="1">OFFSET(IND!AL$28,$E48,0)</f>
        <v>0.036706518297238956</v>
      </c>
      <c r="AD48" s="111">
        <f ca="1">OFFSET(IND!AM$28,$E48,0)</f>
        <v>0.037693032150420025</v>
      </c>
      <c r="AE48" s="111">
        <f ca="1">OFFSET(IND!AN$28,$E48,0)</f>
        <v>0.042050314818823299</v>
      </c>
      <c r="AF48" s="111">
        <f ca="1">OFFSET(IND!AO$28,$E48,0)</f>
        <v>0.047784764891686218</v>
      </c>
      <c r="AG48" s="111">
        <f ca="1">OFFSET(IND!AP$28,$E48,0)</f>
        <v>0.055317136908748926</v>
      </c>
      <c r="AH48" s="111">
        <f ca="1">OFFSET(IND!AQ$28,$E48,0)</f>
        <v>0.061943058877887161</v>
      </c>
      <c r="AJ48">
        <f t="shared" ca="1" si="1"/>
        <v>2.051853816698249</v>
      </c>
    </row>
    <row r="49" spans="1:36" ht="15">
      <c r="A49" s="31" t="s">
        <v>333</v>
      </c>
      <c r="B49">
        <v>4.5042293731129996</v>
      </c>
      <c r="C49" t="s">
        <v>731</v>
      </c>
      <c r="D49" t="s">
        <v>272</v>
      </c>
      <c r="E49" s="114">
        <f>MATCH(F49,IND!$D$29:$D$137,0)</f>
        <v>83</v>
      </c>
      <c r="F49" t="str">
        <f t="shared" si="0"/>
        <v>INFO</v>
      </c>
      <c r="G49" s="111">
        <f ca="1">OFFSET(IND!P$28,$E49,0)</f>
        <v>0.56352476135353802</v>
      </c>
      <c r="H49" s="111">
        <f ca="1">OFFSET(IND!Q$28,$E49,0)</f>
        <v>0.55313512647487562</v>
      </c>
      <c r="I49" s="111">
        <f ca="1">OFFSET(IND!R$28,$E49,0)</f>
        <v>0.53115126136929991</v>
      </c>
      <c r="J49" s="176">
        <f ca="1">OFFSET(IND!S$28,$E49,0)</f>
        <v>0.50069534041922537</v>
      </c>
      <c r="K49" s="111">
        <f ca="1">OFFSET(IND!T$28,$E49,0)</f>
        <v>0.48785132263655889</v>
      </c>
      <c r="L49" s="111">
        <f ca="1">OFFSET(IND!U$28,$E49,0)</f>
        <v>0.55751615358408624</v>
      </c>
      <c r="M49" s="111">
        <f ca="1">OFFSET(IND!V$28,$E49,0)</f>
        <v>0.52309171661501053</v>
      </c>
      <c r="N49" s="111">
        <f ca="1">OFFSET(IND!W$28,$E49,0)</f>
        <v>0.51503884579726222</v>
      </c>
      <c r="O49" s="176">
        <f ca="1">OFFSET(IND!X$28,$E49,0)</f>
        <v>0.51300427055789322</v>
      </c>
      <c r="P49" s="111">
        <f ca="1">OFFSET(IND!Y$28,$E49,0)</f>
        <v>0.52504519224839552</v>
      </c>
      <c r="Q49" s="111">
        <f ca="1">OFFSET(IND!Z$28,$E49,0)</f>
        <v>0.52454534464865854</v>
      </c>
      <c r="R49" s="111">
        <f ca="1">OFFSET(IND!AA$28,$E49,0)</f>
        <v>0.52431817598342323</v>
      </c>
      <c r="S49" s="111">
        <f ca="1">OFFSET(IND!AB$28,$E49,0)</f>
        <v>0.53068713601257256</v>
      </c>
      <c r="T49" s="111">
        <f ca="1">OFFSET(IND!AC$28,$E49,0)</f>
        <v>0.54017228154451036</v>
      </c>
      <c r="U49" s="111">
        <f ca="1">OFFSET(IND!AD$28,$E49,0)</f>
        <v>0.55163085321157979</v>
      </c>
      <c r="V49" s="111">
        <f ca="1">OFFSET(IND!AE$28,$E49,0)</f>
        <v>0.56371829296217713</v>
      </c>
      <c r="W49" s="111">
        <f ca="1">OFFSET(IND!AF$28,$E49,0)</f>
        <v>0.57723604678693652</v>
      </c>
      <c r="X49" s="111">
        <f ca="1">OFFSET(IND!AG$28,$E49,0)</f>
        <v>0.58985621792966481</v>
      </c>
      <c r="Y49" s="111">
        <f ca="1">OFFSET(IND!AH$28,$E49,0)</f>
        <v>0.62657748314655382</v>
      </c>
      <c r="Z49" s="111">
        <f ca="1">OFFSET(IND!AI$28,$E49,0)</f>
        <v>0.63714445626959404</v>
      </c>
      <c r="AA49" s="111">
        <f ca="1">OFFSET(IND!AJ$28,$E49,0)</f>
        <v>0.65190030488290807</v>
      </c>
      <c r="AB49" s="111">
        <f ca="1">OFFSET(IND!AK$28,$E49,0)</f>
        <v>0.66760303844798097</v>
      </c>
      <c r="AC49" s="111">
        <f ca="1">OFFSET(IND!AL$28,$E49,0)</f>
        <v>0.68518834154846064</v>
      </c>
      <c r="AD49" s="111">
        <f ca="1">OFFSET(IND!AM$28,$E49,0)</f>
        <v>0.70360326680784058</v>
      </c>
      <c r="AE49" s="111">
        <f ca="1">OFFSET(IND!AN$28,$E49,0)</f>
        <v>0.78493920995136834</v>
      </c>
      <c r="AF49" s="111">
        <f ca="1">OFFSET(IND!AO$28,$E49,0)</f>
        <v>0.89198227797814278</v>
      </c>
      <c r="AG49" s="111">
        <f ca="1">OFFSET(IND!AP$28,$E49,0)</f>
        <v>1.03258655562998</v>
      </c>
      <c r="AH49" s="111">
        <f ca="1">OFFSET(IND!AQ$28,$E49,0)</f>
        <v>1.156270432387227</v>
      </c>
      <c r="AJ49">
        <f t="shared" ca="1" si="1"/>
        <v>2.0518538166982494</v>
      </c>
    </row>
    <row r="50" spans="1:36" ht="15">
      <c r="A50" s="31" t="s">
        <v>334</v>
      </c>
      <c r="B50" t="s">
        <v>370</v>
      </c>
      <c r="C50" t="s">
        <v>731</v>
      </c>
      <c r="D50" t="s">
        <v>272</v>
      </c>
      <c r="E50" s="114">
        <f>MATCH(F50,IND!$D$29:$D$137,0)</f>
        <v>81</v>
      </c>
      <c r="F50" t="str">
        <f t="shared" si="0"/>
        <v>INFP</v>
      </c>
      <c r="G50" s="111">
        <f ca="1">OFFSET(IND!P$28,$E50,0)</f>
        <v>0</v>
      </c>
      <c r="H50" s="111">
        <f ca="1">OFFSET(IND!Q$28,$E50,0)</f>
        <v>0</v>
      </c>
      <c r="I50" s="111">
        <f ca="1">OFFSET(IND!R$28,$E50,0)</f>
        <v>0</v>
      </c>
      <c r="J50" s="176">
        <f ca="1">OFFSET(IND!S$28,$E50,0)</f>
        <v>0</v>
      </c>
      <c r="K50" s="111">
        <f ca="1">OFFSET(IND!T$28,$E50,0)</f>
        <v>0</v>
      </c>
      <c r="L50" s="111">
        <f ca="1">OFFSET(IND!U$28,$E50,0)</f>
        <v>0</v>
      </c>
      <c r="M50" s="111">
        <f ca="1">OFFSET(IND!V$28,$E50,0)</f>
        <v>0</v>
      </c>
      <c r="N50" s="111">
        <f ca="1">OFFSET(IND!W$28,$E50,0)</f>
        <v>0</v>
      </c>
      <c r="O50" s="176">
        <f ca="1">OFFSET(IND!X$28,$E50,0)</f>
        <v>0</v>
      </c>
      <c r="P50" s="111">
        <f ca="1">OFFSET(IND!Y$28,$E50,0)</f>
        <v>0</v>
      </c>
      <c r="Q50" s="111">
        <f ca="1">OFFSET(IND!Z$28,$E50,0)</f>
        <v>0</v>
      </c>
      <c r="R50" s="111">
        <f ca="1">OFFSET(IND!AA$28,$E50,0)</f>
        <v>0</v>
      </c>
      <c r="S50" s="111">
        <f ca="1">OFFSET(IND!AB$28,$E50,0)</f>
        <v>0</v>
      </c>
      <c r="T50" s="111">
        <f ca="1">OFFSET(IND!AC$28,$E50,0)</f>
        <v>0</v>
      </c>
      <c r="U50" s="111">
        <f ca="1">OFFSET(IND!AD$28,$E50,0)</f>
        <v>0</v>
      </c>
      <c r="V50" s="111">
        <f ca="1">OFFSET(IND!AE$28,$E50,0)</f>
        <v>0</v>
      </c>
      <c r="W50" s="111">
        <f ca="1">OFFSET(IND!AF$28,$E50,0)</f>
        <v>0</v>
      </c>
      <c r="X50" s="111">
        <f ca="1">OFFSET(IND!AG$28,$E50,0)</f>
        <v>0</v>
      </c>
      <c r="Y50" s="111">
        <f ca="1">OFFSET(IND!AH$28,$E50,0)</f>
        <v>0</v>
      </c>
      <c r="Z50" s="111">
        <f ca="1">OFFSET(IND!AI$28,$E50,0)</f>
        <v>0</v>
      </c>
      <c r="AA50" s="111">
        <f ca="1">OFFSET(IND!AJ$28,$E50,0)</f>
        <v>0</v>
      </c>
      <c r="AB50" s="111">
        <f ca="1">OFFSET(IND!AK$28,$E50,0)</f>
        <v>0</v>
      </c>
      <c r="AC50" s="111">
        <f ca="1">OFFSET(IND!AL$28,$E50,0)</f>
        <v>0</v>
      </c>
      <c r="AD50" s="111">
        <f ca="1">OFFSET(IND!AM$28,$E50,0)</f>
        <v>0</v>
      </c>
      <c r="AE50" s="111">
        <f ca="1">OFFSET(IND!AN$28,$E50,0)</f>
        <v>0</v>
      </c>
      <c r="AF50" s="111">
        <f ca="1">OFFSET(IND!AO$28,$E50,0)</f>
        <v>0</v>
      </c>
      <c r="AG50" s="111">
        <f ca="1">OFFSET(IND!AP$28,$E50,0)</f>
        <v>0</v>
      </c>
      <c r="AH50" s="111">
        <f ca="1">OFFSET(IND!AQ$28,$E50,0)</f>
        <v>0</v>
      </c>
      <c r="AJ50" t="e">
        <f t="shared" ca="1" si="1"/>
        <v>#DIV/0!</v>
      </c>
    </row>
    <row r="51" spans="1:36" ht="15">
      <c r="A51" s="31" t="s">
        <v>335</v>
      </c>
      <c r="B51">
        <v>0.51839999999999997</v>
      </c>
      <c r="C51" t="s">
        <v>731</v>
      </c>
      <c r="D51" t="s">
        <v>272</v>
      </c>
      <c r="E51" s="114">
        <f>MATCH(F51,IND!$D$29:$D$137,0)</f>
        <v>85</v>
      </c>
      <c r="F51" t="str">
        <f t="shared" si="0"/>
        <v>INFS</v>
      </c>
      <c r="G51" s="111">
        <f ca="1">OFFSET(IND!P$28,$E51,0)</f>
        <v>1.9115200000000001</v>
      </c>
      <c r="H51" s="111">
        <f ca="1">OFFSET(IND!Q$28,$E51,0)</f>
        <v>1.8762775470941884</v>
      </c>
      <c r="I51" s="111">
        <f ca="1">OFFSET(IND!R$28,$E51,0)</f>
        <v>1.8017065597862387</v>
      </c>
      <c r="J51" s="176">
        <f ca="1">OFFSET(IND!S$28,$E51,0)</f>
        <v>1.6983976974131745</v>
      </c>
      <c r="K51" s="111">
        <f ca="1">OFFSET(IND!T$28,$E51,0)</f>
        <v>1.6548297860174945</v>
      </c>
      <c r="L51" s="111">
        <f ca="1">OFFSET(IND!U$28,$E51,0)</f>
        <v>1.8911383331928924</v>
      </c>
      <c r="M51" s="111">
        <f ca="1">OFFSET(IND!V$28,$E51,0)</f>
        <v>1.7743679545549167</v>
      </c>
      <c r="N51" s="111">
        <f ca="1">OFFSET(IND!W$28,$E51,0)</f>
        <v>1.7470519878375554</v>
      </c>
      <c r="O51" s="176">
        <f ca="1">OFFSET(IND!X$28,$E51,0)</f>
        <v>1.7401505497317704</v>
      </c>
      <c r="P51" s="111">
        <f ca="1">OFFSET(IND!Y$28,$E51,0)</f>
        <v>1.780994296463583</v>
      </c>
      <c r="Q51" s="111">
        <f ca="1">OFFSET(IND!Z$28,$E51,0)</f>
        <v>1.7792987743687698</v>
      </c>
      <c r="R51" s="111">
        <f ca="1">OFFSET(IND!AA$28,$E51,0)</f>
        <v>1.7785282005151424</v>
      </c>
      <c r="S51" s="111">
        <f ca="1">OFFSET(IND!AB$28,$E51,0)</f>
        <v>1.8001322103295072</v>
      </c>
      <c r="T51" s="111">
        <f ca="1">OFFSET(IND!AC$28,$E51,0)</f>
        <v>1.832306564733492</v>
      </c>
      <c r="U51" s="111">
        <f ca="1">OFFSET(IND!AD$28,$E51,0)</f>
        <v>1.8711749347061384</v>
      </c>
      <c r="V51" s="111">
        <f ca="1">OFFSET(IND!AE$28,$E51,0)</f>
        <v>1.9121764743307055</v>
      </c>
      <c r="W51" s="111">
        <f ca="1">OFFSET(IND!AF$28,$E51,0)</f>
        <v>1.9580297509978035</v>
      </c>
      <c r="X51" s="111">
        <f ca="1">OFFSET(IND!AG$28,$E51,0)</f>
        <v>2.0008383571091035</v>
      </c>
      <c r="Y51" s="111">
        <f ca="1">OFFSET(IND!AH$28,$E51,0)</f>
        <v>2.1253997565386316</v>
      </c>
      <c r="Z51" s="111">
        <f ca="1">OFFSET(IND!AI$28,$E51,0)</f>
        <v>2.1612437546189245</v>
      </c>
      <c r="AA51" s="111">
        <f ca="1">OFFSET(IND!AJ$28,$E51,0)</f>
        <v>2.2112967455000585</v>
      </c>
      <c r="AB51" s="111">
        <f ca="1">OFFSET(IND!AK$28,$E51,0)</f>
        <v>2.2645616440862573</v>
      </c>
      <c r="AC51" s="111">
        <f ca="1">OFFSET(IND!AL$28,$E51,0)</f>
        <v>2.3242123655592399</v>
      </c>
      <c r="AD51" s="111">
        <f ca="1">OFFSET(IND!AM$28,$E51,0)</f>
        <v>2.3866772301860602</v>
      </c>
      <c r="AE51" s="111">
        <f ca="1">OFFSET(IND!AN$28,$E51,0)</f>
        <v>2.662575101406977</v>
      </c>
      <c r="AF51" s="111">
        <f ca="1">OFFSET(IND!AO$28,$E51,0)</f>
        <v>3.0256735478764316</v>
      </c>
      <c r="AG51" s="111">
        <f ca="1">OFFSET(IND!AP$28,$E51,0)</f>
        <v>3.5026142384176642</v>
      </c>
      <c r="AH51" s="111">
        <f ca="1">OFFSET(IND!AQ$28,$E51,0)</f>
        <v>3.9221596076950358</v>
      </c>
      <c r="AJ51">
        <f t="shared" ca="1" si="1"/>
        <v>2.0518538166982485</v>
      </c>
    </row>
    <row r="52" spans="1:36" ht="15">
      <c r="A52" s="31" t="s">
        <v>336</v>
      </c>
      <c r="B52">
        <v>0.24189876324029999</v>
      </c>
      <c r="C52" t="s">
        <v>731</v>
      </c>
      <c r="D52" t="s">
        <v>272</v>
      </c>
      <c r="E52" s="114">
        <f>MATCH(F52,IND!$D$29:$D$137,0)</f>
        <v>99</v>
      </c>
      <c r="F52" t="str">
        <f t="shared" si="0"/>
        <v>IOTA</v>
      </c>
      <c r="G52" s="111">
        <f ca="1">OFFSET(IND!P$28,$E52,0)</f>
        <v>0.12355272</v>
      </c>
      <c r="H52" s="111">
        <f ca="1">OFFSET(IND!Q$28,$E52,0)</f>
        <v>0.12497625693493029</v>
      </c>
      <c r="I52" s="111">
        <f ca="1">OFFSET(IND!R$28,$E52,0)</f>
        <v>0.12484234548501866</v>
      </c>
      <c r="J52" s="176">
        <f ca="1">OFFSET(IND!S$28,$E52,0)</f>
        <v>0.11580423199500285</v>
      </c>
      <c r="K52" s="111">
        <f ca="1">OFFSET(IND!T$28,$E52,0)</f>
        <v>0.12670987888822677</v>
      </c>
      <c r="L52" s="111">
        <f ca="1">OFFSET(IND!U$28,$E52,0)</f>
        <v>0.1306306736570686</v>
      </c>
      <c r="M52" s="111">
        <f ca="1">OFFSET(IND!V$28,$E52,0)</f>
        <v>0.12952064018831785</v>
      </c>
      <c r="N52" s="111">
        <f ca="1">OFFSET(IND!W$28,$E52,0)</f>
        <v>0.12915318809090931</v>
      </c>
      <c r="O52" s="176">
        <f ca="1">OFFSET(IND!X$28,$E52,0)</f>
        <v>0.13251093827783925</v>
      </c>
      <c r="P52" s="111">
        <f ca="1">OFFSET(IND!Y$28,$E52,0)</f>
        <v>0.13923830227394254</v>
      </c>
      <c r="Q52" s="111">
        <f ca="1">OFFSET(IND!Z$28,$E52,0)</f>
        <v>0.14076984292819456</v>
      </c>
      <c r="R52" s="111">
        <f ca="1">OFFSET(IND!AA$28,$E52,0)</f>
        <v>0.14299449351903731</v>
      </c>
      <c r="S52" s="111">
        <f ca="1">OFFSET(IND!AB$28,$E52,0)</f>
        <v>0.14626375672259836</v>
      </c>
      <c r="T52" s="111">
        <f ca="1">OFFSET(IND!AC$28,$E52,0)</f>
        <v>0.15134093740221291</v>
      </c>
      <c r="U52" s="111">
        <f ca="1">OFFSET(IND!AD$28,$E52,0)</f>
        <v>0.15614620853510847</v>
      </c>
      <c r="V52" s="111">
        <f ca="1">OFFSET(IND!AE$28,$E52,0)</f>
        <v>0.16108212437805206</v>
      </c>
      <c r="W52" s="111">
        <f ca="1">OFFSET(IND!AF$28,$E52,0)</f>
        <v>0.16602116010948931</v>
      </c>
      <c r="X52" s="111">
        <f ca="1">OFFSET(IND!AG$28,$E52,0)</f>
        <v>0.17140699217584079</v>
      </c>
      <c r="Y52" s="111">
        <f ca="1">OFFSET(IND!AH$28,$E52,0)</f>
        <v>0.17735954800363105</v>
      </c>
      <c r="Z52" s="111">
        <f ca="1">OFFSET(IND!AI$28,$E52,0)</f>
        <v>0.18276009484852396</v>
      </c>
      <c r="AA52" s="111">
        <f ca="1">OFFSET(IND!AJ$28,$E52,0)</f>
        <v>0.18835584808609218</v>
      </c>
      <c r="AB52" s="111">
        <f ca="1">OFFSET(IND!AK$28,$E52,0)</f>
        <v>0.19423523345912855</v>
      </c>
      <c r="AC52" s="111">
        <f ca="1">OFFSET(IND!AL$28,$E52,0)</f>
        <v>0.19997119207107969</v>
      </c>
      <c r="AD52" s="111">
        <f ca="1">OFFSET(IND!AM$28,$E52,0)</f>
        <v>0.20477900313983768</v>
      </c>
      <c r="AE52" s="111">
        <f ca="1">OFFSET(IND!AN$28,$E52,0)</f>
        <v>0.23396088894298034</v>
      </c>
      <c r="AF52" s="111">
        <f ca="1">OFFSET(IND!AO$28,$E52,0)</f>
        <v>0.27290257174927818</v>
      </c>
      <c r="AG52" s="111">
        <f ca="1">OFFSET(IND!AP$28,$E52,0)</f>
        <v>0.32549359525848948</v>
      </c>
      <c r="AH52" s="111">
        <f ca="1">OFFSET(IND!AQ$28,$E52,0)</f>
        <v>0.36448142586864374</v>
      </c>
      <c r="AJ52">
        <f t="shared" ca="1" si="1"/>
        <v>2.9500072994640969</v>
      </c>
    </row>
    <row r="53" spans="1:36" ht="15">
      <c r="A53" s="31" t="s">
        <v>337</v>
      </c>
      <c r="B53">
        <v>4.5502640185010002</v>
      </c>
      <c r="C53" t="s">
        <v>731</v>
      </c>
      <c r="D53" t="s">
        <v>272</v>
      </c>
      <c r="E53" s="114">
        <f>MATCH(F53,IND!$D$29:$D$137,0)</f>
        <v>101</v>
      </c>
      <c r="F53" t="str">
        <f t="shared" si="0"/>
        <v>IOTC</v>
      </c>
      <c r="G53" s="111">
        <f ca="1">OFFSET(IND!P$28,$E53,0)</f>
        <v>2.3241024000000001</v>
      </c>
      <c r="H53" s="111">
        <f ca="1">OFFSET(IND!Q$28,$E53,0)</f>
        <v>2.3508800023624583</v>
      </c>
      <c r="I53" s="111">
        <f ca="1">OFFSET(IND!R$28,$E53,0)</f>
        <v>2.3483610459030042</v>
      </c>
      <c r="J53" s="176">
        <f ca="1">OFFSET(IND!S$28,$E53,0)</f>
        <v>2.1783485908666593</v>
      </c>
      <c r="K53" s="111">
        <f ca="1">OFFSET(IND!T$28,$E53,0)</f>
        <v>2.3834904939999473</v>
      </c>
      <c r="L53" s="111">
        <f ca="1">OFFSET(IND!U$28,$E53,0)</f>
        <v>2.4572430470167705</v>
      </c>
      <c r="M53" s="111">
        <f ca="1">OFFSET(IND!V$28,$E53,0)</f>
        <v>2.4363626370281932</v>
      </c>
      <c r="N53" s="111">
        <f ca="1">OFFSET(IND!W$28,$E53,0)</f>
        <v>2.4294506378308287</v>
      </c>
      <c r="O53" s="176">
        <f ca="1">OFFSET(IND!X$28,$E53,0)</f>
        <v>2.4926119771201969</v>
      </c>
      <c r="P53" s="111">
        <f ca="1">OFFSET(IND!Y$28,$E53,0)</f>
        <v>2.6191578177056347</v>
      </c>
      <c r="Q53" s="111">
        <f ca="1">OFFSET(IND!Z$28,$E53,0)</f>
        <v>2.6479670362339247</v>
      </c>
      <c r="R53" s="111">
        <f ca="1">OFFSET(IND!AA$28,$E53,0)</f>
        <v>2.6898140775401709</v>
      </c>
      <c r="S53" s="111">
        <f ca="1">OFFSET(IND!AB$28,$E53,0)</f>
        <v>2.7513109224305783</v>
      </c>
      <c r="T53" s="111">
        <f ca="1">OFFSET(IND!AC$28,$E53,0)</f>
        <v>2.8468158032840778</v>
      </c>
      <c r="U53" s="111">
        <f ca="1">OFFSET(IND!AD$28,$E53,0)</f>
        <v>2.9372058988854799</v>
      </c>
      <c r="V53" s="111">
        <f ca="1">OFFSET(IND!AE$28,$E53,0)</f>
        <v>3.0300535015670169</v>
      </c>
      <c r="W53" s="111">
        <f ca="1">OFFSET(IND!AF$28,$E53,0)</f>
        <v>3.122959791263586</v>
      </c>
      <c r="X53" s="111">
        <f ca="1">OFFSET(IND!AG$28,$E53,0)</f>
        <v>3.2242705939023657</v>
      </c>
      <c r="Y53" s="111">
        <f ca="1">OFFSET(IND!AH$28,$E53,0)</f>
        <v>3.3362418178908082</v>
      </c>
      <c r="Z53" s="111">
        <f ca="1">OFFSET(IND!AI$28,$E53,0)</f>
        <v>3.4378294145339905</v>
      </c>
      <c r="AA53" s="111">
        <f ca="1">OFFSET(IND!AJ$28,$E53,0)</f>
        <v>3.5430889630833065</v>
      </c>
      <c r="AB53" s="111">
        <f ca="1">OFFSET(IND!AK$28,$E53,0)</f>
        <v>3.6536838059649419</v>
      </c>
      <c r="AC53" s="111">
        <f ca="1">OFFSET(IND!AL$28,$E53,0)</f>
        <v>3.7615807035511408</v>
      </c>
      <c r="AD53" s="111">
        <f ca="1">OFFSET(IND!AM$28,$E53,0)</f>
        <v>3.8520185769030753</v>
      </c>
      <c r="AE53" s="111">
        <f ca="1">OFFSET(IND!AN$28,$E53,0)</f>
        <v>4.4009477371158958</v>
      </c>
      <c r="AF53" s="111">
        <f ca="1">OFFSET(IND!AO$28,$E53,0)</f>
        <v>5.1334646616332638</v>
      </c>
      <c r="AG53" s="111">
        <f ca="1">OFFSET(IND!AP$28,$E53,0)</f>
        <v>6.1227340517058932</v>
      </c>
      <c r="AH53" s="111">
        <f ca="1">OFFSET(IND!AQ$28,$E53,0)</f>
        <v>6.8561190447020239</v>
      </c>
      <c r="AJ53">
        <f t="shared" ca="1" si="1"/>
        <v>2.9500072994640956</v>
      </c>
    </row>
    <row r="54" spans="1:36" ht="15">
      <c r="A54" s="31" t="s">
        <v>338</v>
      </c>
      <c r="B54">
        <v>0.43799389606880001</v>
      </c>
      <c r="C54" t="s">
        <v>731</v>
      </c>
      <c r="D54" t="s">
        <v>272</v>
      </c>
      <c r="E54" s="114">
        <f>MATCH(F54,IND!$D$29:$D$137,0)</f>
        <v>106</v>
      </c>
      <c r="F54" t="str">
        <f t="shared" si="0"/>
        <v>IOTE</v>
      </c>
      <c r="G54" s="111">
        <f ca="1">OFFSET(IND!P$28,$E54,0)</f>
        <v>0.22371068159999999</v>
      </c>
      <c r="H54" s="111">
        <f ca="1">OFFSET(IND!Q$28,$E54,0)</f>
        <v>0.22628820816514586</v>
      </c>
      <c r="I54" s="111">
        <f ca="1">OFFSET(IND!R$28,$E54,0)</f>
        <v>0.22604574145349615</v>
      </c>
      <c r="J54" s="176">
        <f ca="1">OFFSET(IND!S$28,$E54,0)</f>
        <v>0.20968088498388876</v>
      </c>
      <c r="K54" s="111">
        <f ca="1">OFFSET(IND!T$28,$E54,0)</f>
        <v>0.2294271900411311</v>
      </c>
      <c r="L54" s="111">
        <f ca="1">OFFSET(IND!U$28,$E54,0)</f>
        <v>0.23652637547510066</v>
      </c>
      <c r="M54" s="111">
        <f ca="1">OFFSET(IND!V$28,$E54,0)</f>
        <v>0.23451649383192003</v>
      </c>
      <c r="N54" s="111">
        <f ca="1">OFFSET(IND!W$28,$E54,0)</f>
        <v>0.23385116684303128</v>
      </c>
      <c r="O54" s="176">
        <f ca="1">OFFSET(IND!X$28,$E54,0)</f>
        <v>0.23993087583657369</v>
      </c>
      <c r="P54" s="111">
        <f ca="1">OFFSET(IND!Y$28,$E54,0)</f>
        <v>0.25211177468638912</v>
      </c>
      <c r="Q54" s="111">
        <f ca="1">OFFSET(IND!Z$28,$E54,0)</f>
        <v>0.25488485814145856</v>
      </c>
      <c r="R54" s="111">
        <f ca="1">OFFSET(IND!AA$28,$E54,0)</f>
        <v>0.25891292081785511</v>
      </c>
      <c r="S54" s="111">
        <f ca="1">OFFSET(IND!AB$28,$E54,0)</f>
        <v>0.26483241089139165</v>
      </c>
      <c r="T54" s="111">
        <f ca="1">OFFSET(IND!AC$28,$E54,0)</f>
        <v>0.27402540599860514</v>
      </c>
      <c r="U54" s="111">
        <f ca="1">OFFSET(IND!AD$28,$E54,0)</f>
        <v>0.28272606819700002</v>
      </c>
      <c r="V54" s="111">
        <f ca="1">OFFSET(IND!AE$28,$E54,0)</f>
        <v>0.29166328218585552</v>
      </c>
      <c r="W54" s="111">
        <f ca="1">OFFSET(IND!AF$28,$E54,0)</f>
        <v>0.30060614519952761</v>
      </c>
      <c r="X54" s="111">
        <f ca="1">OFFSET(IND!AG$28,$E54,0)</f>
        <v>0.31035799981306122</v>
      </c>
      <c r="Y54" s="111">
        <f ca="1">OFFSET(IND!AH$28,$E54,0)</f>
        <v>0.32113599257191761</v>
      </c>
      <c r="Z54" s="111">
        <f ca="1">OFFSET(IND!AI$28,$E54,0)</f>
        <v>0.33091449049315902</v>
      </c>
      <c r="AA54" s="111">
        <f ca="1">OFFSET(IND!AJ$28,$E54,0)</f>
        <v>0.34104643878892937</v>
      </c>
      <c r="AB54" s="111">
        <f ca="1">OFFSET(IND!AK$28,$E54,0)</f>
        <v>0.35169194549401067</v>
      </c>
      <c r="AC54" s="111">
        <f ca="1">OFFSET(IND!AL$28,$E54,0)</f>
        <v>0.36207775659318336</v>
      </c>
      <c r="AD54" s="111">
        <f ca="1">OFFSET(IND!AM$28,$E54,0)</f>
        <v>0.3707830177254019</v>
      </c>
      <c r="AE54" s="111">
        <f ca="1">OFFSET(IND!AN$28,$E54,0)</f>
        <v>0.42362118724036207</v>
      </c>
      <c r="AF54" s="111">
        <f ca="1">OFFSET(IND!AO$28,$E54,0)</f>
        <v>0.49413092918087043</v>
      </c>
      <c r="AG54" s="111">
        <f ca="1">OFFSET(IND!AP$28,$E54,0)</f>
        <v>0.58935484424552687</v>
      </c>
      <c r="AH54" s="111">
        <f ca="1">OFFSET(IND!AQ$28,$E54,0)</f>
        <v>0.6599481436880883</v>
      </c>
      <c r="AJ54">
        <f t="shared" ca="1" si="1"/>
        <v>2.9500072994640965</v>
      </c>
    </row>
    <row r="55" spans="1:36" ht="15">
      <c r="A55" s="31" t="s">
        <v>339</v>
      </c>
      <c r="B55">
        <v>1.959977536374</v>
      </c>
      <c r="C55" t="s">
        <v>731</v>
      </c>
      <c r="D55" t="s">
        <v>272</v>
      </c>
      <c r="E55" s="114">
        <f>MATCH(F55,IND!$D$29:$D$137,0)</f>
        <v>104</v>
      </c>
      <c r="F55" t="str">
        <f t="shared" si="0"/>
        <v>IOTF</v>
      </c>
      <c r="G55" s="111">
        <f ca="1">OFFSET(IND!P$28,$E55,0)</f>
        <v>1.0010822399999999</v>
      </c>
      <c r="H55" s="111">
        <f ca="1">OFFSET(IND!Q$28,$E55,0)</f>
        <v>1.0126164056868643</v>
      </c>
      <c r="I55" s="111">
        <f ca="1">OFFSET(IND!R$28,$E55,0)</f>
        <v>1.0115313921457687</v>
      </c>
      <c r="J55" s="176">
        <f ca="1">OFFSET(IND!S$28,$E55,0)</f>
        <v>0.93830034633828474</v>
      </c>
      <c r="K55" s="111">
        <f ca="1">OFFSET(IND!T$28,$E55,0)</f>
        <v>1.0266630260147633</v>
      </c>
      <c r="L55" s="111">
        <f ca="1">OFFSET(IND!U$28,$E55,0)</f>
        <v>1.0584311490457452</v>
      </c>
      <c r="M55" s="111">
        <f ca="1">OFFSET(IND!V$28,$E55,0)</f>
        <v>1.049437135871677</v>
      </c>
      <c r="N55" s="111">
        <f ca="1">OFFSET(IND!W$28,$E55,0)</f>
        <v>1.0464598661784932</v>
      </c>
      <c r="O55" s="176">
        <f ca="1">OFFSET(IND!X$28,$E55,0)</f>
        <v>1.0736659372264818</v>
      </c>
      <c r="P55" s="111">
        <f ca="1">OFFSET(IND!Y$28,$E55,0)</f>
        <v>1.1281742039689253</v>
      </c>
      <c r="Q55" s="111">
        <f ca="1">OFFSET(IND!Z$28,$E55,0)</f>
        <v>1.1405834665801382</v>
      </c>
      <c r="R55" s="111">
        <f ca="1">OFFSET(IND!AA$28,$E55,0)</f>
        <v>1.158608631843179</v>
      </c>
      <c r="S55" s="111">
        <f ca="1">OFFSET(IND!AB$28,$E55,0)</f>
        <v>1.1850977397395528</v>
      </c>
      <c r="T55" s="111">
        <f ca="1">OFFSET(IND!AC$28,$E55,0)</f>
        <v>1.226235445227811</v>
      </c>
      <c r="U55" s="111">
        <f ca="1">OFFSET(IND!AD$28,$E55,0)</f>
        <v>1.2651700116989208</v>
      </c>
      <c r="V55" s="111">
        <f ca="1">OFFSET(IND!AE$28,$E55,0)</f>
        <v>1.3051631230485168</v>
      </c>
      <c r="W55" s="111">
        <f ca="1">OFFSET(IND!AF$28,$E55,0)</f>
        <v>1.3451815132018639</v>
      </c>
      <c r="X55" s="111">
        <f ca="1">OFFSET(IND!AG$28,$E55,0)</f>
        <v>1.3888200573735094</v>
      </c>
      <c r="Y55" s="111">
        <f ca="1">OFFSET(IND!AH$28,$E55,0)</f>
        <v>1.4370504639708659</v>
      </c>
      <c r="Z55" s="111">
        <f ca="1">OFFSET(IND!AI$28,$E55,0)</f>
        <v>1.4808082341981044</v>
      </c>
      <c r="AA55" s="111">
        <f ca="1">OFFSET(IND!AJ$28,$E55,0)</f>
        <v>1.5261476584175957</v>
      </c>
      <c r="AB55" s="111">
        <f ca="1">OFFSET(IND!AK$28,$E55,0)</f>
        <v>1.5737852035810083</v>
      </c>
      <c r="AC55" s="111">
        <f ca="1">OFFSET(IND!AL$28,$E55,0)</f>
        <v>1.620260637677476</v>
      </c>
      <c r="AD55" s="111">
        <f ca="1">OFFSET(IND!AM$28,$E55,0)</f>
        <v>1.659215783903387</v>
      </c>
      <c r="AE55" s="111">
        <f ca="1">OFFSET(IND!AN$28,$E55,0)</f>
        <v>1.8956611459094541</v>
      </c>
      <c r="AF55" s="111">
        <f ca="1">OFFSET(IND!AO$28,$E55,0)</f>
        <v>2.2111849729291921</v>
      </c>
      <c r="AG55" s="111">
        <f ca="1">OFFSET(IND!AP$28,$E55,0)</f>
        <v>2.6373021771355738</v>
      </c>
      <c r="AH55" s="111">
        <f ca="1">OFFSET(IND!AQ$28,$E55,0)</f>
        <v>2.9531999153638684</v>
      </c>
      <c r="AJ55">
        <f t="shared" ca="1" si="1"/>
        <v>2.9500072994640965</v>
      </c>
    </row>
    <row r="56" spans="1:36" ht="15">
      <c r="A56" s="31" t="s">
        <v>340</v>
      </c>
      <c r="B56">
        <v>3.382156358499</v>
      </c>
      <c r="C56" t="s">
        <v>731</v>
      </c>
      <c r="D56" t="s">
        <v>272</v>
      </c>
      <c r="E56" s="114">
        <f>MATCH(F56,IND!$D$29:$D$137,0)</f>
        <v>102</v>
      </c>
      <c r="F56" t="str">
        <f t="shared" si="0"/>
        <v>IOTH</v>
      </c>
      <c r="G56" s="111">
        <f ca="1">OFFSET(IND!P$28,$E56,0)</f>
        <v>1.72747728</v>
      </c>
      <c r="H56" s="111">
        <f ca="1">OFFSET(IND!Q$28,$E56,0)</f>
        <v>1.7473807488376987</v>
      </c>
      <c r="I56" s="111">
        <f ca="1">OFFSET(IND!R$28,$E56,0)</f>
        <v>1.7455084388856863</v>
      </c>
      <c r="J56" s="176">
        <f ca="1">OFFSET(IND!S$28,$E56,0)</f>
        <v>1.6191402317910646</v>
      </c>
      <c r="K56" s="111">
        <f ca="1">OFFSET(IND!T$28,$E56,0)</f>
        <v>1.7716197339157196</v>
      </c>
      <c r="L56" s="111">
        <f ca="1">OFFSET(IND!U$28,$E56,0)</f>
        <v>1.8264391169508896</v>
      </c>
      <c r="M56" s="111">
        <f ca="1">OFFSET(IND!V$28,$E56,0)</f>
        <v>1.8109189600712476</v>
      </c>
      <c r="N56" s="111">
        <f ca="1">OFFSET(IND!W$28,$E56,0)</f>
        <v>1.8057813544421559</v>
      </c>
      <c r="O56" s="176">
        <f ca="1">OFFSET(IND!X$28,$E56,0)</f>
        <v>1.8527284160676485</v>
      </c>
      <c r="P56" s="111">
        <f ca="1">OFFSET(IND!Y$28,$E56,0)</f>
        <v>1.9467884129463773</v>
      </c>
      <c r="Q56" s="111">
        <f ca="1">OFFSET(IND!Z$28,$E56,0)</f>
        <v>1.9682019575742631</v>
      </c>
      <c r="R56" s="111">
        <f ca="1">OFFSET(IND!AA$28,$E56,0)</f>
        <v>1.9993063586074369</v>
      </c>
      <c r="S56" s="111">
        <f ca="1">OFFSET(IND!AB$28,$E56,0)</f>
        <v>2.0450162216237406</v>
      </c>
      <c r="T56" s="111">
        <f ca="1">OFFSET(IND!AC$28,$E56,0)</f>
        <v>2.1160038475577476</v>
      </c>
      <c r="U56" s="111">
        <f ca="1">OFFSET(IND!AD$28,$E56,0)</f>
        <v>2.1831897153097239</v>
      </c>
      <c r="V56" s="111">
        <f ca="1">OFFSET(IND!AE$28,$E56,0)</f>
        <v>2.2522022184312829</v>
      </c>
      <c r="W56" s="111">
        <f ca="1">OFFSET(IND!AF$28,$E56,0)</f>
        <v>2.3212583429032172</v>
      </c>
      <c r="X56" s="111">
        <f ca="1">OFFSET(IND!AG$28,$E56,0)</f>
        <v>2.3965614404677034</v>
      </c>
      <c r="Y56" s="111">
        <f ca="1">OFFSET(IND!AH$28,$E56,0)</f>
        <v>2.4797883006326535</v>
      </c>
      <c r="Z56" s="111">
        <f ca="1">OFFSET(IND!AI$28,$E56,0)</f>
        <v>2.5552971358418519</v>
      </c>
      <c r="AA56" s="111">
        <f ca="1">OFFSET(IND!AJ$28,$E56,0)</f>
        <v>2.6335352886108523</v>
      </c>
      <c r="AB56" s="111">
        <f ca="1">OFFSET(IND!AK$28,$E56,0)</f>
        <v>2.7157391013013754</v>
      </c>
      <c r="AC56" s="111">
        <f ca="1">OFFSET(IND!AL$28,$E56,0)</f>
        <v>2.7959375637971093</v>
      </c>
      <c r="AD56" s="111">
        <f ca="1">OFFSET(IND!AM$28,$E56,0)</f>
        <v>2.8631589441747485</v>
      </c>
      <c r="AE56" s="111">
        <f ca="1">OFFSET(IND!AN$28,$E56,0)</f>
        <v>3.2711713676364376</v>
      </c>
      <c r="AF56" s="111">
        <f ca="1">OFFSET(IND!AO$28,$E56,0)</f>
        <v>3.8156423618229369</v>
      </c>
      <c r="AG56" s="111">
        <f ca="1">OFFSET(IND!AP$28,$E56,0)</f>
        <v>4.5509543666424861</v>
      </c>
      <c r="AH56" s="111">
        <f ca="1">OFFSET(IND!AQ$28,$E56,0)</f>
        <v>5.096070585658385</v>
      </c>
      <c r="AJ56">
        <f t="shared" ca="1" si="1"/>
        <v>2.9500072994640978</v>
      </c>
    </row>
    <row r="57" spans="1:36" ht="15">
      <c r="A57" s="31" t="s">
        <v>341</v>
      </c>
      <c r="B57">
        <v>4.2714054259280001</v>
      </c>
      <c r="C57" t="s">
        <v>731</v>
      </c>
      <c r="D57" t="s">
        <v>272</v>
      </c>
      <c r="E57" s="114">
        <f>MATCH(F57,IND!$D$29:$D$137,0)</f>
        <v>98</v>
      </c>
      <c r="F57" t="str">
        <f t="shared" si="0"/>
        <v>IOTK</v>
      </c>
      <c r="G57" s="111">
        <f ca="1">OFFSET(IND!P$28,$E57,0)</f>
        <v>2.1816719999999998</v>
      </c>
      <c r="H57" s="111">
        <f ca="1">OFFSET(IND!Q$28,$E57,0)</f>
        <v>2.2068085625289613</v>
      </c>
      <c r="I57" s="111">
        <f ca="1">OFFSET(IND!R$28,$E57,0)</f>
        <v>2.2044439779147851</v>
      </c>
      <c r="J57" s="176">
        <f ca="1">OFFSET(IND!S$28,$E57,0)</f>
        <v>2.0448505741112126</v>
      </c>
      <c r="K57" s="111">
        <f ca="1">OFFSET(IND!T$28,$E57,0)</f>
        <v>2.23742055127427</v>
      </c>
      <c r="L57" s="111">
        <f ca="1">OFFSET(IND!U$28,$E57,0)</f>
        <v>2.3066532493883116</v>
      </c>
      <c r="M57" s="111">
        <f ca="1">OFFSET(IND!V$28,$E57,0)</f>
        <v>2.2870524754204351</v>
      </c>
      <c r="N57" s="111">
        <f ca="1">OFFSET(IND!W$28,$E57,0)</f>
        <v>2.2805640715046209</v>
      </c>
      <c r="O57" s="176">
        <f ca="1">OFFSET(IND!X$28,$E57,0)</f>
        <v>2.3398546283278119</v>
      </c>
      <c r="P57" s="111">
        <f ca="1">OFFSET(IND!Y$28,$E57,0)</f>
        <v>2.4586452277100568</v>
      </c>
      <c r="Q57" s="111">
        <f ca="1">OFFSET(IND!Z$28,$E57,0)</f>
        <v>2.4856889007448819</v>
      </c>
      <c r="R57" s="111">
        <f ca="1">OFFSET(IND!AA$28,$E57,0)</f>
        <v>2.5249713860177687</v>
      </c>
      <c r="S57" s="111">
        <f ca="1">OFFSET(IND!AB$28,$E57,0)</f>
        <v>2.5826994553944642</v>
      </c>
      <c r="T57" s="111">
        <f ca="1">OFFSET(IND!AC$28,$E57,0)</f>
        <v>2.6723514106703661</v>
      </c>
      <c r="U57" s="111">
        <f ca="1">OFFSET(IND!AD$28,$E57,0)</f>
        <v>2.7572020354323827</v>
      </c>
      <c r="V57" s="111">
        <f ca="1">OFFSET(IND!AE$28,$E57,0)</f>
        <v>2.8443595612958879</v>
      </c>
      <c r="W57" s="111">
        <f ca="1">OFFSET(IND!AF$28,$E57,0)</f>
        <v>2.9315721775966557</v>
      </c>
      <c r="X57" s="111">
        <f ca="1">OFFSET(IND!AG$28,$E57,0)</f>
        <v>3.0266742442760552</v>
      </c>
      <c r="Y57" s="111">
        <f ca="1">OFFSET(IND!AH$28,$E57,0)</f>
        <v>3.1317834185453619</v>
      </c>
      <c r="Z57" s="111">
        <f ca="1">OFFSET(IND!AI$28,$E57,0)</f>
        <v>3.2271453161724737</v>
      </c>
      <c r="AA57" s="111">
        <f ca="1">OFFSET(IND!AJ$28,$E57,0)</f>
        <v>3.3259541336336507</v>
      </c>
      <c r="AB57" s="111">
        <f ca="1">OFFSET(IND!AK$28,$E57,0)</f>
        <v>3.4297712770001665</v>
      </c>
      <c r="AC57" s="111">
        <f ca="1">OFFSET(IND!AL$28,$E57,0)</f>
        <v>3.5310558160767052</v>
      </c>
      <c r="AD57" s="111">
        <f ca="1">OFFSET(IND!AM$28,$E57,0)</f>
        <v>3.6159512905753597</v>
      </c>
      <c r="AE57" s="111">
        <f ca="1">OFFSET(IND!AN$28,$E57,0)</f>
        <v>4.131239850502765</v>
      </c>
      <c r="AF57" s="111">
        <f ca="1">OFFSET(IND!AO$28,$E57,0)</f>
        <v>4.8188651736148858</v>
      </c>
      <c r="AG57" s="111">
        <f ca="1">OFFSET(IND!AP$28,$E57,0)</f>
        <v>5.7475081321947377</v>
      </c>
      <c r="AH57" s="111">
        <f ca="1">OFFSET(IND!AQ$28,$E57,0)</f>
        <v>6.4359483250364367</v>
      </c>
      <c r="AJ57">
        <f t="shared" ca="1" si="1"/>
        <v>2.9500072994640978</v>
      </c>
    </row>
    <row r="58" spans="1:36" ht="15">
      <c r="A58" s="31" t="s">
        <v>342</v>
      </c>
      <c r="B58">
        <v>1.0716137343180001</v>
      </c>
      <c r="C58" t="s">
        <v>731</v>
      </c>
      <c r="D58" t="s">
        <v>272</v>
      </c>
      <c r="E58" s="114">
        <f>MATCH(F58,IND!$D$29:$D$137,0)</f>
        <v>100</v>
      </c>
      <c r="F58" t="str">
        <f t="shared" si="0"/>
        <v>IOTL</v>
      </c>
      <c r="G58" s="111">
        <f ca="1">OFFSET(IND!P$28,$E58,0)</f>
        <v>0.54733968</v>
      </c>
      <c r="H58" s="111">
        <f ca="1">OFFSET(IND!Q$28,$E58,0)</f>
        <v>0.55364596164586688</v>
      </c>
      <c r="I58" s="111">
        <f ca="1">OFFSET(IND!R$28,$E58,0)</f>
        <v>0.55305273269758493</v>
      </c>
      <c r="J58" s="176">
        <f ca="1">OFFSET(IND!S$28,$E58,0)</f>
        <v>0.51301380724593215</v>
      </c>
      <c r="K58" s="111">
        <f ca="1">OFFSET(IND!T$28,$E58,0)</f>
        <v>0.5613259227601044</v>
      </c>
      <c r="L58" s="111">
        <f ca="1">OFFSET(IND!U$28,$E58,0)</f>
        <v>0.57869507945793808</v>
      </c>
      <c r="M58" s="111">
        <f ca="1">OFFSET(IND!V$28,$E58,0)</f>
        <v>0.57377762103553087</v>
      </c>
      <c r="N58" s="111">
        <f ca="1">OFFSET(IND!W$28,$E58,0)</f>
        <v>0.57214980488214373</v>
      </c>
      <c r="O58" s="176">
        <f ca="1">OFFSET(IND!X$28,$E58,0)</f>
        <v>0.58702466893073912</v>
      </c>
      <c r="P58" s="111">
        <f ca="1">OFFSET(IND!Y$28,$E58,0)</f>
        <v>0.61682695298301005</v>
      </c>
      <c r="Q58" s="111">
        <f ca="1">OFFSET(IND!Z$28,$E58,0)</f>
        <v>0.62361169209361222</v>
      </c>
      <c r="R58" s="111">
        <f ca="1">OFFSET(IND!AA$28,$E58,0)</f>
        <v>0.63346691456466497</v>
      </c>
      <c r="S58" s="111">
        <f ca="1">OFFSET(IND!AB$28,$E58,0)</f>
        <v>0.64794978046735718</v>
      </c>
      <c r="T58" s="111">
        <f ca="1">OFFSET(IND!AC$28,$E58,0)</f>
        <v>0.67044173732983992</v>
      </c>
      <c r="U58" s="111">
        <f ca="1">OFFSET(IND!AD$28,$E58,0)</f>
        <v>0.69172913241262157</v>
      </c>
      <c r="V58" s="111">
        <f ca="1">OFFSET(IND!AE$28,$E58,0)</f>
        <v>0.71359528475620149</v>
      </c>
      <c r="W58" s="111">
        <f ca="1">OFFSET(IND!AF$28,$E58,0)</f>
        <v>0.73547525823435267</v>
      </c>
      <c r="X58" s="111">
        <f ca="1">OFFSET(IND!AG$28,$E58,0)</f>
        <v>0.7593345435639719</v>
      </c>
      <c r="Y58" s="111">
        <f ca="1">OFFSET(IND!AH$28,$E58,0)</f>
        <v>0.78570442034179477</v>
      </c>
      <c r="Z58" s="111">
        <f ca="1">OFFSET(IND!AI$28,$E58,0)</f>
        <v>0.80962889227498003</v>
      </c>
      <c r="AA58" s="111">
        <f ca="1">OFFSET(IND!AJ$28,$E58,0)</f>
        <v>0.83441813031368572</v>
      </c>
      <c r="AB58" s="111">
        <f ca="1">OFFSET(IND!AK$28,$E58,0)</f>
        <v>0.86046386130750274</v>
      </c>
      <c r="AC58" s="111">
        <f ca="1">OFFSET(IND!AL$28,$E58,0)</f>
        <v>0.88587421043748205</v>
      </c>
      <c r="AD58" s="111">
        <f ca="1">OFFSET(IND!AM$28,$E58,0)</f>
        <v>0.90717285745937248</v>
      </c>
      <c r="AE58" s="111">
        <f ca="1">OFFSET(IND!AN$28,$E58,0)</f>
        <v>1.0364488785561856</v>
      </c>
      <c r="AF58" s="111">
        <f ca="1">OFFSET(IND!AO$28,$E58,0)</f>
        <v>1.2089608896706359</v>
      </c>
      <c r="AG58" s="111">
        <f ca="1">OFFSET(IND!AP$28,$E58,0)</f>
        <v>1.4419396049785966</v>
      </c>
      <c r="AH58" s="111">
        <f ca="1">OFFSET(IND!AQ$28,$E58,0)</f>
        <v>1.614656051286343</v>
      </c>
      <c r="AJ58">
        <f t="shared" ca="1" si="1"/>
        <v>2.9500072994640969</v>
      </c>
    </row>
    <row r="59" spans="1:36" ht="15">
      <c r="A59" s="31" t="s">
        <v>343</v>
      </c>
      <c r="B59">
        <v>13.06049710462</v>
      </c>
      <c r="C59" t="s">
        <v>731</v>
      </c>
      <c r="D59" t="s">
        <v>272</v>
      </c>
      <c r="E59" s="114">
        <f>MATCH(F59,IND!$D$29:$D$137,0)</f>
        <v>105</v>
      </c>
      <c r="F59" t="str">
        <f t="shared" si="0"/>
        <v>IOTO</v>
      </c>
      <c r="G59" s="111">
        <f ca="1">OFFSET(IND!P$28,$E59,0)</f>
        <v>6.6708069119999998</v>
      </c>
      <c r="H59" s="111">
        <f ca="1">OFFSET(IND!Q$28,$E59,0)</f>
        <v>6.7476659242906258</v>
      </c>
      <c r="I59" s="111">
        <f ca="1">OFFSET(IND!R$28,$E59,0)</f>
        <v>6.740435833154903</v>
      </c>
      <c r="J59" s="176">
        <f ca="1">OFFSET(IND!S$28,$E59,0)</f>
        <v>6.2524537803062259</v>
      </c>
      <c r="K59" s="111">
        <f ca="1">OFFSET(IND!T$28,$E59,0)</f>
        <v>6.8412669175252976</v>
      </c>
      <c r="L59" s="111">
        <f ca="1">OFFSET(IND!U$28,$E59,0)</f>
        <v>7.0529568329275936</v>
      </c>
      <c r="M59" s="111">
        <f ca="1">OFFSET(IND!V$28,$E59,0)</f>
        <v>6.9930243689891736</v>
      </c>
      <c r="N59" s="111">
        <f ca="1">OFFSET(IND!W$28,$E59,0)</f>
        <v>6.973185048647041</v>
      </c>
      <c r="O59" s="176">
        <f ca="1">OFFSET(IND!X$28,$E59,0)</f>
        <v>7.1544752958851561</v>
      </c>
      <c r="P59" s="111">
        <f ca="1">OFFSET(IND!Y$28,$E59,0)</f>
        <v>7.5176963261040441</v>
      </c>
      <c r="Q59" s="111">
        <f ca="1">OFFSET(IND!Z$28,$E59,0)</f>
        <v>7.6003866301490968</v>
      </c>
      <c r="R59" s="111">
        <f ca="1">OFFSET(IND!AA$28,$E59,0)</f>
        <v>7.7204990367248385</v>
      </c>
      <c r="S59" s="111">
        <f ca="1">OFFSET(IND!AB$28,$E59,0)</f>
        <v>7.8970117316737021</v>
      </c>
      <c r="T59" s="111">
        <f ca="1">OFFSET(IND!AC$28,$E59,0)</f>
        <v>8.171136752725813</v>
      </c>
      <c r="U59" s="111">
        <f ca="1">OFFSET(IND!AD$28,$E59,0)</f>
        <v>8.4305809469722348</v>
      </c>
      <c r="V59" s="111">
        <f ca="1">OFFSET(IND!AE$28,$E59,0)</f>
        <v>8.6970788558985479</v>
      </c>
      <c r="W59" s="111">
        <f ca="1">OFFSET(IND!AF$28,$E59,0)</f>
        <v>8.9637452125427934</v>
      </c>
      <c r="X59" s="111">
        <f ca="1">OFFSET(IND!AG$28,$E59,0)</f>
        <v>9.254534810498134</v>
      </c>
      <c r="Y59" s="111">
        <f ca="1">OFFSET(IND!AH$28,$E59,0)</f>
        <v>9.5759227213437157</v>
      </c>
      <c r="Z59" s="111">
        <f ca="1">OFFSET(IND!AI$28,$E59,0)</f>
        <v>9.867506793483054</v>
      </c>
      <c r="AA59" s="111">
        <f ca="1">OFFSET(IND!AJ$28,$E59,0)</f>
        <v>10.16963036773554</v>
      </c>
      <c r="AB59" s="111">
        <f ca="1">OFFSET(IND!AK$28,$E59,0)</f>
        <v>10.48706768991479</v>
      </c>
      <c r="AC59" s="111">
        <f ca="1">OFFSET(IND!AL$28,$E59,0)</f>
        <v>10.796761174247223</v>
      </c>
      <c r="AD59" s="111">
        <f ca="1">OFFSET(IND!AM$28,$E59,0)</f>
        <v>11.056342503651068</v>
      </c>
      <c r="AE59" s="111">
        <f ca="1">OFFSET(IND!AN$28,$E59,0)</f>
        <v>12.631918707240912</v>
      </c>
      <c r="AF59" s="111">
        <f ca="1">OFFSET(IND!AO$28,$E59,0)</f>
        <v>14.734441798834228</v>
      </c>
      <c r="AG59" s="111">
        <f ca="1">OFFSET(IND!AP$28,$E59,0)</f>
        <v>17.573914399149309</v>
      </c>
      <c r="AH59" s="111">
        <f ca="1">OFFSET(IND!AQ$28,$E59,0)</f>
        <v>19.678929083715559</v>
      </c>
      <c r="AJ59">
        <f t="shared" ca="1" si="1"/>
        <v>2.9500072994640982</v>
      </c>
    </row>
    <row r="60" spans="1:36" ht="15">
      <c r="A60" s="31" t="s">
        <v>344</v>
      </c>
      <c r="B60">
        <v>4.6033799408959997</v>
      </c>
      <c r="C60" t="s">
        <v>731</v>
      </c>
      <c r="D60" t="s">
        <v>272</v>
      </c>
      <c r="E60" s="114">
        <f>MATCH(F60,IND!$D$29:$D$137,0)</f>
        <v>103</v>
      </c>
      <c r="F60" t="str">
        <f t="shared" si="0"/>
        <v>IOTP</v>
      </c>
      <c r="G60" s="111">
        <f ca="1">OFFSET(IND!P$28,$E60,0)</f>
        <v>2.351232</v>
      </c>
      <c r="H60" s="111">
        <f ca="1">OFFSET(IND!Q$28,$E60,0)</f>
        <v>2.3783221813783624</v>
      </c>
      <c r="I60" s="111">
        <f ca="1">OFFSET(IND!R$28,$E60,0)</f>
        <v>2.3757738207579031</v>
      </c>
      <c r="J60" s="176">
        <f ca="1">OFFSET(IND!S$28,$E60,0)</f>
        <v>2.2037767845343637</v>
      </c>
      <c r="K60" s="111">
        <f ca="1">OFFSET(IND!T$28,$E60,0)</f>
        <v>2.4113133402334102</v>
      </c>
      <c r="L60" s="111">
        <f ca="1">OFFSET(IND!U$28,$E60,0)</f>
        <v>2.4859268179936205</v>
      </c>
      <c r="M60" s="111">
        <f ca="1">OFFSET(IND!V$28,$E60,0)</f>
        <v>2.4648026678106238</v>
      </c>
      <c r="N60" s="111">
        <f ca="1">OFFSET(IND!W$28,$E60,0)</f>
        <v>2.4578099837977256</v>
      </c>
      <c r="O60" s="176">
        <f ca="1">OFFSET(IND!X$28,$E60,0)</f>
        <v>2.5217086149854135</v>
      </c>
      <c r="P60" s="111">
        <f ca="1">OFFSET(IND!Y$28,$E60,0)</f>
        <v>2.6497316443714598</v>
      </c>
      <c r="Q60" s="111">
        <f ca="1">OFFSET(IND!Z$28,$E60,0)</f>
        <v>2.6788771572794579</v>
      </c>
      <c r="R60" s="111">
        <f ca="1">OFFSET(IND!AA$28,$E60,0)</f>
        <v>2.7212126854492009</v>
      </c>
      <c r="S60" s="111">
        <f ca="1">OFFSET(IND!AB$28,$E60,0)</f>
        <v>2.7834273923422201</v>
      </c>
      <c r="T60" s="111">
        <f ca="1">OFFSET(IND!AC$28,$E60,0)</f>
        <v>2.8800471161628809</v>
      </c>
      <c r="U60" s="111">
        <f ca="1">OFFSET(IND!AD$28,$E60,0)</f>
        <v>2.9714923490670233</v>
      </c>
      <c r="V60" s="111">
        <f ca="1">OFFSET(IND!AE$28,$E60,0)</f>
        <v>3.0654237759043759</v>
      </c>
      <c r="W60" s="111">
        <f ca="1">OFFSET(IND!AF$28,$E60,0)</f>
        <v>3.1594145748191931</v>
      </c>
      <c r="X60" s="111">
        <f ca="1">OFFSET(IND!AG$28,$E60,0)</f>
        <v>3.2619079938311883</v>
      </c>
      <c r="Y60" s="111">
        <f ca="1">OFFSET(IND!AH$28,$E60,0)</f>
        <v>3.37518627490899</v>
      </c>
      <c r="Z60" s="111">
        <f ca="1">OFFSET(IND!AI$28,$E60,0)</f>
        <v>3.4779597189838052</v>
      </c>
      <c r="AA60" s="111">
        <f ca="1">OFFSET(IND!AJ$28,$E60,0)</f>
        <v>3.5844479782165766</v>
      </c>
      <c r="AB60" s="111">
        <f ca="1">OFFSET(IND!AK$28,$E60,0)</f>
        <v>3.6963338114820443</v>
      </c>
      <c r="AC60" s="111">
        <f ca="1">OFFSET(IND!AL$28,$E60,0)</f>
        <v>3.8054902059272262</v>
      </c>
      <c r="AD60" s="111">
        <f ca="1">OFFSET(IND!AM$28,$E60,0)</f>
        <v>3.8969837742988331</v>
      </c>
      <c r="AE60" s="111">
        <f ca="1">OFFSET(IND!AN$28,$E60,0)</f>
        <v>4.4523206678993521</v>
      </c>
      <c r="AF60" s="111">
        <f ca="1">OFFSET(IND!AO$28,$E60,0)</f>
        <v>5.1933883736367674</v>
      </c>
      <c r="AG60" s="111">
        <f ca="1">OFFSET(IND!AP$28,$E60,0)</f>
        <v>6.1942056554223077</v>
      </c>
      <c r="AH60" s="111">
        <f ca="1">OFFSET(IND!AQ$28,$E60,0)</f>
        <v>6.9361515627335688</v>
      </c>
      <c r="AJ60">
        <f t="shared" ca="1" si="1"/>
        <v>2.9500072994640973</v>
      </c>
    </row>
    <row r="61" spans="1:36" ht="15">
      <c r="A61" s="31" t="s">
        <v>345</v>
      </c>
      <c r="B61">
        <v>109.842732955</v>
      </c>
      <c r="C61" t="s">
        <v>731</v>
      </c>
      <c r="D61" t="s">
        <v>272</v>
      </c>
      <c r="E61" s="114">
        <f>MATCH(F61,IND!$D$29:$D$137,0)</f>
        <v>107</v>
      </c>
      <c r="F61" t="str">
        <f t="shared" si="0"/>
        <v>IOTS</v>
      </c>
      <c r="G61" s="111">
        <f ca="1">OFFSET(IND!P$28,$E61,0)</f>
        <v>68.533420800000002</v>
      </c>
      <c r="H61" s="111">
        <f ca="1">OFFSET(IND!Q$28,$E61,0)</f>
        <v>69.323042070870599</v>
      </c>
      <c r="I61" s="111">
        <f ca="1">OFFSET(IND!R$28,$E61,0)</f>
        <v>69.248762769316315</v>
      </c>
      <c r="J61" s="176">
        <f ca="1">OFFSET(IND!S$28,$E61,0)</f>
        <v>64.23541433757471</v>
      </c>
      <c r="K61" s="111">
        <f ca="1">OFFSET(IND!T$28,$E61,0)</f>
        <v>70.284664306571983</v>
      </c>
      <c r="L61" s="111">
        <f ca="1">OFFSET(IND!U$28,$E61,0)</f>
        <v>72.459488768255028</v>
      </c>
      <c r="M61" s="111">
        <f ca="1">OFFSET(IND!V$28,$E61,0)</f>
        <v>71.843764639996436</v>
      </c>
      <c r="N61" s="111">
        <f ca="1">OFFSET(IND!W$28,$E61,0)</f>
        <v>71.639942747483332</v>
      </c>
      <c r="O61" s="176">
        <f ca="1">OFFSET(IND!X$28,$E61,0)</f>
        <v>73.502452180720809</v>
      </c>
      <c r="P61" s="111">
        <f ca="1">OFFSET(IND!Y$28,$E61,0)</f>
        <v>77.234051676221327</v>
      </c>
      <c r="Q61" s="111">
        <f ca="1">OFFSET(IND!Z$28,$E61,0)</f>
        <v>78.083581497419601</v>
      </c>
      <c r="R61" s="111">
        <f ca="1">OFFSET(IND!AA$28,$E61,0)</f>
        <v>79.317572259219062</v>
      </c>
      <c r="S61" s="111">
        <f ca="1">OFFSET(IND!AB$28,$E61,0)</f>
        <v>81.130998874477754</v>
      </c>
      <c r="T61" s="111">
        <f ca="1">OFFSET(IND!AC$28,$E61,0)</f>
        <v>83.94725868643215</v>
      </c>
      <c r="U61" s="111">
        <f ca="1">OFFSET(IND!AD$28,$E61,0)</f>
        <v>86.612693074350318</v>
      </c>
      <c r="V61" s="111">
        <f ca="1">OFFSET(IND!AE$28,$E61,0)</f>
        <v>89.350594736878179</v>
      </c>
      <c r="W61" s="111">
        <f ca="1">OFFSET(IND!AF$28,$E61,0)</f>
        <v>92.090226969408761</v>
      </c>
      <c r="X61" s="111">
        <f ca="1">OFFSET(IND!AG$28,$E61,0)</f>
        <v>95.077692525500112</v>
      </c>
      <c r="Y61" s="111">
        <f ca="1">OFFSET(IND!AH$28,$E61,0)</f>
        <v>98.379513913013412</v>
      </c>
      <c r="Z61" s="111">
        <f ca="1">OFFSET(IND!AI$28,$E61,0)</f>
        <v>101.37514160515292</v>
      </c>
      <c r="AA61" s="111">
        <f ca="1">OFFSET(IND!AJ$28,$E61,0)</f>
        <v>104.47904827206584</v>
      </c>
      <c r="AB61" s="111">
        <f ca="1">OFFSET(IND!AK$28,$E61,0)</f>
        <v>107.74028276221438</v>
      </c>
      <c r="AC61" s="111">
        <f ca="1">OFFSET(IND!AL$28,$E61,0)</f>
        <v>110.92195990573846</v>
      </c>
      <c r="AD61" s="111">
        <f ca="1">OFFSET(IND!AM$28,$E61,0)</f>
        <v>113.58880316991014</v>
      </c>
      <c r="AE61" s="111">
        <f ca="1">OFFSET(IND!AN$28,$E61,0)</f>
        <v>129.77569455914318</v>
      </c>
      <c r="AF61" s="111">
        <f ca="1">OFFSET(IND!AO$28,$E61,0)</f>
        <v>151.37624478923229</v>
      </c>
      <c r="AG61" s="111">
        <f ca="1">OFFSET(IND!AP$28,$E61,0)</f>
        <v>180.54794367582477</v>
      </c>
      <c r="AH61" s="111">
        <f ca="1">OFFSET(IND!AQ$28,$E61,0)</f>
        <v>202.17409161724461</v>
      </c>
      <c r="AJ61">
        <f t="shared" ca="1" si="1"/>
        <v>2.9500072994640973</v>
      </c>
    </row>
    <row r="62" spans="1:36" ht="15">
      <c r="A62" s="31" t="s">
        <v>346</v>
      </c>
      <c r="B62">
        <v>9.3435013244270007</v>
      </c>
      <c r="C62" t="s">
        <v>731</v>
      </c>
      <c r="D62" t="s">
        <v>272</v>
      </c>
      <c r="E62" s="113">
        <f>MATCH(F62,RES!$D$96:$D$125,0)</f>
        <v>21</v>
      </c>
      <c r="F62" t="str">
        <f t="shared" si="0"/>
        <v>RHEH</v>
      </c>
      <c r="G62" s="111">
        <f ca="1">OFFSET(RES!L$95,$E62,0)</f>
        <v>5.1732793164602802</v>
      </c>
      <c r="H62" s="111">
        <f ca="1">OFFSET(RES!M$95,$E62,0)</f>
        <v>5.3645209692701856</v>
      </c>
      <c r="I62" s="111">
        <f ca="1">OFFSET(RES!N$95,$E62,0)</f>
        <v>5.4438514175288821</v>
      </c>
      <c r="J62" s="176">
        <f ca="1">OFFSET(RES!O$95,$E62,0)</f>
        <v>4.5975048523171873</v>
      </c>
      <c r="K62" s="111">
        <f ca="1">OFFSET(RES!P$95,$E62,0)</f>
        <v>4.858240526703665</v>
      </c>
      <c r="L62" s="111">
        <f ca="1">OFFSET(RES!Q$95,$E62,0)</f>
        <v>5.2322744679495488</v>
      </c>
      <c r="M62" s="111">
        <f ca="1">OFFSET(RES!R$95,$E62,0)</f>
        <v>5.4292509669004474</v>
      </c>
      <c r="N62" s="111">
        <f ca="1">OFFSET(RES!S$95,$E62,0)</f>
        <v>5.617983025925116</v>
      </c>
      <c r="O62" s="176">
        <f ca="1">OFFSET(RES!T$95,$E62,0)</f>
        <v>5.7891642977939641</v>
      </c>
      <c r="P62" s="111">
        <f ca="1">OFFSET(RES!U$95,$E62,0)</f>
        <v>5.9107767687623145</v>
      </c>
      <c r="Q62" s="111">
        <f ca="1">OFFSET(RES!V$95,$E62,0)</f>
        <v>6.2188192476865698</v>
      </c>
      <c r="R62" s="111">
        <f ca="1">OFFSET(RES!W$95,$E62,0)</f>
        <v>6.5400720087090276</v>
      </c>
      <c r="S62" s="111">
        <f ca="1">OFFSET(RES!X$95,$E62,0)</f>
        <v>6.8742789508639754</v>
      </c>
      <c r="T62" s="111">
        <f ca="1">OFFSET(RES!Y$95,$E62,0)</f>
        <v>7.2163140274809958</v>
      </c>
      <c r="U62" s="111">
        <f ca="1">OFFSET(RES!Z$95,$E62,0)</f>
        <v>7.5507401682271169</v>
      </c>
      <c r="V62" s="111">
        <f ca="1">OFFSET(RES!AA$95,$E62,0)</f>
        <v>7.8769595928393432</v>
      </c>
      <c r="W62" s="111">
        <f ca="1">OFFSET(RES!AB$95,$E62,0)</f>
        <v>8.1940086719902983</v>
      </c>
      <c r="X62" s="111">
        <f ca="1">OFFSET(RES!AC$95,$E62,0)</f>
        <v>8.4978566086479113</v>
      </c>
      <c r="Y62" s="111">
        <f ca="1">OFFSET(RES!AD$95,$E62,0)</f>
        <v>8.7953705915054066</v>
      </c>
      <c r="Z62" s="111">
        <f ca="1">OFFSET(RES!AE$95,$E62,0)</f>
        <v>9.0843890843634458</v>
      </c>
      <c r="AA62" s="111">
        <f ca="1">OFFSET(RES!AF$95,$E62,0)</f>
        <v>9.3710457010708179</v>
      </c>
      <c r="AB62" s="111">
        <f ca="1">OFFSET(RES!AG$95,$E62,0)</f>
        <v>9.6536848900848842</v>
      </c>
      <c r="AC62" s="111">
        <f ca="1">OFFSET(RES!AH$95,$E62,0)</f>
        <v>9.9362060686348137</v>
      </c>
      <c r="AD62" s="111">
        <f ca="1">OFFSET(RES!AI$95,$E62,0)</f>
        <v>10.209750949265901</v>
      </c>
      <c r="AE62" s="111">
        <f ca="1">OFFSET(RES!AJ$95,$E62,0)</f>
        <v>11.395348446875417</v>
      </c>
      <c r="AF62" s="111">
        <f ca="1">OFFSET(RES!AK$95,$E62,0)</f>
        <v>12.341185977377265</v>
      </c>
      <c r="AG62" s="111">
        <f ca="1">OFFSET(RES!AL$95,$E62,0)</f>
        <v>13.244706743101688</v>
      </c>
      <c r="AH62" s="111">
        <f ca="1">OFFSET(RES!AM$95,$E62,0)</f>
        <v>13.636745519470566</v>
      </c>
      <c r="AJ62">
        <f t="shared" ca="1" si="1"/>
        <v>2.6359963739211465</v>
      </c>
    </row>
    <row r="63" spans="1:36" ht="15">
      <c r="A63" s="31" t="s">
        <v>347</v>
      </c>
      <c r="B63">
        <v>3.5355599850489998</v>
      </c>
      <c r="C63" t="s">
        <v>731</v>
      </c>
      <c r="D63" t="s">
        <v>272</v>
      </c>
      <c r="E63" s="114">
        <f>MATCH(F63,RES!$D$96:$D$125,0)</f>
        <v>20</v>
      </c>
      <c r="F63" t="str">
        <f t="shared" si="0"/>
        <v>RHEK</v>
      </c>
      <c r="G63" s="111">
        <f ca="1">OFFSET(RES!L$95,$E63,0)</f>
        <v>7.6194416260697402</v>
      </c>
      <c r="H63" s="111">
        <f ca="1">OFFSET(RES!M$95,$E63,0)</f>
        <v>7.9011110509975246</v>
      </c>
      <c r="I63" s="111">
        <f ca="1">OFFSET(RES!N$95,$E63,0)</f>
        <v>8.0179525518524741</v>
      </c>
      <c r="J63" s="176">
        <f ca="1">OFFSET(RES!O$95,$E63,0)</f>
        <v>6.7714147458351635</v>
      </c>
      <c r="K63" s="111">
        <f ca="1">OFFSET(RES!P$95,$E63,0)</f>
        <v>7.1554381339597057</v>
      </c>
      <c r="L63" s="111">
        <f ca="1">OFFSET(RES!Q$95,$E63,0)</f>
        <v>7.7063323747604944</v>
      </c>
      <c r="M63" s="111">
        <f ca="1">OFFSET(RES!R$95,$E63,0)</f>
        <v>7.9964483425352428</v>
      </c>
      <c r="N63" s="111">
        <f ca="1">OFFSET(RES!S$95,$E63,0)</f>
        <v>8.2744215233242429</v>
      </c>
      <c r="O63" s="176">
        <f ca="1">OFFSET(RES!T$95,$E63,0)</f>
        <v>8.5265451046532146</v>
      </c>
      <c r="P63" s="111">
        <f ca="1">OFFSET(RES!U$95,$E63,0)</f>
        <v>8.7056614961840459</v>
      </c>
      <c r="Q63" s="111">
        <f ca="1">OFFSET(RES!V$95,$E63,0)</f>
        <v>9.1593605027397462</v>
      </c>
      <c r="R63" s="111">
        <f ca="1">OFFSET(RES!W$95,$E63,0)</f>
        <v>9.632516215023843</v>
      </c>
      <c r="S63" s="111">
        <f ca="1">OFFSET(RES!X$95,$E63,0)</f>
        <v>10.124751435858443</v>
      </c>
      <c r="T63" s="111">
        <f ca="1">OFFSET(RES!Y$95,$E63,0)</f>
        <v>10.628516290011893</v>
      </c>
      <c r="U63" s="111">
        <f ca="1">OFFSET(RES!Z$95,$E63,0)</f>
        <v>11.121074356524792</v>
      </c>
      <c r="V63" s="111">
        <f ca="1">OFFSET(RES!AA$95,$E63,0)</f>
        <v>11.601545197373117</v>
      </c>
      <c r="W63" s="111">
        <f ca="1">OFFSET(RES!AB$95,$E63,0)</f>
        <v>12.068509535351833</v>
      </c>
      <c r="X63" s="111">
        <f ca="1">OFFSET(RES!AC$95,$E63,0)</f>
        <v>12.516030628828865</v>
      </c>
      <c r="Y63" s="111">
        <f ca="1">OFFSET(RES!AD$95,$E63,0)</f>
        <v>12.954222786385376</v>
      </c>
      <c r="Z63" s="111">
        <f ca="1">OFFSET(RES!AE$95,$E63,0)</f>
        <v>13.379902398962969</v>
      </c>
      <c r="AA63" s="111">
        <f ca="1">OFFSET(RES!AF$95,$E63,0)</f>
        <v>13.80210333266839</v>
      </c>
      <c r="AB63" s="111">
        <f ca="1">OFFSET(RES!AG$95,$E63,0)</f>
        <v>14.218387215713371</v>
      </c>
      <c r="AC63" s="111">
        <f ca="1">OFFSET(RES!AH$95,$E63,0)</f>
        <v>14.634497287566697</v>
      </c>
      <c r="AD63" s="111">
        <f ca="1">OFFSET(RES!AI$95,$E63,0)</f>
        <v>15.037386658617494</v>
      </c>
      <c r="AE63" s="111">
        <f ca="1">OFFSET(RES!AJ$95,$E63,0)</f>
        <v>16.783588704253631</v>
      </c>
      <c r="AF63" s="111">
        <f ca="1">OFFSET(RES!AK$95,$E63,0)</f>
        <v>18.176661339723829</v>
      </c>
      <c r="AG63" s="111">
        <f ca="1">OFFSET(RES!AL$95,$E63,0)</f>
        <v>19.507407914816849</v>
      </c>
      <c r="AH63" s="111">
        <f ca="1">OFFSET(RES!AM$95,$E63,0)</f>
        <v>20.084820497623678</v>
      </c>
      <c r="AJ63">
        <f t="shared" ca="1" si="1"/>
        <v>2.6359963739211465</v>
      </c>
    </row>
    <row r="64" spans="1:36" ht="15">
      <c r="A64" s="31" t="s">
        <v>348</v>
      </c>
      <c r="B64">
        <v>27.200595464100001</v>
      </c>
      <c r="C64" t="s">
        <v>731</v>
      </c>
      <c r="D64" t="s">
        <v>272</v>
      </c>
      <c r="E64" s="114">
        <f>MATCH(F64,RES!$D$96:$D$125,0)</f>
        <v>19</v>
      </c>
      <c r="F64" t="str">
        <f t="shared" si="0"/>
        <v>RHEL</v>
      </c>
      <c r="G64" s="111">
        <f ca="1">OFFSET(RES!L$95,$E64,0)</f>
        <v>18.7538979805365</v>
      </c>
      <c r="H64" s="111">
        <f ca="1">OFFSET(RES!M$95,$E64,0)</f>
        <v>19.447177083989232</v>
      </c>
      <c r="I64" s="111">
        <f ca="1">OFFSET(RES!N$95,$E64,0)</f>
        <v>19.734761620292947</v>
      </c>
      <c r="J64" s="176">
        <f ca="1">OFFSET(RES!O$95,$E64,0)</f>
        <v>16.6666309106954</v>
      </c>
      <c r="K64" s="111">
        <f ca="1">OFFSET(RES!P$95,$E64,0)</f>
        <v>17.611836057800456</v>
      </c>
      <c r="L64" s="111">
        <f ca="1">OFFSET(RES!Q$95,$E64,0)</f>
        <v>18.967764076816234</v>
      </c>
      <c r="M64" s="111">
        <f ca="1">OFFSET(RES!R$95,$E64,0)</f>
        <v>19.681832840537272</v>
      </c>
      <c r="N64" s="111">
        <f ca="1">OFFSET(RES!S$95,$E64,0)</f>
        <v>20.366014297614875</v>
      </c>
      <c r="O64" s="176">
        <f ca="1">OFFSET(RES!T$95,$E64,0)</f>
        <v>20.986571571333368</v>
      </c>
      <c r="P64" s="111">
        <f ca="1">OFFSET(RES!U$95,$E64,0)</f>
        <v>21.427434655305014</v>
      </c>
      <c r="Q64" s="111">
        <f ca="1">OFFSET(RES!V$95,$E64,0)</f>
        <v>22.544133922834579</v>
      </c>
      <c r="R64" s="111">
        <f ca="1">OFFSET(RES!W$95,$E64,0)</f>
        <v>23.708722404846636</v>
      </c>
      <c r="S64" s="111">
        <f ca="1">OFFSET(RES!X$95,$E64,0)</f>
        <v>24.920271697694311</v>
      </c>
      <c r="T64" s="111">
        <f ca="1">OFFSET(RES!Y$95,$E64,0)</f>
        <v>26.160199128682045</v>
      </c>
      <c r="U64" s="111">
        <f ca="1">OFFSET(RES!Z$95,$E64,0)</f>
        <v>27.372543048644335</v>
      </c>
      <c r="V64" s="111">
        <f ca="1">OFFSET(RES!AA$95,$E64,0)</f>
        <v>28.555136416255703</v>
      </c>
      <c r="W64" s="111">
        <f ca="1">OFFSET(RES!AB$95,$E64,0)</f>
        <v>29.70448593355345</v>
      </c>
      <c r="X64" s="111">
        <f ca="1">OFFSET(RES!AC$95,$E64,0)</f>
        <v>30.805979368779827</v>
      </c>
      <c r="Y64" s="111">
        <f ca="1">OFFSET(RES!AD$95,$E64,0)</f>
        <v>31.884511290406333</v>
      </c>
      <c r="Z64" s="111">
        <f ca="1">OFFSET(RES!AE$95,$E64,0)</f>
        <v>32.932245811970262</v>
      </c>
      <c r="AA64" s="111">
        <f ca="1">OFFSET(RES!AF$95,$E64,0)</f>
        <v>33.971418185298482</v>
      </c>
      <c r="AB64" s="111">
        <f ca="1">OFFSET(RES!AG$95,$E64,0)</f>
        <v>34.996026792687232</v>
      </c>
      <c r="AC64" s="111">
        <f ca="1">OFFSET(RES!AH$95,$E64,0)</f>
        <v>36.020207594796254</v>
      </c>
      <c r="AD64" s="111">
        <f ca="1">OFFSET(RES!AI$95,$E64,0)</f>
        <v>37.011847997457437</v>
      </c>
      <c r="AE64" s="111">
        <f ca="1">OFFSET(RES!AJ$95,$E64,0)</f>
        <v>41.309813205986295</v>
      </c>
      <c r="AF64" s="111">
        <f ca="1">OFFSET(RES!AK$95,$E64,0)</f>
        <v>44.738613289669232</v>
      </c>
      <c r="AG64" s="111">
        <f ca="1">OFFSET(RES!AL$95,$E64,0)</f>
        <v>48.014008880581585</v>
      </c>
      <c r="AH64" s="111">
        <f ca="1">OFFSET(RES!AM$95,$E64,0)</f>
        <v>49.435207073581324</v>
      </c>
      <c r="AJ64">
        <f t="shared" ca="1" si="1"/>
        <v>2.6359963739211465</v>
      </c>
    </row>
    <row r="65" spans="1:36" ht="15">
      <c r="A65" s="31" t="s">
        <v>349</v>
      </c>
      <c r="B65">
        <v>11.63227160329</v>
      </c>
      <c r="C65" t="s">
        <v>731</v>
      </c>
      <c r="D65" t="s">
        <v>272</v>
      </c>
      <c r="E65" s="114">
        <f>MATCH(F65,RES!$D$96:$D$125,0)</f>
        <v>24</v>
      </c>
      <c r="F65" t="str">
        <f t="shared" si="0"/>
        <v>RHEO</v>
      </c>
      <c r="G65" s="111">
        <f ca="1">OFFSET(RES!L$95,$E65,0)</f>
        <v>14.27502736796</v>
      </c>
      <c r="H65" s="111">
        <f ca="1">OFFSET(RES!M$95,$E65,0)</f>
        <v>14.80273516426419</v>
      </c>
      <c r="I65" s="111">
        <f ca="1">OFFSET(RES!N$95,$E65,0)</f>
        <v>15.021637769503817</v>
      </c>
      <c r="J65" s="176">
        <f ca="1">OFFSET(RES!O$95,$E65,0)</f>
        <v>12.686248620355284</v>
      </c>
      <c r="K65" s="111">
        <f ca="1">OFFSET(RES!P$95,$E65,0)</f>
        <v>13.405716613476752</v>
      </c>
      <c r="L65" s="111">
        <f ca="1">OFFSET(RES!Q$95,$E65,0)</f>
        <v>14.43781722533474</v>
      </c>
      <c r="M65" s="111">
        <f ca="1">OFFSET(RES!R$95,$E65,0)</f>
        <v>14.981349623522158</v>
      </c>
      <c r="N65" s="111">
        <f ca="1">OFFSET(RES!S$95,$E65,0)</f>
        <v>15.502132504743427</v>
      </c>
      <c r="O65" s="176">
        <f ca="1">OFFSET(RES!T$95,$E65,0)</f>
        <v>15.974486149564987</v>
      </c>
      <c r="P65" s="111">
        <f ca="1">OFFSET(RES!U$95,$E65,0)</f>
        <v>16.310060790940874</v>
      </c>
      <c r="Q65" s="111">
        <f ca="1">OFFSET(RES!V$95,$E65,0)</f>
        <v>17.160066087029691</v>
      </c>
      <c r="R65" s="111">
        <f ca="1">OFFSET(RES!W$95,$E65,0)</f>
        <v>18.046523530190932</v>
      </c>
      <c r="S65" s="111">
        <f ca="1">OFFSET(RES!X$95,$E65,0)</f>
        <v>18.968726441339452</v>
      </c>
      <c r="T65" s="111">
        <f ca="1">OFFSET(RES!Y$95,$E65,0)</f>
        <v>19.912530125779028</v>
      </c>
      <c r="U65" s="111">
        <f ca="1">OFFSET(RES!Z$95,$E65,0)</f>
        <v>20.835337888453363</v>
      </c>
      <c r="V65" s="111">
        <f ca="1">OFFSET(RES!AA$95,$E65,0)</f>
        <v>21.735500228322152</v>
      </c>
      <c r="W65" s="111">
        <f ca="1">OFFSET(RES!AB$95,$E65,0)</f>
        <v>22.610358128893264</v>
      </c>
      <c r="X65" s="111">
        <f ca="1">OFFSET(RES!AC$95,$E65,0)</f>
        <v>23.448789102006351</v>
      </c>
      <c r="Y65" s="111">
        <f ca="1">OFFSET(RES!AD$95,$E65,0)</f>
        <v>24.269742309409715</v>
      </c>
      <c r="Z65" s="111">
        <f ca="1">OFFSET(RES!AE$95,$E65,0)</f>
        <v>25.06725325807777</v>
      </c>
      <c r="AA65" s="111">
        <f ca="1">OFFSET(RES!AF$95,$E65,0)</f>
        <v>25.858246900289313</v>
      </c>
      <c r="AB65" s="111">
        <f ca="1">OFFSET(RES!AG$95,$E65,0)</f>
        <v>26.638154945384869</v>
      </c>
      <c r="AC65" s="111">
        <f ca="1">OFFSET(RES!AH$95,$E65,0)</f>
        <v>27.417737355133443</v>
      </c>
      <c r="AD65" s="111">
        <f ca="1">OFFSET(RES!AI$95,$E65,0)</f>
        <v>28.172550775887601</v>
      </c>
      <c r="AE65" s="111">
        <f ca="1">OFFSET(RES!AJ$95,$E65,0)</f>
        <v>31.444061106271416</v>
      </c>
      <c r="AF65" s="111">
        <f ca="1">OFFSET(RES!AK$95,$E65,0)</f>
        <v>34.053983325355453</v>
      </c>
      <c r="AG65" s="111">
        <f ca="1">OFFSET(RES!AL$95,$E65,0)</f>
        <v>36.547137641844472</v>
      </c>
      <c r="AH65" s="111">
        <f ca="1">OFFSET(RES!AM$95,$E65,0)</f>
        <v>37.628920379567688</v>
      </c>
      <c r="AJ65">
        <f t="shared" ca="1" si="1"/>
        <v>2.6359963739211465</v>
      </c>
    </row>
    <row r="66" spans="1:36" ht="15">
      <c r="A66" s="31" t="s">
        <v>350</v>
      </c>
      <c r="B66">
        <v>4.337948126733</v>
      </c>
      <c r="C66" t="s">
        <v>731</v>
      </c>
      <c r="D66" t="s">
        <v>272</v>
      </c>
      <c r="E66" s="114">
        <f>MATCH(F66,RES!$D$96:$D$125,0)</f>
        <v>23</v>
      </c>
      <c r="F66" t="str">
        <f t="shared" si="0"/>
        <v>RHER</v>
      </c>
      <c r="G66" s="111">
        <f ca="1">OFFSET(RES!L$95,$E66,0)</f>
        <v>8.0408397122186805</v>
      </c>
      <c r="H66" s="111">
        <f ca="1">OFFSET(RES!M$95,$E66,0)</f>
        <v>8.338087044612168</v>
      </c>
      <c r="I66" s="111">
        <f ca="1">OFFSET(RES!N$95,$E66,0)</f>
        <v>8.4613905393059543</v>
      </c>
      <c r="J66" s="176">
        <f ca="1">OFFSET(RES!O$95,$E66,0)</f>
        <v>7.145912163684339</v>
      </c>
      <c r="K66" s="111">
        <f ca="1">OFFSET(RES!P$95,$E66,0)</f>
        <v>7.5511742105891289</v>
      </c>
      <c r="L66" s="111">
        <f ca="1">OFFSET(RES!Q$95,$E66,0)</f>
        <v>8.1325360092683905</v>
      </c>
      <c r="M66" s="111">
        <f ca="1">OFFSET(RES!R$95,$E66,0)</f>
        <v>8.4386970259563334</v>
      </c>
      <c r="N66" s="111">
        <f ca="1">OFFSET(RES!S$95,$E66,0)</f>
        <v>8.7320436910679167</v>
      </c>
      <c r="O66" s="176">
        <f ca="1">OFFSET(RES!T$95,$E66,0)</f>
        <v>8.99811112810956</v>
      </c>
      <c r="P66" s="111">
        <f ca="1">OFFSET(RES!U$95,$E66,0)</f>
        <v>9.187133666086968</v>
      </c>
      <c r="Q66" s="111">
        <f ca="1">OFFSET(RES!V$95,$E66,0)</f>
        <v>9.6659247860064745</v>
      </c>
      <c r="R66" s="111">
        <f ca="1">OFFSET(RES!W$95,$E66,0)</f>
        <v>10.165248677192915</v>
      </c>
      <c r="S66" s="111">
        <f ca="1">OFFSET(RES!X$95,$E66,0)</f>
        <v>10.684707281337532</v>
      </c>
      <c r="T66" s="111">
        <f ca="1">OFFSET(RES!Y$95,$E66,0)</f>
        <v>11.216333172536405</v>
      </c>
      <c r="U66" s="111">
        <f ca="1">OFFSET(RES!Z$95,$E66,0)</f>
        <v>11.736132477545784</v>
      </c>
      <c r="V66" s="111">
        <f ca="1">OFFSET(RES!AA$95,$E66,0)</f>
        <v>12.243176065154332</v>
      </c>
      <c r="W66" s="111">
        <f ca="1">OFFSET(RES!AB$95,$E66,0)</f>
        <v>12.73596616412461</v>
      </c>
      <c r="X66" s="111">
        <f ca="1">OFFSET(RES!AC$95,$E66,0)</f>
        <v>13.20823769753641</v>
      </c>
      <c r="Y66" s="111">
        <f ca="1">OFFSET(RES!AD$95,$E66,0)</f>
        <v>13.670664352267622</v>
      </c>
      <c r="Z66" s="111">
        <f ca="1">OFFSET(RES!AE$95,$E66,0)</f>
        <v>14.119886447727302</v>
      </c>
      <c r="AA66" s="111">
        <f ca="1">OFFSET(RES!AF$95,$E66,0)</f>
        <v>14.565437473757733</v>
      </c>
      <c r="AB66" s="111">
        <f ca="1">OFFSET(RES!AG$95,$E66,0)</f>
        <v>15.004744202861355</v>
      </c>
      <c r="AC66" s="111">
        <f ca="1">OFFSET(RES!AH$95,$E66,0)</f>
        <v>15.443867508034343</v>
      </c>
      <c r="AD66" s="111">
        <f ca="1">OFFSET(RES!AI$95,$E66,0)</f>
        <v>15.86903893310202</v>
      </c>
      <c r="AE66" s="111">
        <f ca="1">OFFSET(RES!AJ$95,$E66,0)</f>
        <v>17.711815798281723</v>
      </c>
      <c r="AF66" s="111">
        <f ca="1">OFFSET(RES!AK$95,$E66,0)</f>
        <v>19.181933205700176</v>
      </c>
      <c r="AG66" s="111">
        <f ca="1">OFFSET(RES!AL$95,$E66,0)</f>
        <v>20.586277570160696</v>
      </c>
      <c r="AH66" s="111">
        <f ca="1">OFFSET(RES!AM$95,$E66,0)</f>
        <v>21.195624324689582</v>
      </c>
      <c r="AJ66">
        <f t="shared" ca="1" si="1"/>
        <v>2.6359963739211447</v>
      </c>
    </row>
    <row r="67" spans="1:36" ht="15">
      <c r="A67" s="31" t="s">
        <v>504</v>
      </c>
      <c r="B67">
        <v>25.581294669590001</v>
      </c>
      <c r="C67" t="s">
        <v>731</v>
      </c>
      <c r="D67" t="s">
        <v>272</v>
      </c>
      <c r="E67" s="114">
        <f>MATCH(F67,RES!$D$96:$D$125,0)</f>
        <v>22</v>
      </c>
      <c r="F67" t="str">
        <f t="shared" si="0"/>
        <v>RHEWG</v>
      </c>
      <c r="G67" s="111">
        <f ca="1">OFFSET(RES!L$95,$E67,0)</f>
        <v>34.754847546913702</v>
      </c>
      <c r="H67" s="111">
        <f ca="1">OFFSET(RES!M$95,$E67,0)</f>
        <v>36.039636958318582</v>
      </c>
      <c r="I67" s="111">
        <f ca="1">OFFSET(RES!N$95,$E67,0)</f>
        <v>36.572590519570682</v>
      </c>
      <c r="J67" s="176">
        <f ca="1">OFFSET(RES!O$95,$E67,0)</f>
        <v>30.886710433375583</v>
      </c>
      <c r="K67" s="111">
        <f ca="1">OFFSET(RES!P$95,$E67,0)</f>
        <v>32.638370852040964</v>
      </c>
      <c r="L67" s="111">
        <f ca="1">OFFSET(RES!Q$95,$E67,0)</f>
        <v>35.151185608439356</v>
      </c>
      <c r="M67" s="111">
        <f ca="1">OFFSET(RES!R$95,$E67,0)</f>
        <v>36.474502555502532</v>
      </c>
      <c r="N67" s="111">
        <f ca="1">OFFSET(RES!S$95,$E67,0)</f>
        <v>37.742432148584236</v>
      </c>
      <c r="O67" s="176">
        <f ca="1">OFFSET(RES!T$95,$E67,0)</f>
        <v>38.892452985031035</v>
      </c>
      <c r="P67" s="111">
        <f ca="1">OFFSET(RES!U$95,$E67,0)</f>
        <v>39.709463362734837</v>
      </c>
      <c r="Q67" s="111">
        <f ca="1">OFFSET(RES!V$95,$E67,0)</f>
        <v>41.778937817539884</v>
      </c>
      <c r="R67" s="111">
        <f ca="1">OFFSET(RES!W$95,$E67,0)</f>
        <v>43.937160880778649</v>
      </c>
      <c r="S67" s="111">
        <f ca="1">OFFSET(RES!X$95,$E67,0)</f>
        <v>46.182412028683601</v>
      </c>
      <c r="T67" s="111">
        <f ca="1">OFFSET(RES!Y$95,$E67,0)</f>
        <v>48.480253729536358</v>
      </c>
      <c r="U67" s="111">
        <f ca="1">OFFSET(RES!Z$95,$E67,0)</f>
        <v>50.726977485656086</v>
      </c>
      <c r="V67" s="111">
        <f ca="1">OFFSET(RES!AA$95,$E67,0)</f>
        <v>52.91856732175205</v>
      </c>
      <c r="W67" s="111">
        <f ca="1">OFFSET(RES!AB$95,$E67,0)</f>
        <v>55.048549434977737</v>
      </c>
      <c r="X67" s="111">
        <f ca="1">OFFSET(RES!AC$95,$E67,0)</f>
        <v>57.089844340972732</v>
      </c>
      <c r="Y67" s="111">
        <f ca="1">OFFSET(RES!AD$95,$E67,0)</f>
        <v>59.088586818377252</v>
      </c>
      <c r="Z67" s="111">
        <f ca="1">OFFSET(RES!AE$95,$E67,0)</f>
        <v>61.030255350667687</v>
      </c>
      <c r="AA67" s="111">
        <f ca="1">OFFSET(RES!AF$95,$E67,0)</f>
        <v>62.956056453322162</v>
      </c>
      <c r="AB67" s="111">
        <f ca="1">OFFSET(RES!AG$95,$E67,0)</f>
        <v>64.854867888790622</v>
      </c>
      <c r="AC67" s="111">
        <f ca="1">OFFSET(RES!AH$95,$E67,0)</f>
        <v>66.752886512690409</v>
      </c>
      <c r="AD67" s="111">
        <f ca="1">OFFSET(RES!AI$95,$E67,0)</f>
        <v>68.590601053508422</v>
      </c>
      <c r="AE67" s="111">
        <f ca="1">OFFSET(RES!AJ$95,$E67,0)</f>
        <v>76.555618552237846</v>
      </c>
      <c r="AF67" s="111">
        <f ca="1">OFFSET(RES!AK$95,$E67,0)</f>
        <v>82.909893503553135</v>
      </c>
      <c r="AG67" s="111">
        <f ca="1">OFFSET(RES!AL$95,$E67,0)</f>
        <v>88.97987823612101</v>
      </c>
      <c r="AH67" s="111">
        <f ca="1">OFFSET(RES!AM$95,$E67,0)</f>
        <v>91.613652109846768</v>
      </c>
      <c r="AJ67">
        <f t="shared" ca="1" si="1"/>
        <v>2.6359963739211465</v>
      </c>
    </row>
    <row r="68" spans="1:36" ht="15">
      <c r="A68" s="31" t="s">
        <v>351</v>
      </c>
      <c r="B68">
        <v>14.738241842140001</v>
      </c>
      <c r="C68" t="s">
        <v>731</v>
      </c>
      <c r="D68" t="s">
        <v>272</v>
      </c>
      <c r="E68" s="114">
        <f>MATCH(F68,RES!$D$96:$D$125,0)</f>
        <v>7</v>
      </c>
      <c r="F68" t="str">
        <f t="shared" si="0"/>
        <v>RLEH</v>
      </c>
      <c r="G68" s="111">
        <f ca="1">OFFSET(RES!L$95,$E68,0)</f>
        <v>9.2994915751840495</v>
      </c>
      <c r="H68" s="111">
        <f ca="1">OFFSET(RES!M$95,$E68,0)</f>
        <v>9.281682818880185</v>
      </c>
      <c r="I68" s="111">
        <f ca="1">OFFSET(RES!N$95,$E68,0)</f>
        <v>9.3685816904468826</v>
      </c>
      <c r="J68" s="176">
        <f ca="1">OFFSET(RES!O$95,$E68,0)</f>
        <v>9.7482669746133581</v>
      </c>
      <c r="K68" s="111">
        <f ca="1">OFFSET(RES!P$95,$E68,0)</f>
        <v>10.674171004969926</v>
      </c>
      <c r="L68" s="111">
        <f ca="1">OFFSET(RES!Q$95,$E68,0)</f>
        <v>10.147055661823975</v>
      </c>
      <c r="M68" s="111">
        <f ca="1">OFFSET(RES!R$95,$E68,0)</f>
        <v>9.9913745481445542</v>
      </c>
      <c r="N68" s="111">
        <f ca="1">OFFSET(RES!S$95,$E68,0)</f>
        <v>9.9107175847334918</v>
      </c>
      <c r="O68" s="176">
        <f ca="1">OFFSET(RES!T$95,$E68,0)</f>
        <v>9.8560033066003694</v>
      </c>
      <c r="P68" s="111">
        <f ca="1">OFFSET(RES!U$95,$E68,0)</f>
        <v>9.8608036630688787</v>
      </c>
      <c r="Q68" s="111">
        <f ca="1">OFFSET(RES!V$95,$E68,0)</f>
        <v>9.721521879306593</v>
      </c>
      <c r="R68" s="111">
        <f ca="1">OFFSET(RES!W$95,$E68,0)</f>
        <v>9.4918128705583165</v>
      </c>
      <c r="S68" s="111">
        <f ca="1">OFFSET(RES!X$95,$E68,0)</f>
        <v>9.2542998448376252</v>
      </c>
      <c r="T68" s="111">
        <f ca="1">OFFSET(RES!Y$95,$E68,0)</f>
        <v>9.0034671322000612</v>
      </c>
      <c r="U68" s="111">
        <f ca="1">OFFSET(RES!Z$95,$E68,0)</f>
        <v>8.7498546450070815</v>
      </c>
      <c r="V68" s="111">
        <f ca="1">OFFSET(RES!AA$95,$E68,0)</f>
        <v>8.5031931053488119</v>
      </c>
      <c r="W68" s="111">
        <f ca="1">OFFSET(RES!AB$95,$E68,0)</f>
        <v>8.2642612814005414</v>
      </c>
      <c r="X68" s="111">
        <f ca="1">OFFSET(RES!AC$95,$E68,0)</f>
        <v>8.0331521231047915</v>
      </c>
      <c r="Y68" s="111">
        <f ca="1">OFFSET(RES!AD$95,$E68,0)</f>
        <v>7.807971728389191</v>
      </c>
      <c r="Z68" s="111">
        <f ca="1">OFFSET(RES!AE$95,$E68,0)</f>
        <v>7.598965076164129</v>
      </c>
      <c r="AA68" s="111">
        <f ca="1">OFFSET(RES!AF$95,$E68,0)</f>
        <v>7.3897976185197347</v>
      </c>
      <c r="AB68" s="111">
        <f ca="1">OFFSET(RES!AG$95,$E68,0)</f>
        <v>7.1818402027770381</v>
      </c>
      <c r="AC68" s="111">
        <f ca="1">OFFSET(RES!AH$95,$E68,0)</f>
        <v>6.9748106028880228</v>
      </c>
      <c r="AD68" s="111">
        <f ca="1">OFFSET(RES!AI$95,$E68,0)</f>
        <v>6.7699794955123052</v>
      </c>
      <c r="AE68" s="111">
        <f ca="1">OFFSET(RES!AJ$95,$E68,0)</f>
        <v>5.9084487332521816</v>
      </c>
      <c r="AF68" s="111">
        <f ca="1">OFFSET(RES!AK$95,$E68,0)</f>
        <v>5.1962544088631546</v>
      </c>
      <c r="AG68" s="111">
        <f ca="1">OFFSET(RES!AL$95,$E68,0)</f>
        <v>4.5260365750938192</v>
      </c>
      <c r="AH68" s="111">
        <f ca="1">OFFSET(RES!AM$95,$E68,0)</f>
        <v>3.9510915655906511</v>
      </c>
      <c r="AJ68">
        <f t="shared" ca="1" si="1"/>
        <v>0.42487178289770683</v>
      </c>
    </row>
    <row r="69" spans="1:36" ht="15">
      <c r="A69" s="31" t="s">
        <v>352</v>
      </c>
      <c r="B69">
        <v>8.0953817121640004</v>
      </c>
      <c r="C69" t="s">
        <v>731</v>
      </c>
      <c r="D69" t="s">
        <v>272</v>
      </c>
      <c r="E69" s="114">
        <f>MATCH(F69,RES!$D$96:$D$125,0)</f>
        <v>6</v>
      </c>
      <c r="F69" t="str">
        <f t="shared" si="2" ref="F69:F132">A69</f>
        <v>RLEK</v>
      </c>
      <c r="G69" s="111">
        <f ca="1">OFFSET(RES!L$95,$E69,0)</f>
        <v>11.428450394710399</v>
      </c>
      <c r="H69" s="111">
        <f ca="1">OFFSET(RES!M$95,$E69,0)</f>
        <v>11.406564629626928</v>
      </c>
      <c r="I69" s="111">
        <f ca="1">OFFSET(RES!N$95,$E69,0)</f>
        <v>11.513357504810177</v>
      </c>
      <c r="J69" s="176">
        <f ca="1">OFFSET(RES!O$95,$E69,0)</f>
        <v>11.979965211330112</v>
      </c>
      <c r="K69" s="111">
        <f ca="1">OFFSET(RES!P$95,$E69,0)</f>
        <v>13.117839061275832</v>
      </c>
      <c r="L69" s="111">
        <f ca="1">OFFSET(RES!Q$95,$E69,0)</f>
        <v>12.47004971680137</v>
      </c>
      <c r="M69" s="111">
        <f ca="1">OFFSET(RES!R$95,$E69,0)</f>
        <v>12.278728086936532</v>
      </c>
      <c r="N69" s="111">
        <f ca="1">OFFSET(RES!S$95,$E69,0)</f>
        <v>12.179606097537553</v>
      </c>
      <c r="O69" s="176">
        <f ca="1">OFFSET(RES!T$95,$E69,0)</f>
        <v>12.112365925483909</v>
      </c>
      <c r="P69" s="111">
        <f ca="1">OFFSET(RES!U$95,$E69,0)</f>
        <v>12.118265241089901</v>
      </c>
      <c r="Q69" s="111">
        <f ca="1">OFFSET(RES!V$95,$E69,0)</f>
        <v>11.94709728596623</v>
      </c>
      <c r="R69" s="111">
        <f ca="1">OFFSET(RES!W$95,$E69,0)</f>
        <v>11.664800346346084</v>
      </c>
      <c r="S69" s="111">
        <f ca="1">OFFSET(RES!X$95,$E69,0)</f>
        <v>11.372912794150224</v>
      </c>
      <c r="T69" s="111">
        <f ca="1">OFFSET(RES!Y$95,$E69,0)</f>
        <v>11.064656241566347</v>
      </c>
      <c r="U69" s="111">
        <f ca="1">OFFSET(RES!Z$95,$E69,0)</f>
        <v>10.75298353280251</v>
      </c>
      <c r="V69" s="111">
        <f ca="1">OFFSET(RES!AA$95,$E69,0)</f>
        <v>10.449853071585695</v>
      </c>
      <c r="W69" s="111">
        <f ca="1">OFFSET(RES!AB$95,$E69,0)</f>
        <v>10.156221911684737</v>
      </c>
      <c r="X69" s="111">
        <f ca="1">OFFSET(RES!AC$95,$E69,0)</f>
        <v>9.8722042823345024</v>
      </c>
      <c r="Y69" s="111">
        <f ca="1">OFFSET(RES!AD$95,$E69,0)</f>
        <v>9.5954727051227007</v>
      </c>
      <c r="Z69" s="111">
        <f ca="1">OFFSET(RES!AE$95,$E69,0)</f>
        <v>9.3386175708600145</v>
      </c>
      <c r="AA69" s="111">
        <f ca="1">OFFSET(RES!AF$95,$E69,0)</f>
        <v>9.0815648175400749</v>
      </c>
      <c r="AB69" s="111">
        <f ca="1">OFFSET(RES!AG$95,$E69,0)</f>
        <v>8.8259991244252287</v>
      </c>
      <c r="AC69" s="111">
        <f ca="1">OFFSET(RES!AH$95,$E69,0)</f>
        <v>8.5715736546627568</v>
      </c>
      <c r="AD69" s="111">
        <f ca="1">OFFSET(RES!AI$95,$E69,0)</f>
        <v>8.3198499845017189</v>
      </c>
      <c r="AE69" s="111">
        <f ca="1">OFFSET(RES!AJ$95,$E69,0)</f>
        <v>7.2610865563718328</v>
      </c>
      <c r="AF69" s="111">
        <f ca="1">OFFSET(RES!AK$95,$E69,0)</f>
        <v>6.3858475777814148</v>
      </c>
      <c r="AG69" s="111">
        <f ca="1">OFFSET(RES!AL$95,$E69,0)</f>
        <v>5.562194886130742</v>
      </c>
      <c r="AH69" s="111">
        <f ca="1">OFFSET(RES!AM$95,$E69,0)</f>
        <v>4.8556260949586063</v>
      </c>
      <c r="AJ69">
        <f t="shared" ca="1" si="1"/>
        <v>0.42487178289770661</v>
      </c>
    </row>
    <row r="70" spans="1:36" ht="15">
      <c r="A70" s="31" t="s">
        <v>353</v>
      </c>
      <c r="B70">
        <v>8.4652619723960001</v>
      </c>
      <c r="C70" t="s">
        <v>731</v>
      </c>
      <c r="D70" t="s">
        <v>272</v>
      </c>
      <c r="E70" s="114">
        <f>MATCH(F70,RES!$D$96:$D$125,0)</f>
        <v>4</v>
      </c>
      <c r="F70" t="str">
        <f t="shared" si="2"/>
        <v>RLEL</v>
      </c>
      <c r="G70" s="111">
        <f ca="1">OFFSET(RES!L$95,$E70,0)</f>
        <v>15.5426860393993</v>
      </c>
      <c r="H70" s="111">
        <f ca="1">OFFSET(RES!M$95,$E70,0)</f>
        <v>15.512921411328472</v>
      </c>
      <c r="I70" s="111">
        <f ca="1">OFFSET(RES!N$95,$E70,0)</f>
        <v>15.658159660862832</v>
      </c>
      <c r="J70" s="176">
        <f ca="1">OFFSET(RES!O$95,$E70,0)</f>
        <v>16.292745876449878</v>
      </c>
      <c r="K70" s="111">
        <f ca="1">OFFSET(RES!P$95,$E70,0)</f>
        <v>17.840253665461638</v>
      </c>
      <c r="L70" s="111">
        <f ca="1">OFFSET(RES!Q$95,$E70,0)</f>
        <v>16.959260525263478</v>
      </c>
      <c r="M70" s="111">
        <f ca="1">OFFSET(RES!R$95,$E70,0)</f>
        <v>16.699063217419216</v>
      </c>
      <c r="N70" s="111">
        <f ca="1">OFFSET(RES!S$95,$E70,0)</f>
        <v>16.56425736819034</v>
      </c>
      <c r="O70" s="176">
        <f ca="1">OFFSET(RES!T$95,$E70,0)</f>
        <v>16.47281077242538</v>
      </c>
      <c r="P70" s="111">
        <f ca="1">OFFSET(RES!U$95,$E70,0)</f>
        <v>16.480833838295595</v>
      </c>
      <c r="Q70" s="111">
        <f ca="1">OFFSET(RES!V$95,$E70,0)</f>
        <v>16.248045516641369</v>
      </c>
      <c r="R70" s="111">
        <f ca="1">OFFSET(RES!W$95,$E70,0)</f>
        <v>15.864121839252002</v>
      </c>
      <c r="S70" s="111">
        <f ca="1">OFFSET(RES!X$95,$E70,0)</f>
        <v>15.467154934212205</v>
      </c>
      <c r="T70" s="111">
        <f ca="1">OFFSET(RES!Y$95,$E70,0)</f>
        <v>15.047926197950959</v>
      </c>
      <c r="U70" s="111">
        <f ca="1">OFFSET(RES!Z$95,$E70,0)</f>
        <v>14.624051491227151</v>
      </c>
      <c r="V70" s="111">
        <f ca="1">OFFSET(RES!AA$95,$E70,0)</f>
        <v>14.211794236310777</v>
      </c>
      <c r="W70" s="111">
        <f ca="1">OFFSET(RES!AB$95,$E70,0)</f>
        <v>13.812456025783339</v>
      </c>
      <c r="X70" s="111">
        <f ca="1">OFFSET(RES!AC$95,$E70,0)</f>
        <v>13.426192211339314</v>
      </c>
      <c r="Y70" s="111">
        <f ca="1">OFFSET(RES!AD$95,$E70,0)</f>
        <v>13.049837423661224</v>
      </c>
      <c r="Z70" s="111">
        <f ca="1">OFFSET(RES!AE$95,$E70,0)</f>
        <v>12.700514587093595</v>
      </c>
      <c r="AA70" s="111">
        <f ca="1">OFFSET(RES!AF$95,$E70,0)</f>
        <v>12.350922988720452</v>
      </c>
      <c r="AB70" s="111">
        <f ca="1">OFFSET(RES!AG$95,$E70,0)</f>
        <v>12.0033537913808</v>
      </c>
      <c r="AC70" s="111">
        <f ca="1">OFFSET(RES!AH$95,$E70,0)</f>
        <v>11.657335297152127</v>
      </c>
      <c r="AD70" s="111">
        <f ca="1">OFFSET(RES!AI$95,$E70,0)</f>
        <v>11.314991248845351</v>
      </c>
      <c r="AE70" s="111">
        <f ca="1">OFFSET(RES!AJ$95,$E70,0)</f>
        <v>9.8750735885265453</v>
      </c>
      <c r="AF70" s="111">
        <f ca="1">OFFSET(RES!AK$95,$E70,0)</f>
        <v>8.6847490752424239</v>
      </c>
      <c r="AG70" s="111">
        <f ca="1">OFFSET(RES!AL$95,$E70,0)</f>
        <v>7.5645818828680476</v>
      </c>
      <c r="AH70" s="111">
        <f ca="1">OFFSET(RES!AM$95,$E70,0)</f>
        <v>6.6036487285788761</v>
      </c>
      <c r="AJ70">
        <f ca="1" t="shared" si="3" ref="AJ70:AJ133">AH70/G70</f>
        <v>0.42487178289770672</v>
      </c>
    </row>
    <row r="71" spans="1:36" ht="15">
      <c r="A71" s="31" t="s">
        <v>354</v>
      </c>
      <c r="B71">
        <v>1.2001829018570001</v>
      </c>
      <c r="C71" t="s">
        <v>731</v>
      </c>
      <c r="D71" t="s">
        <v>272</v>
      </c>
      <c r="E71" s="114">
        <f>MATCH(F71,RES!$D$96:$D$125,0)</f>
        <v>10</v>
      </c>
      <c r="F71" t="str">
        <f t="shared" si="2"/>
        <v>RLEO</v>
      </c>
      <c r="G71" s="111">
        <f ca="1">OFFSET(RES!L$95,$E71,0)</f>
        <v>5.7452488569507203</v>
      </c>
      <c r="H71" s="111">
        <f ca="1">OFFSET(RES!M$95,$E71,0)</f>
        <v>5.734246563333774</v>
      </c>
      <c r="I71" s="111">
        <f ca="1">OFFSET(RES!N$95,$E71,0)</f>
        <v>5.7879329007536766</v>
      </c>
      <c r="J71" s="176">
        <f ca="1">OFFSET(RES!O$95,$E71,0)</f>
        <v>6.0225034068101095</v>
      </c>
      <c r="K71" s="111">
        <f ca="1">OFFSET(RES!P$95,$E71,0)</f>
        <v>6.594529202956589</v>
      </c>
      <c r="L71" s="111">
        <f ca="1">OFFSET(RES!Q$95,$E71,0)</f>
        <v>6.2688760424363021</v>
      </c>
      <c r="M71" s="111">
        <f ca="1">OFFSET(RES!R$95,$E71,0)</f>
        <v>6.1726958660057631</v>
      </c>
      <c r="N71" s="111">
        <f ca="1">OFFSET(RES!S$95,$E71,0)</f>
        <v>6.1228657948565948</v>
      </c>
      <c r="O71" s="176">
        <f ca="1">OFFSET(RES!T$95,$E71,0)</f>
        <v>6.0890631787284129</v>
      </c>
      <c r="P71" s="111">
        <f ca="1">OFFSET(RES!U$95,$E71,0)</f>
        <v>6.0920288508074378</v>
      </c>
      <c r="Q71" s="111">
        <f ca="1">OFFSET(RES!V$95,$E71,0)</f>
        <v>6.0059802208920443</v>
      </c>
      <c r="R71" s="111">
        <f ca="1">OFFSET(RES!W$95,$E71,0)</f>
        <v>5.8640654281022888</v>
      </c>
      <c r="S71" s="111">
        <f ca="1">OFFSET(RES!X$95,$E71,0)</f>
        <v>5.717329294357719</v>
      </c>
      <c r="T71" s="111">
        <f ca="1">OFFSET(RES!Y$95,$E71,0)</f>
        <v>5.5623642251476539</v>
      </c>
      <c r="U71" s="111">
        <f ca="1">OFFSET(RES!Z$95,$E71,0)</f>
        <v>5.4056818043535841</v>
      </c>
      <c r="V71" s="111">
        <f ca="1">OFFSET(RES!AA$95,$E71,0)</f>
        <v>5.2532936961093624</v>
      </c>
      <c r="W71" s="111">
        <f ca="1">OFFSET(RES!AB$95,$E71,0)</f>
        <v>5.1056810253165743</v>
      </c>
      <c r="X71" s="111">
        <f ca="1">OFFSET(RES!AC$95,$E71,0)</f>
        <v>4.9629012166792164</v>
      </c>
      <c r="Y71" s="111">
        <f ca="1">OFFSET(RES!AD$95,$E71,0)</f>
        <v>4.8237842128206569</v>
      </c>
      <c r="Z71" s="111">
        <f ca="1">OFFSET(RES!AE$95,$E71,0)</f>
        <v>4.6946593870080839</v>
      </c>
      <c r="AA71" s="111">
        <f ca="1">OFFSET(RES!AF$95,$E71,0)</f>
        <v>4.5654352152103952</v>
      </c>
      <c r="AB71" s="111">
        <f ca="1">OFFSET(RES!AG$95,$E71,0)</f>
        <v>4.4369586102873448</v>
      </c>
      <c r="AC71" s="111">
        <f ca="1">OFFSET(RES!AH$95,$E71,0)</f>
        <v>4.3090552122896115</v>
      </c>
      <c r="AD71" s="111">
        <f ca="1">OFFSET(RES!AI$95,$E71,0)</f>
        <v>4.1825100483949926</v>
      </c>
      <c r="AE71" s="111">
        <f ca="1">OFFSET(RES!AJ$95,$E71,0)</f>
        <v>3.6502542162254907</v>
      </c>
      <c r="AF71" s="111">
        <f ca="1">OFFSET(RES!AK$95,$E71,0)</f>
        <v>3.2102588041062141</v>
      </c>
      <c r="AG71" s="111">
        <f ca="1">OFFSET(RES!AL$95,$E71,0)</f>
        <v>2.7961965715378656</v>
      </c>
      <c r="AH71" s="111">
        <f ca="1">OFFSET(RES!AM$95,$E71,0)</f>
        <v>2.4409941250436633</v>
      </c>
      <c r="AJ71">
        <f t="shared" ca="1" si="3"/>
        <v>0.42487178289770655</v>
      </c>
    </row>
    <row r="72" spans="1:36" ht="15">
      <c r="A72" s="31" t="s">
        <v>355</v>
      </c>
      <c r="B72">
        <v>1.9088027674250001</v>
      </c>
      <c r="C72" t="s">
        <v>731</v>
      </c>
      <c r="D72" t="s">
        <v>272</v>
      </c>
      <c r="E72" s="114">
        <f>MATCH(F72,RES!$D$96:$D$125,0)</f>
        <v>9</v>
      </c>
      <c r="F72" t="str">
        <f t="shared" si="2"/>
        <v>RLER</v>
      </c>
      <c r="G72" s="111">
        <f ca="1">OFFSET(RES!L$95,$E72,0)</f>
        <v>4.25340304491049</v>
      </c>
      <c r="H72" s="111">
        <f ca="1">OFFSET(RES!M$95,$E72,0)</f>
        <v>4.245257672910685</v>
      </c>
      <c r="I72" s="111">
        <f ca="1">OFFSET(RES!N$95,$E72,0)</f>
        <v>4.2850034936292509</v>
      </c>
      <c r="J72" s="176">
        <f ca="1">OFFSET(RES!O$95,$E72,0)</f>
        <v>4.4586640137474634</v>
      </c>
      <c r="K72" s="111">
        <f ca="1">OFFSET(RES!P$95,$E72,0)</f>
        <v>4.8821541572863669</v>
      </c>
      <c r="L72" s="111">
        <f ca="1">OFFSET(RES!Q$95,$E72,0)</f>
        <v>4.6410620516126588</v>
      </c>
      <c r="M72" s="111">
        <f ca="1">OFFSET(RES!R$95,$E72,0)</f>
        <v>4.569856597249311</v>
      </c>
      <c r="N72" s="111">
        <f ca="1">OFFSET(RES!S$95,$E72,0)</f>
        <v>4.5329657015490206</v>
      </c>
      <c r="O72" s="176">
        <f ca="1">OFFSET(RES!T$95,$E72,0)</f>
        <v>4.5079404756718846</v>
      </c>
      <c r="P72" s="111">
        <f ca="1">OFFSET(RES!U$95,$E72,0)</f>
        <v>4.5101360635332997</v>
      </c>
      <c r="Q72" s="111">
        <f ca="1">OFFSET(RES!V$95,$E72,0)</f>
        <v>4.4464313374882796</v>
      </c>
      <c r="R72" s="111">
        <f ca="1">OFFSET(RES!W$95,$E72,0)</f>
        <v>4.3413669918351729</v>
      </c>
      <c r="S72" s="111">
        <f ca="1">OFFSET(RES!X$95,$E72,0)</f>
        <v>4.2327332435663818</v>
      </c>
      <c r="T72" s="111">
        <f ca="1">OFFSET(RES!Y$95,$E72,0)</f>
        <v>4.1180073346206925</v>
      </c>
      <c r="U72" s="111">
        <f ca="1">OFFSET(RES!Z$95,$E72,0)</f>
        <v>4.0020100119140913</v>
      </c>
      <c r="V72" s="111">
        <f ca="1">OFFSET(RES!AA$95,$E72,0)</f>
        <v>3.8891919147780629</v>
      </c>
      <c r="W72" s="111">
        <f ca="1">OFFSET(RES!AB$95,$E72,0)</f>
        <v>3.779909236333626</v>
      </c>
      <c r="X72" s="111">
        <f ca="1">OFFSET(RES!AC$95,$E72,0)</f>
        <v>3.6742044900413657</v>
      </c>
      <c r="Y72" s="111">
        <f ca="1">OFFSET(RES!AD$95,$E72,0)</f>
        <v>3.5712114426479626</v>
      </c>
      <c r="Z72" s="111">
        <f ca="1">OFFSET(RES!AE$95,$E72,0)</f>
        <v>3.475615944357183</v>
      </c>
      <c r="AA72" s="111">
        <f ca="1">OFFSET(RES!AF$95,$E72,0)</f>
        <v>3.3799468968562456</v>
      </c>
      <c r="AB72" s="111">
        <f ca="1">OFFSET(RES!AG$95,$E72,0)</f>
        <v>3.2848312985269685</v>
      </c>
      <c r="AC72" s="111">
        <f ca="1">OFFSET(RES!AH$95,$E72,0)</f>
        <v>3.1901400647713092</v>
      </c>
      <c r="AD72" s="111">
        <f ca="1">OFFSET(RES!AI$95,$E72,0)</f>
        <v>3.096454377896861</v>
      </c>
      <c r="AE72" s="111">
        <f ca="1">OFFSET(RES!AJ$95,$E72,0)</f>
        <v>2.7024072907141683</v>
      </c>
      <c r="AF72" s="111">
        <f ca="1">OFFSET(RES!AK$95,$E72,0)</f>
        <v>2.3766637289900099</v>
      </c>
      <c r="AG72" s="111">
        <f ca="1">OFFSET(RES!AL$95,$E72,0)</f>
        <v>2.0701193817146177</v>
      </c>
      <c r="AH72" s="111">
        <f ca="1">OFFSET(RES!AM$95,$E72,0)</f>
        <v>1.8071509350736552</v>
      </c>
      <c r="AJ72">
        <f t="shared" ca="1" si="3"/>
        <v>0.42487178289770688</v>
      </c>
    </row>
    <row r="73" spans="1:36" ht="15">
      <c r="A73" s="31" t="s">
        <v>356</v>
      </c>
      <c r="B73">
        <v>7.6914136780069997</v>
      </c>
      <c r="C73" t="s">
        <v>731</v>
      </c>
      <c r="D73" t="s">
        <v>272</v>
      </c>
      <c r="E73" s="114">
        <f>MATCH(F73,RES!$D$96:$D$125,0)</f>
        <v>8</v>
      </c>
      <c r="F73" t="str">
        <f t="shared" si="2"/>
        <v>RLEW</v>
      </c>
      <c r="G73" s="111">
        <f ca="1">OFFSET(RES!L$95,$E73,0)</f>
        <v>4.5736255741133904</v>
      </c>
      <c r="H73" s="111">
        <f ca="1">OFFSET(RES!M$95,$E73,0)</f>
        <v>4.564866968052403</v>
      </c>
      <c r="I73" s="111">
        <f ca="1">OFFSET(RES!N$95,$E73,0)</f>
        <v>4.6076051003627354</v>
      </c>
      <c r="J73" s="176">
        <f ca="1">OFFSET(RES!O$95,$E73,0)</f>
        <v>4.7943398601868434</v>
      </c>
      <c r="K73" s="111">
        <f ca="1">OFFSET(RES!P$95,$E73,0)</f>
        <v>5.2497129650686167</v>
      </c>
      <c r="L73" s="111">
        <f ca="1">OFFSET(RES!Q$95,$E73,0)</f>
        <v>4.9904699522190494</v>
      </c>
      <c r="M73" s="111">
        <f ca="1">OFFSET(RES!R$95,$E73,0)</f>
        <v>4.9139037101644067</v>
      </c>
      <c r="N73" s="111">
        <f ca="1">OFFSET(RES!S$95,$E73,0)</f>
        <v>4.8742354393127441</v>
      </c>
      <c r="O73" s="176">
        <f ca="1">OFFSET(RES!T$95,$E73,0)</f>
        <v>4.8473261594111863</v>
      </c>
      <c r="P73" s="111">
        <f ca="1">OFFSET(RES!U$95,$E73,0)</f>
        <v>4.8496870447275207</v>
      </c>
      <c r="Q73" s="111">
        <f ca="1">OFFSET(RES!V$95,$E73,0)</f>
        <v>4.7811862322827592</v>
      </c>
      <c r="R73" s="111">
        <f ca="1">OFFSET(RES!W$95,$E73,0)</f>
        <v>4.6682119918609581</v>
      </c>
      <c r="S73" s="111">
        <f ca="1">OFFSET(RES!X$95,$E73,0)</f>
        <v>4.5513996220836672</v>
      </c>
      <c r="T73" s="111">
        <f ca="1">OFFSET(RES!Y$95,$E73,0)</f>
        <v>4.428036436035435</v>
      </c>
      <c r="U73" s="111">
        <f ca="1">OFFSET(RES!Z$95,$E73,0)</f>
        <v>4.3033061163225144</v>
      </c>
      <c r="V73" s="111">
        <f ca="1">OFFSET(RES!AA$95,$E73,0)</f>
        <v>4.1819943739750389</v>
      </c>
      <c r="W73" s="111">
        <f ca="1">OFFSET(RES!AB$95,$E73,0)</f>
        <v>4.0644842185386398</v>
      </c>
      <c r="X73" s="111">
        <f ca="1">OFFSET(RES!AC$95,$E73,0)</f>
        <v>3.9508213641505665</v>
      </c>
      <c r="Y73" s="111">
        <f ca="1">OFFSET(RES!AD$95,$E73,0)</f>
        <v>3.8400743621522517</v>
      </c>
      <c r="Z73" s="111">
        <f ca="1">OFFSET(RES!AE$95,$E73,0)</f>
        <v>3.7372818425776053</v>
      </c>
      <c r="AA73" s="111">
        <f ca="1">OFFSET(RES!AF$95,$E73,0)</f>
        <v>3.6344102365526547</v>
      </c>
      <c r="AB73" s="111">
        <f ca="1">OFFSET(RES!AG$95,$E73,0)</f>
        <v>3.5321337467813838</v>
      </c>
      <c r="AC73" s="111">
        <f ca="1">OFFSET(RES!AH$95,$E73,0)</f>
        <v>3.4303135703775869</v>
      </c>
      <c r="AD73" s="111">
        <f ca="1">OFFSET(RES!AI$95,$E73,0)</f>
        <v>3.3295746446531442</v>
      </c>
      <c r="AE73" s="111">
        <f ca="1">OFFSET(RES!AJ$95,$E73,0)</f>
        <v>2.9058612517970062</v>
      </c>
      <c r="AF73" s="111">
        <f ca="1">OFFSET(RES!AK$95,$E73,0)</f>
        <v>2.5555936969065556</v>
      </c>
      <c r="AG73" s="111">
        <f ca="1">OFFSET(RES!AL$95,$E73,0)</f>
        <v>2.2259707922593583</v>
      </c>
      <c r="AH73" s="111">
        <f ca="1">OFFSET(RES!AM$95,$E73,0)</f>
        <v>1.9432044519801037</v>
      </c>
      <c r="AJ73">
        <f t="shared" ca="1" si="3"/>
        <v>0.42487178289770672</v>
      </c>
    </row>
    <row r="74" spans="1:36" ht="15">
      <c r="A74" s="31" t="s">
        <v>357</v>
      </c>
      <c r="B74">
        <v>0.1043575899953</v>
      </c>
      <c r="C74" t="s">
        <v>731</v>
      </c>
      <c r="D74" t="s">
        <v>272</v>
      </c>
      <c r="E74" s="114">
        <f>MATCH(F74,RES!$D$96:$D$125,0)</f>
        <v>5</v>
      </c>
      <c r="F74" t="str">
        <f t="shared" si="2"/>
        <v>RLNL</v>
      </c>
      <c r="G74" s="111">
        <f ca="1">OFFSET(RES!L$95,$E74,0)</f>
        <v>0.036541482196776102</v>
      </c>
      <c r="H74" s="111">
        <f ca="1">OFFSET(RES!M$95,$E74,0)</f>
        <v>0.036471504354851823</v>
      </c>
      <c r="I74" s="111">
        <f ca="1">OFFSET(RES!N$95,$E74,0)</f>
        <v>0.036812965341466199</v>
      </c>
      <c r="J74" s="176">
        <f ca="1">OFFSET(RES!O$95,$E74,0)</f>
        <v>0.038304903146837301</v>
      </c>
      <c r="K74" s="111">
        <f ca="1">OFFSET(RES!P$95,$E74,0)</f>
        <v>0.041943156417745618</v>
      </c>
      <c r="L74" s="111">
        <f ca="1">OFFSET(RES!Q$95,$E74,0)</f>
        <v>0.039871905987387109</v>
      </c>
      <c r="M74" s="111">
        <f ca="1">OFFSET(RES!R$95,$E74,0)</f>
        <v>0.039260171614825104</v>
      </c>
      <c r="N74" s="111">
        <f ca="1">OFFSET(RES!S$95,$E74,0)</f>
        <v>0.038943237622390901</v>
      </c>
      <c r="O74" s="176">
        <f ca="1">OFFSET(RES!T$95,$E74,0)</f>
        <v>0.038728242984872624</v>
      </c>
      <c r="P74" s="111">
        <f ca="1">OFFSET(RES!U$95,$E74,0)</f>
        <v>0.038747105536552362</v>
      </c>
      <c r="Q74" s="111">
        <f ca="1">OFFSET(RES!V$95,$E74,0)</f>
        <v>0.03819981079677686</v>
      </c>
      <c r="R74" s="111">
        <f ca="1">OFFSET(RES!W$95,$E74,0)</f>
        <v>0.037297190735695929</v>
      </c>
      <c r="S74" s="111">
        <f ca="1">OFFSET(RES!X$95,$E74,0)</f>
        <v>0.036363905519971297</v>
      </c>
      <c r="T74" s="111">
        <f ca="1">OFFSET(RES!Y$95,$E74,0)</f>
        <v>0.035378281840535555</v>
      </c>
      <c r="U74" s="111">
        <f ca="1">OFFSET(RES!Z$95,$E74,0)</f>
        <v>0.034381735297026379</v>
      </c>
      <c r="V74" s="111">
        <f ca="1">OFFSET(RES!AA$95,$E74,0)</f>
        <v>0.033412501851608302</v>
      </c>
      <c r="W74" s="111">
        <f ca="1">OFFSET(RES!AB$95,$E74,0)</f>
        <v>0.03247364160097399</v>
      </c>
      <c r="X74" s="111">
        <f ca="1">OFFSET(RES!AC$95,$E74,0)</f>
        <v>0.031565519783227317</v>
      </c>
      <c r="Y74" s="111">
        <f ca="1">OFFSET(RES!AD$95,$E74,0)</f>
        <v>0.03068069448734545</v>
      </c>
      <c r="Z74" s="111">
        <f ca="1">OFFSET(RES!AE$95,$E74,0)</f>
        <v>0.02985942239956051</v>
      </c>
      <c r="AA74" s="111">
        <f ca="1">OFFSET(RES!AF$95,$E74,0)</f>
        <v>0.029037518441923312</v>
      </c>
      <c r="AB74" s="111">
        <f ca="1">OFFSET(RES!AG$95,$E74,0)</f>
        <v>0.028220369230741955</v>
      </c>
      <c r="AC74" s="111">
        <f ca="1">OFFSET(RES!AH$95,$E74,0)</f>
        <v>0.027406865785162413</v>
      </c>
      <c r="AD74" s="111">
        <f ca="1">OFFSET(RES!AI$95,$E74,0)</f>
        <v>0.026602001110249518</v>
      </c>
      <c r="AE74" s="111">
        <f ca="1">OFFSET(RES!AJ$95,$E74,0)</f>
        <v>0.023216696574342114</v>
      </c>
      <c r="AF74" s="111">
        <f ca="1">OFFSET(RES!AK$95,$E74,0)</f>
        <v>0.020418195600939</v>
      </c>
      <c r="AG74" s="111">
        <f ca="1">OFFSET(RES!AL$95,$E74,0)</f>
        <v>0.017784637320613413</v>
      </c>
      <c r="AH74" s="111">
        <f ca="1">OFFSET(RES!AM$95,$E74,0)</f>
        <v>0.015525444690669073</v>
      </c>
      <c r="AJ74">
        <f t="shared" ca="1" si="3"/>
        <v>0.42487178289770677</v>
      </c>
    </row>
    <row r="75" spans="1:36" ht="15">
      <c r="A75" s="31" t="s">
        <v>358</v>
      </c>
      <c r="B75">
        <v>12.72538201427</v>
      </c>
      <c r="C75" t="s">
        <v>731</v>
      </c>
      <c r="D75" t="s">
        <v>272</v>
      </c>
      <c r="E75" s="114">
        <f>MATCH(F75,RES!$D$96:$D$125,0)</f>
        <v>14</v>
      </c>
      <c r="F75" t="str">
        <f t="shared" si="2"/>
        <v>RMEH</v>
      </c>
      <c r="G75" s="111">
        <f ca="1">OFFSET(RES!L$95,$E75,0)</f>
        <v>9.6822001330816203</v>
      </c>
      <c r="H75" s="111">
        <f ca="1">OFFSET(RES!M$95,$E75,0)</f>
        <v>9.9434395743318245</v>
      </c>
      <c r="I75" s="111">
        <f ca="1">OFFSET(RES!N$95,$E75,0)</f>
        <v>10.212153747437592</v>
      </c>
      <c r="J75" s="176">
        <f ca="1">OFFSET(RES!O$95,$E75,0)</f>
        <v>10.73168899547419</v>
      </c>
      <c r="K75" s="111">
        <f ca="1">OFFSET(RES!P$95,$E75,0)</f>
        <v>9.6131095833670734</v>
      </c>
      <c r="L75" s="111">
        <f ca="1">OFFSET(RES!Q$95,$E75,0)</f>
        <v>10.167011418822584</v>
      </c>
      <c r="M75" s="111">
        <f ca="1">OFFSET(RES!R$95,$E75,0)</f>
        <v>10.413584699047048</v>
      </c>
      <c r="N75" s="111">
        <f ca="1">OFFSET(RES!S$95,$E75,0)</f>
        <v>10.60380708935846</v>
      </c>
      <c r="O75" s="176">
        <f ca="1">OFFSET(RES!T$95,$E75,0)</f>
        <v>10.805452159459032</v>
      </c>
      <c r="P75" s="111">
        <f ca="1">OFFSET(RES!U$95,$E75,0)</f>
        <v>10.974935489253413</v>
      </c>
      <c r="Q75" s="111">
        <f ca="1">OFFSET(RES!V$95,$E75,0)</f>
        <v>11.088895307599755</v>
      </c>
      <c r="R75" s="111">
        <f ca="1">OFFSET(RES!W$95,$E75,0)</f>
        <v>11.312930831389684</v>
      </c>
      <c r="S75" s="111">
        <f ca="1">OFFSET(RES!X$95,$E75,0)</f>
        <v>11.521319367946617</v>
      </c>
      <c r="T75" s="111">
        <f ca="1">OFFSET(RES!Y$95,$E75,0)</f>
        <v>11.731382716216091</v>
      </c>
      <c r="U75" s="111">
        <f ca="1">OFFSET(RES!Z$95,$E75,0)</f>
        <v>11.949241192077833</v>
      </c>
      <c r="V75" s="111">
        <f ca="1">OFFSET(RES!AA$95,$E75,0)</f>
        <v>12.162135547692058</v>
      </c>
      <c r="W75" s="111">
        <f ca="1">OFFSET(RES!AB$95,$E75,0)</f>
        <v>12.370646918285956</v>
      </c>
      <c r="X75" s="111">
        <f ca="1">OFFSET(RES!AC$95,$E75,0)</f>
        <v>12.579768753150203</v>
      </c>
      <c r="Y75" s="111">
        <f ca="1">OFFSET(RES!AD$95,$E75,0)</f>
        <v>12.783280954154073</v>
      </c>
      <c r="Z75" s="111">
        <f ca="1">OFFSET(RES!AE$95,$E75,0)</f>
        <v>12.969539751557242</v>
      </c>
      <c r="AA75" s="111">
        <f ca="1">OFFSET(RES!AF$95,$E75,0)</f>
        <v>13.154159463209448</v>
      </c>
      <c r="AB75" s="111">
        <f ca="1">OFFSET(RES!AG$95,$E75,0)</f>
        <v>13.335971222196207</v>
      </c>
      <c r="AC75" s="111">
        <f ca="1">OFFSET(RES!AH$95,$E75,0)</f>
        <v>13.509899380659954</v>
      </c>
      <c r="AD75" s="111">
        <f ca="1">OFFSET(RES!AI$95,$E75,0)</f>
        <v>13.687078755650996</v>
      </c>
      <c r="AE75" s="111">
        <f ca="1">OFFSET(RES!AJ$95,$E75,0)</f>
        <v>14.481876936754041</v>
      </c>
      <c r="AF75" s="111">
        <f ca="1">OFFSET(RES!AK$95,$E75,0)</f>
        <v>15.174492041888589</v>
      </c>
      <c r="AG75" s="111">
        <f ca="1">OFFSET(RES!AL$95,$E75,0)</f>
        <v>15.616276602811221</v>
      </c>
      <c r="AH75" s="111">
        <f ca="1">OFFSET(RES!AM$95,$E75,0)</f>
        <v>16.419443671776218</v>
      </c>
      <c r="AJ75">
        <f t="shared" ca="1" si="3"/>
        <v>1.6958380787518683</v>
      </c>
    </row>
    <row r="76" spans="1:36" ht="15">
      <c r="A76" s="31" t="s">
        <v>359</v>
      </c>
      <c r="B76">
        <v>5.0035172999329998</v>
      </c>
      <c r="C76" t="s">
        <v>731</v>
      </c>
      <c r="D76" t="s">
        <v>272</v>
      </c>
      <c r="E76" s="114">
        <f>MATCH(F76,RES!$D$96:$D$125,0)</f>
        <v>13</v>
      </c>
      <c r="F76" t="str">
        <f t="shared" si="2"/>
        <v>RMEK</v>
      </c>
      <c r="G76" s="111">
        <f ca="1">OFFSET(RES!L$95,$E76,0)</f>
        <v>10.2728758528227</v>
      </c>
      <c r="H76" s="111">
        <f ca="1">OFFSET(RES!M$95,$E76,0)</f>
        <v>10.550052559659679</v>
      </c>
      <c r="I76" s="111">
        <f ca="1">OFFSET(RES!N$95,$E76,0)</f>
        <v>10.83516000448285</v>
      </c>
      <c r="J76" s="176">
        <f ca="1">OFFSET(RES!O$95,$E76,0)</f>
        <v>11.386390203289611</v>
      </c>
      <c r="K76" s="111">
        <f ca="1">OFFSET(RES!P$95,$E76,0)</f>
        <v>10.199570340638983</v>
      </c>
      <c r="L76" s="111">
        <f ca="1">OFFSET(RES!Q$95,$E76,0)</f>
        <v>10.78726370703029</v>
      </c>
      <c r="M76" s="111">
        <f ca="1">OFFSET(RES!R$95,$E76,0)</f>
        <v>11.048879523843919</v>
      </c>
      <c r="N76" s="111">
        <f ca="1">OFFSET(RES!S$95,$E76,0)</f>
        <v>11.25070668845907</v>
      </c>
      <c r="O76" s="176">
        <f ca="1">OFFSET(RES!T$95,$E76,0)</f>
        <v>11.464653388899521</v>
      </c>
      <c r="P76" s="111">
        <f ca="1">OFFSET(RES!U$95,$E76,0)</f>
        <v>11.644476278549556</v>
      </c>
      <c r="Q76" s="111">
        <f ca="1">OFFSET(RES!V$95,$E76,0)</f>
        <v>11.765388369808878</v>
      </c>
      <c r="R76" s="111">
        <f ca="1">OFFSET(RES!W$95,$E76,0)</f>
        <v>12.00309148386169</v>
      </c>
      <c r="S76" s="111">
        <f ca="1">OFFSET(RES!X$95,$E76,0)</f>
        <v>12.224193045054003</v>
      </c>
      <c r="T76" s="111">
        <f ca="1">OFFSET(RES!Y$95,$E76,0)</f>
        <v>12.447071592113506</v>
      </c>
      <c r="U76" s="111">
        <f ca="1">OFFSET(RES!Z$95,$E76,0)</f>
        <v>12.67822081907134</v>
      </c>
      <c r="V76" s="111">
        <f ca="1">OFFSET(RES!AA$95,$E76,0)</f>
        <v>12.904103082909192</v>
      </c>
      <c r="W76" s="111">
        <f ca="1">OFFSET(RES!AB$95,$E76,0)</f>
        <v>13.125334971795098</v>
      </c>
      <c r="X76" s="111">
        <f ca="1">OFFSET(RES!AC$95,$E76,0)</f>
        <v>13.347214567150163</v>
      </c>
      <c r="Y76" s="111">
        <f ca="1">OFFSET(RES!AD$95,$E76,0)</f>
        <v>13.563142305341012</v>
      </c>
      <c r="Z76" s="111">
        <f ca="1">OFFSET(RES!AE$95,$E76,0)</f>
        <v>13.760764072699567</v>
      </c>
      <c r="AA76" s="111">
        <f ca="1">OFFSET(RES!AF$95,$E76,0)</f>
        <v>13.956646759663133</v>
      </c>
      <c r="AB76" s="111">
        <f ca="1">OFFSET(RES!AG$95,$E76,0)</f>
        <v>14.149550191009563</v>
      </c>
      <c r="AC76" s="111">
        <f ca="1">OFFSET(RES!AH$95,$E76,0)</f>
        <v>14.33408907211607</v>
      </c>
      <c r="AD76" s="111">
        <f ca="1">OFFSET(RES!AI$95,$E76,0)</f>
        <v>14.522077514613217</v>
      </c>
      <c r="AE76" s="111">
        <f ca="1">OFFSET(RES!AJ$95,$E76,0)</f>
        <v>15.365363434166111</v>
      </c>
      <c r="AF76" s="111">
        <f ca="1">OFFSET(RES!AK$95,$E76,0)</f>
        <v>16.100232460940955</v>
      </c>
      <c r="AG76" s="111">
        <f ca="1">OFFSET(RES!AL$95,$E76,0)</f>
        <v>16.568968686764816</v>
      </c>
      <c r="AH76" s="111">
        <f ca="1">OFFSET(RES!AM$95,$E76,0)</f>
        <v>17.421134049507309</v>
      </c>
      <c r="AJ76">
        <f t="shared" ca="1" si="3"/>
        <v>1.6958380787518683</v>
      </c>
    </row>
    <row r="77" spans="1:36" ht="15">
      <c r="A77" s="31" t="s">
        <v>360</v>
      </c>
      <c r="B77">
        <v>15.793352715539999</v>
      </c>
      <c r="C77" t="s">
        <v>731</v>
      </c>
      <c r="D77" t="s">
        <v>272</v>
      </c>
      <c r="E77" s="114">
        <f>MATCH(F77,RES!$D$96:$D$125,0)</f>
        <v>11</v>
      </c>
      <c r="F77" t="str">
        <f t="shared" si="2"/>
        <v>RMEL</v>
      </c>
      <c r="G77" s="111">
        <f ca="1">OFFSET(RES!L$95,$E77,0)</f>
        <v>14.579147778971199</v>
      </c>
      <c r="H77" s="111">
        <f ca="1">OFFSET(RES!M$95,$E77,0)</f>
        <v>14.972513787454066</v>
      </c>
      <c r="I77" s="111">
        <f ca="1">OFFSET(RES!N$95,$E77,0)</f>
        <v>15.377135008474639</v>
      </c>
      <c r="J77" s="176">
        <f ca="1">OFFSET(RES!O$95,$E77,0)</f>
        <v>16.159434594663765</v>
      </c>
      <c r="K77" s="111">
        <f ca="1">OFFSET(RES!P$95,$E77,0)</f>
        <v>14.475113435477608</v>
      </c>
      <c r="L77" s="111">
        <f ca="1">OFFSET(RES!Q$95,$E77,0)</f>
        <v>15.309161131574866</v>
      </c>
      <c r="M77" s="111">
        <f ca="1">OFFSET(RES!R$95,$E77,0)</f>
        <v>15.680443303119279</v>
      </c>
      <c r="N77" s="111">
        <f ca="1">OFFSET(RES!S$95,$E77,0)</f>
        <v>15.96687410408399</v>
      </c>
      <c r="O77" s="176">
        <f ca="1">OFFSET(RES!T$95,$E77,0)</f>
        <v>16.270504811515107</v>
      </c>
      <c r="P77" s="111">
        <f ca="1">OFFSET(RES!U$95,$E77,0)</f>
        <v>16.525707397413107</v>
      </c>
      <c r="Q77" s="111">
        <f ca="1">OFFSET(RES!V$95,$E77,0)</f>
        <v>16.697304452803372</v>
      </c>
      <c r="R77" s="111">
        <f ca="1">OFFSET(RES!W$95,$E77,0)</f>
        <v>17.034649990406201</v>
      </c>
      <c r="S77" s="111">
        <f ca="1">OFFSET(RES!X$95,$E77,0)</f>
        <v>17.348434794288384</v>
      </c>
      <c r="T77" s="111">
        <f ca="1">OFFSET(RES!Y$95,$E77,0)</f>
        <v>17.664741476165595</v>
      </c>
      <c r="U77" s="111">
        <f ca="1">OFFSET(RES!Z$95,$E77,0)</f>
        <v>17.992785812249657</v>
      </c>
      <c r="V77" s="111">
        <f ca="1">OFFSET(RES!AA$95,$E77,0)</f>
        <v>18.313355334584116</v>
      </c>
      <c r="W77" s="111">
        <f ca="1">OFFSET(RES!AB$95,$E77,0)</f>
        <v>18.627325098036707</v>
      </c>
      <c r="X77" s="111">
        <f ca="1">OFFSET(RES!AC$95,$E77,0)</f>
        <v>18.942214079093649</v>
      </c>
      <c r="Y77" s="111">
        <f ca="1">OFFSET(RES!AD$95,$E77,0)</f>
        <v>19.248656252615916</v>
      </c>
      <c r="Z77" s="111">
        <f ca="1">OFFSET(RES!AE$95,$E77,0)</f>
        <v>19.529118801948698</v>
      </c>
      <c r="AA77" s="111">
        <f ca="1">OFFSET(RES!AF$95,$E77,0)</f>
        <v>19.807113268298558</v>
      </c>
      <c r="AB77" s="111">
        <f ca="1">OFFSET(RES!AG$95,$E77,0)</f>
        <v>20.080879609191062</v>
      </c>
      <c r="AC77" s="111">
        <f ca="1">OFFSET(RES!AH$95,$E77,0)</f>
        <v>20.342775076162805</v>
      </c>
      <c r="AD77" s="111">
        <f ca="1">OFFSET(RES!AI$95,$E77,0)</f>
        <v>20.609566121160345</v>
      </c>
      <c r="AE77" s="111">
        <f ca="1">OFFSET(RES!AJ$95,$E77,0)</f>
        <v>21.806347841997468</v>
      </c>
      <c r="AF77" s="111">
        <f ca="1">OFFSET(RES!AK$95,$E77,0)</f>
        <v>22.8492655500505</v>
      </c>
      <c r="AG77" s="111">
        <f ca="1">OFFSET(RES!AL$95,$E77,0)</f>
        <v>23.514490634393905</v>
      </c>
      <c r="AH77" s="111">
        <f ca="1">OFFSET(RES!AM$95,$E77,0)</f>
        <v>24.723873959330096</v>
      </c>
      <c r="AJ77">
        <f t="shared" ca="1" si="3"/>
        <v>1.695838078751869</v>
      </c>
    </row>
    <row r="78" spans="1:36" ht="15">
      <c r="A78" s="31" t="s">
        <v>361</v>
      </c>
      <c r="B78">
        <v>8.1991938940679994</v>
      </c>
      <c r="C78" t="s">
        <v>731</v>
      </c>
      <c r="D78" t="s">
        <v>272</v>
      </c>
      <c r="E78" s="114">
        <f>MATCH(F78,RES!$D$96:$D$125,0)</f>
        <v>18</v>
      </c>
      <c r="F78" t="str">
        <f t="shared" si="2"/>
        <v>RMEO</v>
      </c>
      <c r="G78" s="111">
        <f ca="1">OFFSET(RES!L$95,$E78,0)</f>
        <v>7.7618829459684902</v>
      </c>
      <c r="H78" s="111">
        <f ca="1">OFFSET(RES!M$95,$E78,0)</f>
        <v>7.971309515961206</v>
      </c>
      <c r="I78" s="111">
        <f ca="1">OFFSET(RES!N$95,$E78,0)</f>
        <v>8.1867283183926158</v>
      </c>
      <c r="J78" s="176">
        <f ca="1">OFFSET(RES!O$95,$E78,0)</f>
        <v>8.6032216490547775</v>
      </c>
      <c r="K78" s="111">
        <f ca="1">OFFSET(RES!P$95,$E78,0)</f>
        <v>7.7064954563291659</v>
      </c>
      <c r="L78" s="111">
        <f ca="1">OFFSET(RES!Q$95,$E78,0)</f>
        <v>8.150539284309243</v>
      </c>
      <c r="M78" s="111">
        <f ca="1">OFFSET(RES!R$95,$E78,0)</f>
        <v>8.3482085033296762</v>
      </c>
      <c r="N78" s="111">
        <f ca="1">OFFSET(RES!S$95,$E78,0)</f>
        <v>8.5007031746859045</v>
      </c>
      <c r="O78" s="176">
        <f ca="1">OFFSET(RES!T$95,$E78,0)</f>
        <v>8.6623550109668486</v>
      </c>
      <c r="P78" s="111">
        <f ca="1">OFFSET(RES!U$95,$E78,0)</f>
        <v>8.7982238991405399</v>
      </c>
      <c r="Q78" s="111">
        <f ca="1">OFFSET(RES!V$95,$E78,0)</f>
        <v>8.8895815201760602</v>
      </c>
      <c r="R78" s="111">
        <f ca="1">OFFSET(RES!W$95,$E78,0)</f>
        <v>9.0691830040841097</v>
      </c>
      <c r="S78" s="111">
        <f ca="1">OFFSET(RES!X$95,$E78,0)</f>
        <v>9.2362408427782352</v>
      </c>
      <c r="T78" s="111">
        <f ca="1">OFFSET(RES!Y$95,$E78,0)</f>
        <v>9.4046413197457497</v>
      </c>
      <c r="U78" s="111">
        <f ca="1">OFFSET(RES!Z$95,$E78,0)</f>
        <v>9.5792908792656206</v>
      </c>
      <c r="V78" s="111">
        <f ca="1">OFFSET(RES!AA$95,$E78,0)</f>
        <v>9.7499608763140149</v>
      </c>
      <c r="W78" s="111">
        <f ca="1">OFFSET(RES!AB$95,$E78,0)</f>
        <v>9.9171171867814571</v>
      </c>
      <c r="X78" s="111">
        <f ca="1">OFFSET(RES!AC$95,$E78,0)</f>
        <v>10.084762885212793</v>
      </c>
      <c r="Y78" s="111">
        <f ca="1">OFFSET(RES!AD$95,$E78,0)</f>
        <v>10.24791153537044</v>
      </c>
      <c r="Z78" s="111">
        <f ca="1">OFFSET(RES!AE$95,$E78,0)</f>
        <v>10.397228732208854</v>
      </c>
      <c r="AA78" s="111">
        <f ca="1">OFFSET(RES!AF$95,$E78,0)</f>
        <v>10.545231931034158</v>
      </c>
      <c r="AB78" s="111">
        <f ca="1">OFFSET(RES!AG$95,$E78,0)</f>
        <v>10.690984091912773</v>
      </c>
      <c r="AC78" s="111">
        <f ca="1">OFFSET(RES!AH$95,$E78,0)</f>
        <v>10.830416244568948</v>
      </c>
      <c r="AD78" s="111">
        <f ca="1">OFFSET(RES!AI$95,$E78,0)</f>
        <v>10.972454784386096</v>
      </c>
      <c r="AE78" s="111">
        <f ca="1">OFFSET(RES!AJ$95,$E78,0)</f>
        <v>11.609616830470246</v>
      </c>
      <c r="AF78" s="111">
        <f ca="1">OFFSET(RES!AK$95,$E78,0)</f>
        <v>12.164862260101019</v>
      </c>
      <c r="AG78" s="111">
        <f ca="1">OFFSET(RES!AL$95,$E78,0)</f>
        <v>12.519025570307885</v>
      </c>
      <c r="AH78" s="111">
        <f ca="1">OFFSET(RES!AM$95,$E78,0)</f>
        <v>13.162896662588102</v>
      </c>
      <c r="AJ78">
        <f t="shared" ca="1" si="3"/>
        <v>1.695838078751869</v>
      </c>
    </row>
    <row r="79" spans="1:36" ht="15">
      <c r="A79" s="31" t="s">
        <v>362</v>
      </c>
      <c r="B79">
        <v>3.5984677195130002</v>
      </c>
      <c r="C79" t="s">
        <v>731</v>
      </c>
      <c r="D79" t="s">
        <v>272</v>
      </c>
      <c r="E79" s="114">
        <f>MATCH(F79,RES!$D$96:$D$125,0)</f>
        <v>17</v>
      </c>
      <c r="F79" t="str">
        <f t="shared" si="2"/>
        <v>RMER</v>
      </c>
      <c r="G79" s="111">
        <f ca="1">OFFSET(RES!L$95,$E79,0)</f>
        <v>6.4871161947221303</v>
      </c>
      <c r="H79" s="111">
        <f ca="1">OFFSET(RES!M$95,$E79,0)</f>
        <v>6.6621477564272054</v>
      </c>
      <c r="I79" s="111">
        <f ca="1">OFFSET(RES!N$95,$E79,0)</f>
        <v>6.8421874209813174</v>
      </c>
      <c r="J79" s="176">
        <f ca="1">OFFSET(RES!O$95,$E79,0)</f>
        <v>7.1902782964995575</v>
      </c>
      <c r="K79" s="111">
        <f ca="1">OFFSET(RES!P$95,$E79,0)</f>
        <v>6.4408252259552174</v>
      </c>
      <c r="L79" s="111">
        <f ca="1">OFFSET(RES!Q$95,$E79,0)</f>
        <v>6.8119418644961431</v>
      </c>
      <c r="M79" s="111">
        <f ca="1">OFFSET(RES!R$95,$E79,0)</f>
        <v>6.9771470345343687</v>
      </c>
      <c r="N79" s="111">
        <f ca="1">OFFSET(RES!S$95,$E79,0)</f>
        <v>7.104596863274395</v>
      </c>
      <c r="O79" s="176">
        <f ca="1">OFFSET(RES!T$95,$E79,0)</f>
        <v>7.2396999371476429</v>
      </c>
      <c r="P79" s="111">
        <f ca="1">OFFSET(RES!U$95,$E79,0)</f>
        <v>7.3532545051520781</v>
      </c>
      <c r="Q79" s="111">
        <f ca="1">OFFSET(RES!V$95,$E79,0)</f>
        <v>7.4296080790279415</v>
      </c>
      <c r="R79" s="111">
        <f ca="1">OFFSET(RES!W$95,$E79,0)</f>
        <v>7.579712854243752</v>
      </c>
      <c r="S79" s="111">
        <f ca="1">OFFSET(RES!X$95,$E79,0)</f>
        <v>7.7193340799684735</v>
      </c>
      <c r="T79" s="111">
        <f ca="1">OFFSET(RES!Y$95,$E79,0)</f>
        <v>7.8600774368239517</v>
      </c>
      <c r="U79" s="111">
        <f ca="1">OFFSET(RES!Z$95,$E79,0)</f>
        <v>8.0060435630653828</v>
      </c>
      <c r="V79" s="111">
        <f ca="1">OFFSET(RES!AA$95,$E79,0)</f>
        <v>8.1486837071532126</v>
      </c>
      <c r="W79" s="111">
        <f ca="1">OFFSET(RES!AB$95,$E79,0)</f>
        <v>8.288387232216877</v>
      </c>
      <c r="X79" s="111">
        <f ca="1">OFFSET(RES!AC$95,$E79,0)</f>
        <v>8.4284997709964369</v>
      </c>
      <c r="Y79" s="111">
        <f ca="1">OFFSET(RES!AD$95,$E79,0)</f>
        <v>8.5648538306945969</v>
      </c>
      <c r="Z79" s="111">
        <f ca="1">OFFSET(RES!AE$95,$E79,0)</f>
        <v>8.6896480349493892</v>
      </c>
      <c r="AA79" s="111">
        <f ca="1">OFFSET(RES!AF$95,$E79,0)</f>
        <v>8.8133440446230455</v>
      </c>
      <c r="AB79" s="111">
        <f ca="1">OFFSET(RES!AG$95,$E79,0)</f>
        <v>8.9351587137997441</v>
      </c>
      <c r="AC79" s="111">
        <f ca="1">OFFSET(RES!AH$95,$E79,0)</f>
        <v>9.0516913363421434</v>
      </c>
      <c r="AD79" s="111">
        <f ca="1">OFFSET(RES!AI$95,$E79,0)</f>
        <v>9.1704022880965876</v>
      </c>
      <c r="AE79" s="111">
        <f ca="1">OFFSET(RES!AJ$95,$E79,0)</f>
        <v>9.7029205258215754</v>
      </c>
      <c r="AF79" s="111">
        <f ca="1">OFFSET(RES!AK$95,$E79,0)</f>
        <v>10.166975658278073</v>
      </c>
      <c r="AG79" s="111">
        <f ca="1">OFFSET(RES!AL$95,$E79,0)</f>
        <v>10.462973235310933</v>
      </c>
      <c r="AH79" s="111">
        <f ca="1">OFFSET(RES!AM$95,$E79,0)</f>
        <v>11.001098664297707</v>
      </c>
      <c r="AJ79">
        <f t="shared" ca="1" si="3"/>
        <v>1.6958380787518681</v>
      </c>
    </row>
    <row r="80" spans="1:36" ht="15">
      <c r="A80" s="31" t="s">
        <v>363</v>
      </c>
      <c r="B80">
        <v>16.347656033450001</v>
      </c>
      <c r="C80" t="s">
        <v>731</v>
      </c>
      <c r="D80" t="s">
        <v>272</v>
      </c>
      <c r="E80" s="114">
        <f>MATCH(F80,RES!$D$96:$D$125,0)</f>
        <v>16</v>
      </c>
      <c r="F80" t="str">
        <f t="shared" si="2"/>
        <v>RMEW</v>
      </c>
      <c r="G80" s="111">
        <f ca="1">OFFSET(RES!L$95,$E80,0)</f>
        <v>4.3678647382810798</v>
      </c>
      <c r="H80" s="111">
        <f ca="1">OFFSET(RES!M$95,$E80,0)</f>
        <v>4.48571590103347</v>
      </c>
      <c r="I80" s="111">
        <f ca="1">OFFSET(RES!N$95,$E80,0)</f>
        <v>4.606939088454971</v>
      </c>
      <c r="J80" s="176">
        <f ca="1">OFFSET(RES!O$95,$E80,0)</f>
        <v>4.8413134722729314</v>
      </c>
      <c r="K80" s="111">
        <f ca="1">OFFSET(RES!P$95,$E80,0)</f>
        <v>4.3366963910357539</v>
      </c>
      <c r="L80" s="111">
        <f ca="1">OFFSET(RES!Q$95,$E80,0)</f>
        <v>4.5865743384341897</v>
      </c>
      <c r="M80" s="111">
        <f ca="1">OFFSET(RES!R$95,$E80,0)</f>
        <v>4.697809256251567</v>
      </c>
      <c r="N80" s="111">
        <f ca="1">OFFSET(RES!S$95,$E80,0)</f>
        <v>4.7836229824349266</v>
      </c>
      <c r="O80" s="176">
        <f ca="1">OFFSET(RES!T$95,$E80,0)</f>
        <v>4.8745897440422574</v>
      </c>
      <c r="P80" s="111">
        <f ca="1">OFFSET(RES!U$95,$E80,0)</f>
        <v>4.9510475996701322</v>
      </c>
      <c r="Q80" s="111">
        <f ca="1">OFFSET(RES!V$95,$E80,0)</f>
        <v>5.0024575132532219</v>
      </c>
      <c r="R80" s="111">
        <f ca="1">OFFSET(RES!W$95,$E80,0)</f>
        <v>5.1035251271254944</v>
      </c>
      <c r="S80" s="111">
        <f ca="1">OFFSET(RES!X$95,$E80,0)</f>
        <v>5.197534022642853</v>
      </c>
      <c r="T80" s="111">
        <f ca="1">OFFSET(RES!Y$95,$E80,0)</f>
        <v>5.2922984645155768</v>
      </c>
      <c r="U80" s="111">
        <f ca="1">OFFSET(RES!Z$95,$E80,0)</f>
        <v>5.3905794689952167</v>
      </c>
      <c r="V80" s="111">
        <f ca="1">OFFSET(RES!AA$95,$E80,0)</f>
        <v>5.4866210438526952</v>
      </c>
      <c r="W80" s="111">
        <f ca="1">OFFSET(RES!AB$95,$E80,0)</f>
        <v>5.5806853526492004</v>
      </c>
      <c r="X80" s="111">
        <f ca="1">OFFSET(RES!AC$95,$E80,0)</f>
        <v>5.6750250560175779</v>
      </c>
      <c r="Y80" s="111">
        <f ca="1">OFFSET(RES!AD$95,$E80,0)</f>
        <v>5.7668341236217042</v>
      </c>
      <c r="Z80" s="111">
        <f ca="1">OFFSET(RES!AE$95,$E80,0)</f>
        <v>5.850859781239774</v>
      </c>
      <c r="AA80" s="111">
        <f ca="1">OFFSET(RES!AF$95,$E80,0)</f>
        <v>5.9341460093112266</v>
      </c>
      <c r="AB80" s="111">
        <f ca="1">OFFSET(RES!AG$95,$E80,0)</f>
        <v>6.0161655048977503</v>
      </c>
      <c r="AC80" s="111">
        <f ca="1">OFFSET(RES!AH$95,$E80,0)</f>
        <v>6.0946285256890969</v>
      </c>
      <c r="AD80" s="111">
        <f ca="1">OFFSET(RES!AI$95,$E80,0)</f>
        <v>6.1745582455602905</v>
      </c>
      <c r="AE80" s="111">
        <f ca="1">OFFSET(RES!AJ$95,$E80,0)</f>
        <v>6.5331101140998031</v>
      </c>
      <c r="AF80" s="111">
        <f ca="1">OFFSET(RES!AK$95,$E80,0)</f>
        <v>6.8455648303147187</v>
      </c>
      <c r="AG80" s="111">
        <f ca="1">OFFSET(RES!AL$95,$E80,0)</f>
        <v>7.0448640783211509</v>
      </c>
      <c r="AH80" s="111">
        <f ca="1">OFFSET(RES!AM$95,$E80,0)</f>
        <v>7.4071913460146179</v>
      </c>
      <c r="AJ80">
        <f t="shared" ca="1" si="3"/>
        <v>1.6958380787518681</v>
      </c>
    </row>
    <row r="81" spans="1:36" ht="15">
      <c r="A81" s="31" t="s">
        <v>527</v>
      </c>
      <c r="B81">
        <v>17.347656033450001</v>
      </c>
      <c r="C81" t="s">
        <v>731</v>
      </c>
      <c r="D81" t="s">
        <v>272</v>
      </c>
      <c r="E81" s="114">
        <f>MATCH(F81,RES!$D$96:$D$125,0)</f>
        <v>15</v>
      </c>
      <c r="F81" t="str">
        <f>A81</f>
        <v>RMEWG</v>
      </c>
      <c r="G81" s="111">
        <f ca="1">OFFSET(RES!L$95,$E81,0)</f>
        <v>7.1740496070211197</v>
      </c>
      <c r="H81" s="111">
        <f ca="1">OFFSET(RES!M$95,$E81,0)</f>
        <v>7.3676156028773683</v>
      </c>
      <c r="I81" s="111">
        <f ca="1">OFFSET(RES!N$95,$E81,0)</f>
        <v>7.5667200193811892</v>
      </c>
      <c r="J81" s="176">
        <f ca="1">OFFSET(RES!O$95,$E81,0)</f>
        <v>7.9516709180179346</v>
      </c>
      <c r="K81" s="111">
        <f ca="1">OFFSET(RES!P$95,$E81,0)</f>
        <v>7.1228567971002663</v>
      </c>
      <c r="L81" s="111">
        <f ca="1">OFFSET(RES!Q$95,$E81,0)</f>
        <v>7.5332717018077915</v>
      </c>
      <c r="M81" s="111">
        <f ca="1">OFFSET(RES!R$95,$E81,0)</f>
        <v>7.715970770178858</v>
      </c>
      <c r="N81" s="111">
        <f ca="1">OFFSET(RES!S$95,$E81,0)</f>
        <v>7.8569165103725034</v>
      </c>
      <c r="O81" s="176">
        <f ca="1">OFFSET(RES!T$95,$E81,0)</f>
        <v>8.0063259127840531</v>
      </c>
      <c r="P81" s="111">
        <f ca="1">OFFSET(RES!U$95,$E81,0)</f>
        <v>8.1319049959258756</v>
      </c>
      <c r="Q81" s="111">
        <f ca="1">OFFSET(RES!V$95,$E81,0)</f>
        <v>8.2163437989651147</v>
      </c>
      <c r="R81" s="111">
        <f ca="1">OFFSET(RES!W$95,$E81,0)</f>
        <v>8.3823434621937611</v>
      </c>
      <c r="S81" s="111">
        <f ca="1">OFFSET(RES!X$95,$E81,0)</f>
        <v>8.5367494523866281</v>
      </c>
      <c r="T81" s="111">
        <f ca="1">OFFSET(RES!Y$95,$E81,0)</f>
        <v>8.692396398368782</v>
      </c>
      <c r="U81" s="111">
        <f ca="1">OFFSET(RES!Z$95,$E81,0)</f>
        <v>8.8538191629945651</v>
      </c>
      <c r="V81" s="111">
        <f ca="1">OFFSET(RES!AA$95,$E81,0)</f>
        <v>9.0115637507161921</v>
      </c>
      <c r="W81" s="111">
        <f ca="1">OFFSET(RES!AB$95,$E81,0)</f>
        <v>9.1660607550858479</v>
      </c>
      <c r="X81" s="111">
        <f ca="1">OFFSET(RES!AC$95,$E81,0)</f>
        <v>9.3210100844331532</v>
      </c>
      <c r="Y81" s="111">
        <f ca="1">OFFSET(RES!AD$95,$E81,0)</f>
        <v>9.4718029420035457</v>
      </c>
      <c r="Z81" s="111">
        <f ca="1">OFFSET(RES!AE$95,$E81,0)</f>
        <v>9.6098118484450552</v>
      </c>
      <c r="AA81" s="111">
        <f ca="1">OFFSET(RES!AF$95,$E81,0)</f>
        <v>9.7466062703349188</v>
      </c>
      <c r="AB81" s="111">
        <f ca="1">OFFSET(RES!AG$95,$E81,0)</f>
        <v>9.881320132905703</v>
      </c>
      <c r="AC81" s="111">
        <f ca="1">OFFSET(RES!AH$95,$E81,0)</f>
        <v>10.010192622600833</v>
      </c>
      <c r="AD81" s="111">
        <f ca="1">OFFSET(RES!AI$95,$E81,0)</f>
        <v>10.141474109045605</v>
      </c>
      <c r="AE81" s="111">
        <f ca="1">OFFSET(RES!AJ$95,$E81,0)</f>
        <v>10.730381743718574</v>
      </c>
      <c r="AF81" s="111">
        <f ca="1">OFFSET(RES!AK$95,$E81,0)</f>
        <v>11.243576581101669</v>
      </c>
      <c r="AG81" s="111">
        <f ca="1">OFFSET(RES!AL$95,$E81,0)</f>
        <v>11.570917920065115</v>
      </c>
      <c r="AH81" s="111">
        <f ca="1">OFFSET(RES!AM$95,$E81,0)</f>
        <v>12.166026502441294</v>
      </c>
      <c r="AJ81">
        <f t="shared" ca="1" si="3"/>
        <v>1.6958380787518688</v>
      </c>
    </row>
    <row r="82" spans="1:36" ht="15">
      <c r="A82" s="31" t="s">
        <v>364</v>
      </c>
      <c r="B82">
        <v>0.2282739655271</v>
      </c>
      <c r="C82" t="s">
        <v>731</v>
      </c>
      <c r="D82" t="s">
        <v>272</v>
      </c>
      <c r="E82" s="114">
        <f>MATCH(F82,RES!$D$96:$D$125,0)</f>
        <v>12</v>
      </c>
      <c r="F82" t="str">
        <f t="shared" si="2"/>
        <v>RMNL</v>
      </c>
      <c r="G82" s="111">
        <f ca="1">OFFSET(RES!L$95,$E82,0)</f>
        <v>0.071482186957706306</v>
      </c>
      <c r="H82" s="111">
        <f ca="1">OFFSET(RES!M$95,$E82,0)</f>
        <v>0.073410877371403671</v>
      </c>
      <c r="I82" s="111">
        <f ca="1">OFFSET(RES!N$95,$E82,0)</f>
        <v>0.075394752574984944</v>
      </c>
      <c r="J82" s="176">
        <f ca="1">OFFSET(RES!O$95,$E82,0)</f>
        <v>0.079230401004145287</v>
      </c>
      <c r="K82" s="111">
        <f ca="1">OFFSET(RES!P$95,$E82,0)</f>
        <v>0.070972102108826624</v>
      </c>
      <c r="L82" s="111">
        <f ca="1">OFFSET(RES!Q$95,$E82,0)</f>
        <v>0.075061473740689971</v>
      </c>
      <c r="M82" s="111">
        <f ca="1">OFFSET(RES!R$95,$E82,0)</f>
        <v>0.076881886154554241</v>
      </c>
      <c r="N82" s="111">
        <f ca="1">OFFSET(RES!S$95,$E82,0)</f>
        <v>0.078286268658621969</v>
      </c>
      <c r="O82" s="176">
        <f ca="1">OFFSET(RES!T$95,$E82,0)</f>
        <v>0.079774983041913813</v>
      </c>
      <c r="P82" s="111">
        <f ca="1">OFFSET(RES!U$95,$E82,0)</f>
        <v>0.081026252267921914</v>
      </c>
      <c r="Q82" s="111">
        <f ca="1">OFFSET(RES!V$95,$E82,0)</f>
        <v>0.081867599991448742</v>
      </c>
      <c r="R82" s="111">
        <f ca="1">OFFSET(RES!W$95,$E82,0)</f>
        <v>0.083521619633327632</v>
      </c>
      <c r="S82" s="111">
        <f ca="1">OFFSET(RES!X$95,$E82,0)</f>
        <v>0.085060119987096339</v>
      </c>
      <c r="T82" s="111">
        <f ca="1">OFFSET(RES!Y$95,$E82,0)</f>
        <v>0.086610985216854938</v>
      </c>
      <c r="U82" s="111">
        <f ca="1">OFFSET(RES!Z$95,$E82,0)</f>
        <v>0.088219400668696407</v>
      </c>
      <c r="V82" s="111">
        <f ca="1">OFFSET(RES!AA$95,$E82,0)</f>
        <v>0.089791166788078705</v>
      </c>
      <c r="W82" s="111">
        <f ca="1">OFFSET(RES!AB$95,$E82,0)</f>
        <v>0.091330574006555282</v>
      </c>
      <c r="X82" s="111">
        <f ca="1">OFFSET(RES!AC$95,$E82,0)</f>
        <v>0.092874488188377402</v>
      </c>
      <c r="Y82" s="111">
        <f ca="1">OFFSET(RES!AD$95,$E82,0)</f>
        <v>0.094376987310516774</v>
      </c>
      <c r="Z82" s="111">
        <f ca="1">OFFSET(RES!AE$95,$E82,0)</f>
        <v>0.095752107220814828</v>
      </c>
      <c r="AA82" s="111">
        <f ca="1">OFFSET(RES!AF$95,$E82,0)</f>
        <v>0.097115126014374969</v>
      </c>
      <c r="AB82" s="111">
        <f ca="1">OFFSET(RES!AG$95,$E82,0)</f>
        <v>0.098457414127445048</v>
      </c>
      <c r="AC82" s="111">
        <f ca="1">OFFSET(RES!AH$95,$E82,0)</f>
        <v>0.09974149883646026</v>
      </c>
      <c r="AD82" s="111">
        <f ca="1">OFFSET(RES!AI$95,$E82,0)</f>
        <v>0.10104958677454011</v>
      </c>
      <c r="AE82" s="111">
        <f ca="1">OFFSET(RES!AJ$95,$E82,0)</f>
        <v>0.10691745888979769</v>
      </c>
      <c r="AF82" s="111">
        <f ca="1">OFFSET(RES!AK$95,$E82,0)</f>
        <v>0.11203092915011563</v>
      </c>
      <c r="AG82" s="111">
        <f ca="1">OFFSET(RES!AL$95,$E82,0)</f>
        <v>0.11529255627461596</v>
      </c>
      <c r="AH82" s="111">
        <f ca="1">OFFSET(RES!AM$95,$E82,0)</f>
        <v>0.12122221459533856</v>
      </c>
      <c r="AJ82">
        <f t="shared" ca="1" si="3"/>
        <v>1.695838078751869</v>
      </c>
    </row>
    <row r="83" spans="1:36" ht="15">
      <c r="A83" s="31" t="s">
        <v>122</v>
      </c>
      <c r="B83">
        <v>0.46620130319999997</v>
      </c>
      <c r="C83" t="s">
        <v>731</v>
      </c>
      <c r="D83" t="s">
        <v>272</v>
      </c>
      <c r="E83" s="116">
        <f>MATCH(F83,OtherTRA!$D$52:$D$56,0)</f>
        <v>1</v>
      </c>
      <c r="F83" t="str">
        <f>A83</f>
        <v>TFPIP</v>
      </c>
      <c r="G83" s="22">
        <f ca="1">OFFSET(OtherTRA!J$51,$E83,0)</f>
        <v>0.820564128</v>
      </c>
      <c r="H83" s="22">
        <f ca="1">OFFSET(OtherTRA!K$51,$E83,0)</f>
        <v>0.820564128</v>
      </c>
      <c r="I83" s="22">
        <f ca="1">OFFSET(OtherTRA!L$51,$E83,0)</f>
        <v>0.820564128</v>
      </c>
      <c r="J83" s="22">
        <f ca="1">OFFSET(OtherTRA!M$51,$E83,0)</f>
        <v>0.820564128</v>
      </c>
      <c r="K83" s="22">
        <f ca="1">OFFSET(OtherTRA!N$51,$E83,0)</f>
        <v>0.820564128</v>
      </c>
      <c r="L83" s="22">
        <f ca="1">OFFSET(OtherTRA!O$51,$E83,0)</f>
        <v>0.820564128</v>
      </c>
      <c r="M83" s="22">
        <f ca="1">OFFSET(OtherTRA!P$51,$E83,0)</f>
        <v>0.820564128</v>
      </c>
      <c r="N83" s="22">
        <f ca="1">OFFSET(OtherTRA!Q$51,$E83,0)</f>
        <v>0.820564128</v>
      </c>
      <c r="O83" s="22">
        <f ca="1">OFFSET(OtherTRA!R$51,$E83,0)</f>
        <v>0.820564128</v>
      </c>
      <c r="P83" s="22">
        <f ca="1">OFFSET(OtherTRA!S$51,$E83,0)</f>
        <v>0.820564128</v>
      </c>
      <c r="Q83" s="22">
        <f ca="1">OFFSET(OtherTRA!T$51,$E83,0)</f>
        <v>0.820564128</v>
      </c>
      <c r="R83" s="22">
        <f ca="1">OFFSET(OtherTRA!U$51,$E83,0)</f>
        <v>0.820564128</v>
      </c>
      <c r="S83" s="22">
        <f ca="1">OFFSET(OtherTRA!V$51,$E83,0)</f>
        <v>0.820564128</v>
      </c>
      <c r="T83" s="22">
        <f ca="1">OFFSET(OtherTRA!W$51,$E83,0)</f>
        <v>0.820564128</v>
      </c>
      <c r="U83" s="22">
        <f ca="1">OFFSET(OtherTRA!X$51,$E83,0)</f>
        <v>0.820564128</v>
      </c>
      <c r="V83" s="22">
        <f ca="1">OFFSET(OtherTRA!Y$51,$E83,0)</f>
        <v>0.820564128</v>
      </c>
      <c r="W83" s="22">
        <f ca="1">OFFSET(OtherTRA!Z$51,$E83,0)</f>
        <v>0.820564128</v>
      </c>
      <c r="X83" s="22">
        <f ca="1">OFFSET(OtherTRA!AA$51,$E83,0)</f>
        <v>0.820564128</v>
      </c>
      <c r="Y83" s="22">
        <f ca="1">OFFSET(OtherTRA!AB$51,$E83,0)</f>
        <v>0.820564128</v>
      </c>
      <c r="Z83" s="22">
        <f ca="1">OFFSET(OtherTRA!AC$51,$E83,0)</f>
        <v>0.820564128</v>
      </c>
      <c r="AA83" s="22">
        <f ca="1">OFFSET(OtherTRA!AD$51,$E83,0)</f>
        <v>0.820564128</v>
      </c>
      <c r="AB83" s="22">
        <f ca="1">OFFSET(OtherTRA!AE$51,$E83,0)</f>
        <v>0.820564128</v>
      </c>
      <c r="AC83" s="22">
        <f ca="1">OFFSET(OtherTRA!AF$51,$E83,0)</f>
        <v>0.820564128</v>
      </c>
      <c r="AD83" s="22">
        <f ca="1">OFFSET(OtherTRA!AG$51,$E83,0)</f>
        <v>0.820564128</v>
      </c>
      <c r="AE83" s="22">
        <f ca="1">OFFSET(OtherTRA!AH$51,$E83,0)</f>
        <v>0.820564128</v>
      </c>
      <c r="AF83" s="22">
        <f ca="1">OFFSET(OtherTRA!AI$51,$E83,0)</f>
        <v>0.820564128</v>
      </c>
      <c r="AG83" s="22">
        <f ca="1">OFFSET(OtherTRA!AJ$51,$E83,0)</f>
        <v>0.820564128</v>
      </c>
      <c r="AH83" s="22">
        <f ca="1">OFFSET(OtherTRA!AK$51,$E83,0)</f>
        <v>0.820564128</v>
      </c>
      <c r="AJ83">
        <f t="shared" ca="1" si="3"/>
        <v>1</v>
      </c>
    </row>
    <row r="84" spans="1:36" ht="15">
      <c r="A84" s="31" t="s">
        <v>586</v>
      </c>
      <c r="B84">
        <f>[2]EB_2006!$AI$69/1000</f>
        <v>35.178032837500005</v>
      </c>
      <c r="C84" t="s">
        <v>731</v>
      </c>
      <c r="D84" t="s">
        <v>272</v>
      </c>
      <c r="E84" s="113">
        <f>MATCH(F84,OtherTRA!$D$52:$D$56,0)</f>
        <v>2</v>
      </c>
      <c r="F84" t="str">
        <f t="shared" si="2"/>
        <v>TAIJET</v>
      </c>
      <c r="G84" s="22">
        <f ca="1">OFFSET(OtherTRA!J$51,$E84,0)</f>
        <v>68.939278175231294</v>
      </c>
      <c r="H84" s="22">
        <f ca="1">OFFSET(OtherTRA!K$51,$E84,0)</f>
        <v>73.635488498537683</v>
      </c>
      <c r="I84" s="22">
        <f ca="1">OFFSET(OtherTRA!L$51,$E84,0)</f>
        <v>78.331698821844057</v>
      </c>
      <c r="J84" s="22">
        <f ca="1">OFFSET(OtherTRA!M$51,$E84,0)</f>
        <v>74.141114111210427</v>
      </c>
      <c r="K84" s="22">
        <f ca="1">OFFSET(OtherTRA!N$51,$E84,0)</f>
        <v>77.86143817417414</v>
      </c>
      <c r="L84" s="22">
        <f ca="1">OFFSET(OtherTRA!O$51,$E84,0)</f>
        <v>81.467861568093781</v>
      </c>
      <c r="M84" s="22">
        <f ca="1">OFFSET(OtherTRA!P$51,$E84,0)</f>
        <v>85.074284962013422</v>
      </c>
      <c r="N84" s="22">
        <f ca="1">OFFSET(OtherTRA!Q$51,$E84,0)</f>
        <v>88.680708355933064</v>
      </c>
      <c r="O84" s="22">
        <f ca="1">OFFSET(OtherTRA!R$51,$E84,0)</f>
        <v>92.287131749852705</v>
      </c>
      <c r="P84" s="22">
        <f ca="1">OFFSET(OtherTRA!S$51,$E84,0)</f>
        <v>95.893555143772346</v>
      </c>
      <c r="Q84" s="22">
        <f ca="1">OFFSET(OtherTRA!T$51,$E84,0)</f>
        <v>99.499978537691987</v>
      </c>
      <c r="R84" s="22">
        <f ca="1">OFFSET(OtherTRA!U$51,$E84,0)</f>
        <v>103.10640193161163</v>
      </c>
      <c r="S84" s="22">
        <f ca="1">OFFSET(OtherTRA!V$51,$E84,0)</f>
        <v>106.71282532553127</v>
      </c>
      <c r="T84" s="22">
        <f ca="1">OFFSET(OtherTRA!W$51,$E84,0)</f>
        <v>110.3192487194509</v>
      </c>
      <c r="U84" s="22">
        <f ca="1">OFFSET(OtherTRA!X$51,$E84,0)</f>
        <v>113.89390938533386</v>
      </c>
      <c r="V84" s="22">
        <f ca="1">OFFSET(OtherTRA!Y$51,$E84,0)</f>
        <v>117.46857005121682</v>
      </c>
      <c r="W84" s="22">
        <f ca="1">OFFSET(OtherTRA!Z$51,$E84,0)</f>
        <v>121.04323071709977</v>
      </c>
      <c r="X84" s="22">
        <f ca="1">OFFSET(OtherTRA!AA$51,$E84,0)</f>
        <v>124.61789138298273</v>
      </c>
      <c r="Y84" s="22">
        <f ca="1">OFFSET(OtherTRA!AB$51,$E84,0)</f>
        <v>128.19255204886571</v>
      </c>
      <c r="Z84" s="22">
        <f ca="1">OFFSET(OtherTRA!AC$51,$E84,0)</f>
        <v>131.76721271474867</v>
      </c>
      <c r="AA84" s="22">
        <f ca="1">OFFSET(OtherTRA!AD$51,$E84,0)</f>
        <v>135.34187338063163</v>
      </c>
      <c r="AB84" s="22">
        <f ca="1">OFFSET(OtherTRA!AE$51,$E84,0)</f>
        <v>138.91653404651458</v>
      </c>
      <c r="AC84" s="22">
        <f ca="1">OFFSET(OtherTRA!AF$51,$E84,0)</f>
        <v>142.49119471239754</v>
      </c>
      <c r="AD84" s="22">
        <f ca="1">OFFSET(OtherTRA!AG$51,$E84,0)</f>
        <v>146.0658553782805</v>
      </c>
      <c r="AE84" s="22">
        <f ca="1">OFFSET(OtherTRA!AH$51,$E84,0)</f>
        <v>149.47208135826168</v>
      </c>
      <c r="AF84" s="22">
        <f ca="1">OFFSET(OtherTRA!AI$51,$E84,0)</f>
        <v>152.87830733824285</v>
      </c>
      <c r="AG84" s="22">
        <f ca="1">OFFSET(OtherTRA!AJ$51,$E84,0)</f>
        <v>156.28453331822402</v>
      </c>
      <c r="AH84" s="22">
        <f ca="1">OFFSET(OtherTRA!AK$51,$E84,0)</f>
        <v>159.69075929820519</v>
      </c>
      <c r="AJ84">
        <f t="shared" ca="1" si="3"/>
        <v>2.3163973213107902</v>
      </c>
    </row>
    <row r="85" spans="1:36" ht="15">
      <c r="A85" s="31" t="s">
        <v>587</v>
      </c>
      <c r="B85">
        <f>[2]EB_2006!$AI$70/1000</f>
        <v>42.764908764899999</v>
      </c>
      <c r="C85" t="s">
        <v>731</v>
      </c>
      <c r="D85" t="s">
        <v>272</v>
      </c>
      <c r="E85" s="113">
        <f>MATCH(F85,OtherTRA!$D$52:$D$56,0)</f>
        <v>3</v>
      </c>
      <c r="F85" t="str">
        <f t="shared" si="4" ref="F85">A85</f>
        <v>TADJET</v>
      </c>
      <c r="G85" s="22">
        <f ca="1">OFFSET(OtherTRA!J$51,$E85,0)</f>
        <v>20.465228059152793</v>
      </c>
      <c r="H85" s="22">
        <f ca="1">OFFSET(OtherTRA!K$51,$E85,0)</f>
        <v>21.869482761120459</v>
      </c>
      <c r="I85" s="22">
        <f ca="1">OFFSET(OtherTRA!L$51,$E85,0)</f>
        <v>23.273737463088121</v>
      </c>
      <c r="J85" s="22">
        <f ca="1">OFFSET(OtherTRA!M$51,$E85,0)</f>
        <v>22.028640397161595</v>
      </c>
      <c r="K85" s="22">
        <f ca="1">OFFSET(OtherTRA!N$51,$E85,0)</f>
        <v>23.134014681408328</v>
      </c>
      <c r="L85" s="22">
        <f ca="1">OFFSET(OtherTRA!O$51,$E85,0)</f>
        <v>24.205547056082402</v>
      </c>
      <c r="M85" s="22">
        <f ca="1">OFFSET(OtherTRA!P$51,$E85,0)</f>
        <v>25.277079430756476</v>
      </c>
      <c r="N85" s="22">
        <f ca="1">OFFSET(OtherTRA!Q$51,$E85,0)</f>
        <v>26.348611805430551</v>
      </c>
      <c r="O85" s="22">
        <f ca="1">OFFSET(OtherTRA!R$51,$E85,0)</f>
        <v>27.420144180104625</v>
      </c>
      <c r="P85" s="22">
        <f ca="1">OFFSET(OtherTRA!S$51,$E85,0)</f>
        <v>28.491676554778699</v>
      </c>
      <c r="Q85" s="22">
        <f ca="1">OFFSET(OtherTRA!T$51,$E85,0)</f>
        <v>29.563208929452774</v>
      </c>
      <c r="R85" s="22">
        <f ca="1">OFFSET(OtherTRA!U$51,$E85,0)</f>
        <v>30.634741304126848</v>
      </c>
      <c r="S85" s="22">
        <f ca="1">OFFSET(OtherTRA!V$51,$E85,0)</f>
        <v>31.706273678800923</v>
      </c>
      <c r="T85" s="22">
        <f ca="1">OFFSET(OtherTRA!W$51,$E85,0)</f>
        <v>32.777806053474997</v>
      </c>
      <c r="U85" s="22">
        <f ca="1">OFFSET(OtherTRA!X$51,$E85,0)</f>
        <v>33.839901158122302</v>
      </c>
      <c r="V85" s="22">
        <f ca="1">OFFSET(OtherTRA!Y$51,$E85,0)</f>
        <v>34.901996262769607</v>
      </c>
      <c r="W85" s="22">
        <f ca="1">OFFSET(OtherTRA!Z$51,$E85,0)</f>
        <v>35.964091367416913</v>
      </c>
      <c r="X85" s="22">
        <f ca="1">OFFSET(OtherTRA!AA$51,$E85,0)</f>
        <v>37.026186472064218</v>
      </c>
      <c r="Y85" s="22">
        <f ca="1">OFFSET(OtherTRA!AB$51,$E85,0)</f>
        <v>38.088281576711523</v>
      </c>
      <c r="Z85" s="22">
        <f ca="1">OFFSET(OtherTRA!AC$51,$E85,0)</f>
        <v>39.150376681358829</v>
      </c>
      <c r="AA85" s="22">
        <f ca="1">OFFSET(OtherTRA!AD$51,$E85,0)</f>
        <v>40.212471786006134</v>
      </c>
      <c r="AB85" s="22">
        <f ca="1">OFFSET(OtherTRA!AE$51,$E85,0)</f>
        <v>41.274566890653439</v>
      </c>
      <c r="AC85" s="22">
        <f ca="1">OFFSET(OtherTRA!AF$51,$E85,0)</f>
        <v>42.336661995300744</v>
      </c>
      <c r="AD85" s="22">
        <f ca="1">OFFSET(OtherTRA!AG$51,$E85,0)</f>
        <v>43.398757099948064</v>
      </c>
      <c r="AE85" s="22">
        <f ca="1">OFFSET(OtherTRA!AH$51,$E85,0)</f>
        <v>44.410807271084209</v>
      </c>
      <c r="AF85" s="22">
        <f ca="1">OFFSET(OtherTRA!AI$51,$E85,0)</f>
        <v>45.422857442220355</v>
      </c>
      <c r="AG85" s="22">
        <f ca="1">OFFSET(OtherTRA!AJ$51,$E85,0)</f>
        <v>46.434907613356501</v>
      </c>
      <c r="AH85" s="22">
        <f ca="1">OFFSET(OtherTRA!AK$51,$E85,0)</f>
        <v>47.446957784492646</v>
      </c>
      <c r="AJ85">
        <f t="shared" ca="1" si="3"/>
        <v>2.3184182285851755</v>
      </c>
    </row>
    <row r="86" spans="1:36" ht="15">
      <c r="A86" s="31" t="s">
        <v>365</v>
      </c>
      <c r="B86" s="22">
        <f>[2]EB_2006!$AG$68/1000</f>
        <v>0.74474625240000003</v>
      </c>
      <c r="C86" t="s">
        <v>731</v>
      </c>
      <c r="D86" t="s">
        <v>272</v>
      </c>
      <c r="E86" s="115">
        <f>MATCH(F86,OtherTRA!$D$52:$D$56,0)</f>
        <v>4</v>
      </c>
      <c r="F86" t="str">
        <f t="shared" si="2"/>
        <v>TAOAG</v>
      </c>
      <c r="G86" s="22">
        <f ca="1">OFFSET(OtherTRA!J$51,$E86,0)</f>
        <v>0.90926579192061818</v>
      </c>
      <c r="H86" s="22">
        <f ca="1">OFFSET(OtherTRA!K$51,$E86,0)</f>
        <v>0.92163021555847424</v>
      </c>
      <c r="I86" s="22">
        <f ca="1">OFFSET(OtherTRA!L$51,$E86,0)</f>
        <v>0.9339946391963303</v>
      </c>
      <c r="J86" s="22">
        <f ca="1">OFFSET(OtherTRA!M$51,$E86,0)</f>
        <v>0.88402784779899579</v>
      </c>
      <c r="K86" s="22">
        <f ca="1">OFFSET(OtherTRA!N$51,$E86,0)</f>
        <v>0</v>
      </c>
      <c r="L86" s="22">
        <f ca="1">OFFSET(OtherTRA!O$51,$E86,0)</f>
        <v>0.14615565523689805</v>
      </c>
      <c r="M86" s="22">
        <f ca="1">OFFSET(OtherTRA!P$51,$E86,0)</f>
        <v>0.2923113104737961</v>
      </c>
      <c r="N86" s="22">
        <f ca="1">OFFSET(OtherTRA!Q$51,$E86,0)</f>
        <v>0.43846696571069416</v>
      </c>
      <c r="O86" s="22">
        <f ca="1">OFFSET(OtherTRA!R$51,$E86,0)</f>
        <v>0.58462262094759221</v>
      </c>
      <c r="P86" s="22">
        <f ca="1">OFFSET(OtherTRA!S$51,$E86,0)</f>
        <v>0.73077827618449032</v>
      </c>
      <c r="Q86" s="22">
        <f ca="1">OFFSET(OtherTRA!T$51,$E86,0)</f>
        <v>0.87693393142138842</v>
      </c>
      <c r="R86" s="22">
        <f ca="1">OFFSET(OtherTRA!U$51,$E86,0)</f>
        <v>1.0230895866582865</v>
      </c>
      <c r="S86" s="22">
        <f ca="1">OFFSET(OtherTRA!V$51,$E86,0)</f>
        <v>1.1692452418951846</v>
      </c>
      <c r="T86" s="22">
        <f ca="1">OFFSET(OtherTRA!W$51,$E86,0)</f>
        <v>1.3154008971320825</v>
      </c>
      <c r="U86" s="22">
        <f ca="1">OFFSET(OtherTRA!X$51,$E86,0)</f>
        <v>1.3580236660633955</v>
      </c>
      <c r="V86" s="22">
        <f ca="1">OFFSET(OtherTRA!Y$51,$E86,0)</f>
        <v>1.4006464349947085</v>
      </c>
      <c r="W86" s="22">
        <f ca="1">OFFSET(OtherTRA!Z$51,$E86,0)</f>
        <v>1.4432692039260215</v>
      </c>
      <c r="X86" s="22">
        <f ca="1">OFFSET(OtherTRA!AA$51,$E86,0)</f>
        <v>1.4858919728573345</v>
      </c>
      <c r="Y86" s="22">
        <f ca="1">OFFSET(OtherTRA!AB$51,$E86,0)</f>
        <v>1.5285147417886475</v>
      </c>
      <c r="Z86" s="22">
        <f ca="1">OFFSET(OtherTRA!AC$51,$E86,0)</f>
        <v>1.5711375107199606</v>
      </c>
      <c r="AA86" s="22">
        <f ca="1">OFFSET(OtherTRA!AD$51,$E86,0)</f>
        <v>1.6137602796512736</v>
      </c>
      <c r="AB86" s="22">
        <f ca="1">OFFSET(OtherTRA!AE$51,$E86,0)</f>
        <v>1.6563830485825866</v>
      </c>
      <c r="AC86" s="22">
        <f ca="1">OFFSET(OtherTRA!AF$51,$E86,0)</f>
        <v>1.6990058175138996</v>
      </c>
      <c r="AD86" s="22">
        <f ca="1">OFFSET(OtherTRA!AG$51,$E86,0)</f>
        <v>1.7416285864452132</v>
      </c>
      <c r="AE86" s="22">
        <f ca="1">OFFSET(OtherTRA!AH$51,$E86,0)</f>
        <v>1.7822430101465221</v>
      </c>
      <c r="AF86" s="22">
        <f ca="1">OFFSET(OtherTRA!AI$51,$E86,0)</f>
        <v>1.8228574338478309</v>
      </c>
      <c r="AG86" s="22">
        <f ca="1">OFFSET(OtherTRA!AJ$51,$E86,0)</f>
        <v>1.8634718575491398</v>
      </c>
      <c r="AH86" s="22">
        <f ca="1">OFFSET(OtherTRA!AK$51,$E86,0)</f>
        <v>1.9040862812504487</v>
      </c>
      <c r="AJ86">
        <f t="shared" ca="1" si="3"/>
        <v>2.0940920665545959</v>
      </c>
    </row>
    <row r="87" spans="1:36" ht="15">
      <c r="A87" s="31" t="s">
        <v>139</v>
      </c>
      <c r="B87" s="22">
        <v>52.28615900487997</v>
      </c>
      <c r="C87" t="s">
        <v>731</v>
      </c>
      <c r="D87" t="s">
        <v>272</v>
      </c>
      <c r="E87" s="114">
        <f>MATCH(F87,FTRA!$D$137:$D$149,0)</f>
        <v>1</v>
      </c>
      <c r="F87" t="str">
        <f>A87</f>
        <v>TFLCV</v>
      </c>
      <c r="G87" s="22">
        <f ca="1">OFFSET(FTRA!J$136,$E87,0)</f>
        <v>47.584820585749902</v>
      </c>
      <c r="H87" s="22">
        <f ca="1">OFFSET(FTRA!K$136,$E87,0)</f>
        <v>47.880977189748378</v>
      </c>
      <c r="I87" s="22">
        <f ca="1">OFFSET(FTRA!L$136,$E87,0)</f>
        <v>48.177133793746854</v>
      </c>
      <c r="J87" s="22">
        <f ca="1">OFFSET(FTRA!M$136,$E87,0)</f>
        <v>46.38666602024783</v>
      </c>
      <c r="K87" s="22">
        <f ca="1">OFFSET(FTRA!N$136,$E87,0)</f>
        <v>48.635845109792321</v>
      </c>
      <c r="L87" s="22">
        <f ca="1">OFFSET(FTRA!O$136,$E87,0)</f>
        <v>49.92088043405834</v>
      </c>
      <c r="M87" s="22">
        <f ca="1">OFFSET(FTRA!P$136,$E87,0)</f>
        <v>51.205915758324359</v>
      </c>
      <c r="N87" s="22">
        <f ca="1">OFFSET(FTRA!S$136,$E87,0)</f>
        <v>52.490951082590378</v>
      </c>
      <c r="O87" s="22">
        <f ca="1">OFFSET(FTRA!T$136,$E87,0)</f>
        <v>53.775986406856397</v>
      </c>
      <c r="P87" s="22">
        <f ca="1">OFFSET(FTRA!U$136,$E87,0)</f>
        <v>55.061021731122416</v>
      </c>
      <c r="Q87" s="22">
        <f ca="1">OFFSET(FTRA!V$136,$E87,0)</f>
        <v>56.346057055388435</v>
      </c>
      <c r="R87" s="22">
        <f ca="1">OFFSET(FTRA!W$136,$E87,0)</f>
        <v>57.631092379654454</v>
      </c>
      <c r="S87" s="22">
        <f ca="1">OFFSET(FTRA!X$136,$E87,0)</f>
        <v>58.916127703920473</v>
      </c>
      <c r="T87" s="22">
        <f ca="1">OFFSET(FTRA!Y$136,$E87,0)</f>
        <v>60.201163028186507</v>
      </c>
      <c r="U87" s="22">
        <f ca="1">OFFSET(FTRA!Z$136,$E87,0)</f>
        <v>62.058908523285169</v>
      </c>
      <c r="V87" s="22">
        <f ca="1">OFFSET(FTRA!AC$136,$E87,0)</f>
        <v>63.916654018383831</v>
      </c>
      <c r="W87" s="22">
        <f ca="1">OFFSET(FTRA!AD$136,$E87,0)</f>
        <v>65.774399513482493</v>
      </c>
      <c r="X87" s="22">
        <f ca="1">OFFSET(FTRA!AE$136,$E87,0)</f>
        <v>67.632145008581148</v>
      </c>
      <c r="Y87" s="22">
        <f ca="1">OFFSET(FTRA!AF$136,$E87,0)</f>
        <v>69.489890503679803</v>
      </c>
      <c r="Z87" s="22">
        <f ca="1">OFFSET(FTRA!AG$136,$E87,0)</f>
        <v>71.347635998778458</v>
      </c>
      <c r="AA87" s="22">
        <f ca="1">OFFSET(FTRA!AH$136,$E87,0)</f>
        <v>73.205381493877113</v>
      </c>
      <c r="AB87" s="22">
        <f ca="1">OFFSET(FTRA!AI$136,$E87,0)</f>
        <v>75.063126988975768</v>
      </c>
      <c r="AC87" s="22">
        <f ca="1">OFFSET(FTRA!AJ$136,$E87,0)</f>
        <v>76.920872484074422</v>
      </c>
      <c r="AD87" s="22">
        <f ca="1">OFFSET(FTRA!AK$136,$E87,0)</f>
        <v>78.778617979173106</v>
      </c>
      <c r="AE87" s="22">
        <f ca="1">OFFSET(FTRA!AL$136,$E87,0)</f>
        <v>89.462749878766829</v>
      </c>
      <c r="AF87" s="22">
        <f ca="1">OFFSET(FTRA!AM$136,$E87,0)</f>
        <v>100.14688177836048</v>
      </c>
      <c r="AG87" s="22">
        <f ca="1">OFFSET(FTRA!AN$136,$E87,0)</f>
        <v>121.54170876456928</v>
      </c>
      <c r="AH87" s="22">
        <f ca="1">OFFSET(FTRA!AO$136,$E87,0)</f>
        <v>130.56772345428803</v>
      </c>
      <c r="AJ87">
        <f t="shared" ca="1" si="3"/>
        <v>2.743894415215864</v>
      </c>
    </row>
    <row r="88" spans="1:36" ht="15">
      <c r="A88" s="31" t="s">
        <v>396</v>
      </c>
      <c r="B88" s="22">
        <v>4.134278411680218</v>
      </c>
      <c r="C88" t="s">
        <v>731</v>
      </c>
      <c r="D88" t="s">
        <v>272</v>
      </c>
      <c r="E88" s="113">
        <f>MATCH(F88,FTRA!$D$137:$D$149,0)</f>
        <v>2</v>
      </c>
      <c r="F88" t="str">
        <f>A88</f>
        <v>TFHCV1</v>
      </c>
      <c r="G88" s="22">
        <f ca="1">OFFSET(FTRA!J$136,$E88,0)</f>
        <v>3.6514783707452798</v>
      </c>
      <c r="H88" s="22">
        <f ca="1">OFFSET(FTRA!K$136,$E88,0)</f>
        <v>3.9360166491438862</v>
      </c>
      <c r="I88" s="22">
        <f ca="1">OFFSET(FTRA!L$136,$E88,0)</f>
        <v>4.2205549275424925</v>
      </c>
      <c r="J88" s="22">
        <f ca="1">OFFSET(FTRA!M$136,$E88,0)</f>
        <v>4.0637011052209129</v>
      </c>
      <c r="K88" s="22">
        <f ca="1">OFFSET(FTRA!N$136,$E88,0)</f>
        <v>4.2607403049778449</v>
      </c>
      <c r="L88" s="22">
        <f ca="1">OFFSET(FTRA!O$136,$E88,0)</f>
        <v>4.3733157477826445</v>
      </c>
      <c r="M88" s="22">
        <f ca="1">OFFSET(FTRA!P$136,$E88,0)</f>
        <v>4.4858911905874441</v>
      </c>
      <c r="N88" s="22">
        <f ca="1">OFFSET(FTRA!S$136,$E88,0)</f>
        <v>4.5984666333922437</v>
      </c>
      <c r="O88" s="22">
        <f ca="1">OFFSET(FTRA!T$136,$E88,0)</f>
        <v>4.7110420761970433</v>
      </c>
      <c r="P88" s="22">
        <f ca="1">OFFSET(FTRA!U$136,$E88,0)</f>
        <v>4.8236175190018429</v>
      </c>
      <c r="Q88" s="22">
        <f ca="1">OFFSET(FTRA!V$136,$E88,0)</f>
        <v>4.9361929618066425</v>
      </c>
      <c r="R88" s="22">
        <f ca="1">OFFSET(FTRA!W$136,$E88,0)</f>
        <v>5.0487684046114421</v>
      </c>
      <c r="S88" s="22">
        <f ca="1">OFFSET(FTRA!X$136,$E88,0)</f>
        <v>5.1613438474162416</v>
      </c>
      <c r="T88" s="22">
        <f ca="1">OFFSET(FTRA!Y$136,$E88,0)</f>
        <v>5.2739192902210403</v>
      </c>
      <c r="U88" s="22">
        <f ca="1">OFFSET(FTRA!Z$136,$E88,0)</f>
        <v>5.4366669733236872</v>
      </c>
      <c r="V88" s="22">
        <f ca="1">OFFSET(FTRA!AC$136,$E88,0)</f>
        <v>5.5994146564263341</v>
      </c>
      <c r="W88" s="22">
        <f ca="1">OFFSET(FTRA!AD$136,$E88,0)</f>
        <v>5.7621623395289809</v>
      </c>
      <c r="X88" s="22">
        <f ca="1">OFFSET(FTRA!AE$136,$E88,0)</f>
        <v>5.9249100226316278</v>
      </c>
      <c r="Y88" s="22">
        <f ca="1">OFFSET(FTRA!AF$136,$E88,0)</f>
        <v>6.0876577057342747</v>
      </c>
      <c r="Z88" s="22">
        <f ca="1">OFFSET(FTRA!AG$136,$E88,0)</f>
        <v>6.2504053888369215</v>
      </c>
      <c r="AA88" s="22">
        <f ca="1">OFFSET(FTRA!AH$136,$E88,0)</f>
        <v>6.4131530719395684</v>
      </c>
      <c r="AB88" s="22">
        <f ca="1">OFFSET(FTRA!AI$136,$E88,0)</f>
        <v>6.5759007550422153</v>
      </c>
      <c r="AC88" s="22">
        <f ca="1">OFFSET(FTRA!AJ$136,$E88,0)</f>
        <v>6.7386484381448621</v>
      </c>
      <c r="AD88" s="22">
        <f ca="1">OFFSET(FTRA!AK$136,$E88,0)</f>
        <v>6.9013961212475055</v>
      </c>
      <c r="AE88" s="22">
        <f ca="1">OFFSET(FTRA!AL$136,$E88,0)</f>
        <v>7.8373788579622587</v>
      </c>
      <c r="AF88" s="22">
        <f ca="1">OFFSET(FTRA!AM$136,$E88,0)</f>
        <v>8.7733615946770147</v>
      </c>
      <c r="AG88" s="22">
        <f ca="1">OFFSET(FTRA!AN$136,$E88,0)</f>
        <v>10.647654134518458</v>
      </c>
      <c r="AH88" s="22">
        <f ca="1">OFFSET(FTRA!AO$136,$E88,0)</f>
        <v>11.438377612130319</v>
      </c>
      <c r="AJ88">
        <f t="shared" ca="1" si="3"/>
        <v>3.1325333058992499</v>
      </c>
    </row>
    <row r="89" spans="1:36" ht="15">
      <c r="A89" s="31" t="s">
        <v>397</v>
      </c>
      <c r="B89" s="22">
        <v>0.80954708483781546</v>
      </c>
      <c r="C89" t="s">
        <v>731</v>
      </c>
      <c r="D89" t="s">
        <v>272</v>
      </c>
      <c r="E89" s="113">
        <f>MATCH(F89,FTRA!$D$137:$D$149,0)</f>
        <v>3</v>
      </c>
      <c r="F89" t="str">
        <f t="shared" si="5" ref="F89:F96">A89</f>
        <v>TFHCV2</v>
      </c>
      <c r="G89" s="22">
        <f ca="1">OFFSET(FTRA!J$136,$E89,0)</f>
        <v>1.0030192144974699</v>
      </c>
      <c r="H89" s="22">
        <f ca="1">OFFSET(FTRA!K$136,$E89,0)</f>
        <v>1.009261767493451</v>
      </c>
      <c r="I89" s="22">
        <f ca="1">OFFSET(FTRA!L$136,$E89,0)</f>
        <v>1.0155043204894318</v>
      </c>
      <c r="J89" s="22">
        <f ca="1">OFFSET(FTRA!M$136,$E89,0)</f>
        <v>0.97776384868242405</v>
      </c>
      <c r="K89" s="22">
        <f ca="1">OFFSET(FTRA!N$136,$E89,0)</f>
        <v>1.0251732917755991</v>
      </c>
      <c r="L89" s="22">
        <f ca="1">OFFSET(FTRA!O$136,$E89,0)</f>
        <v>1.0522599783634812</v>
      </c>
      <c r="M89" s="22">
        <f ca="1">OFFSET(FTRA!P$136,$E89,0)</f>
        <v>1.0793466649513632</v>
      </c>
      <c r="N89" s="22">
        <f ca="1">OFFSET(FTRA!S$136,$E89,0)</f>
        <v>1.1064333515392453</v>
      </c>
      <c r="O89" s="22">
        <f ca="1">OFFSET(FTRA!T$136,$E89,0)</f>
        <v>1.1335200381271273</v>
      </c>
      <c r="P89" s="22">
        <f ca="1">OFFSET(FTRA!U$136,$E89,0)</f>
        <v>1.1606067247150094</v>
      </c>
      <c r="Q89" s="22">
        <f ca="1">OFFSET(FTRA!V$136,$E89,0)</f>
        <v>1.1876934113028914</v>
      </c>
      <c r="R89" s="22">
        <f ca="1">OFFSET(FTRA!W$136,$E89,0)</f>
        <v>1.2147800978907735</v>
      </c>
      <c r="S89" s="22">
        <f ca="1">OFFSET(FTRA!X$136,$E89,0)</f>
        <v>1.2418667844786555</v>
      </c>
      <c r="T89" s="22">
        <f ca="1">OFFSET(FTRA!Y$136,$E89,0)</f>
        <v>1.2689534710665378</v>
      </c>
      <c r="U89" s="22">
        <f ca="1">OFFSET(FTRA!Z$136,$E89,0)</f>
        <v>1.3081120599672194</v>
      </c>
      <c r="V89" s="22">
        <f ca="1">OFFSET(FTRA!AC$136,$E89,0)</f>
        <v>1.3472706488679009</v>
      </c>
      <c r="W89" s="22">
        <f ca="1">OFFSET(FTRA!AD$136,$E89,0)</f>
        <v>1.3864292377685825</v>
      </c>
      <c r="X89" s="22">
        <f ca="1">OFFSET(FTRA!AE$136,$E89,0)</f>
        <v>1.4255878266692641</v>
      </c>
      <c r="Y89" s="22">
        <f ca="1">OFFSET(FTRA!AF$136,$E89,0)</f>
        <v>1.4647464155699457</v>
      </c>
      <c r="Z89" s="22">
        <f ca="1">OFFSET(FTRA!AG$136,$E89,0)</f>
        <v>1.5039050044706272</v>
      </c>
      <c r="AA89" s="22">
        <f ca="1">OFFSET(FTRA!AH$136,$E89,0)</f>
        <v>1.5430635933713088</v>
      </c>
      <c r="AB89" s="22">
        <f ca="1">OFFSET(FTRA!AI$136,$E89,0)</f>
        <v>1.5822221822719904</v>
      </c>
      <c r="AC89" s="22">
        <f ca="1">OFFSET(FTRA!AJ$136,$E89,0)</f>
        <v>1.621380771172672</v>
      </c>
      <c r="AD89" s="22">
        <f ca="1">OFFSET(FTRA!AK$136,$E89,0)</f>
        <v>1.6605393600733538</v>
      </c>
      <c r="AE89" s="22">
        <f ca="1">OFFSET(FTRA!AL$136,$E89,0)</f>
        <v>1.8857454122051771</v>
      </c>
      <c r="AF89" s="22">
        <f ca="1">OFFSET(FTRA!AM$136,$E89,0)</f>
        <v>2.1109514643369995</v>
      </c>
      <c r="AG89" s="22">
        <f ca="1">OFFSET(FTRA!AN$136,$E89,0)</f>
        <v>2.561923482175033</v>
      </c>
      <c r="AH89" s="22">
        <f ca="1">OFFSET(FTRA!AO$136,$E89,0)</f>
        <v>2.7521788210138114</v>
      </c>
      <c r="AJ89">
        <f t="shared" ca="1" si="3"/>
        <v>2.7438944152158649</v>
      </c>
    </row>
    <row r="90" spans="1:36" ht="15">
      <c r="A90" s="31" t="s">
        <v>398</v>
      </c>
      <c r="B90" s="22">
        <v>2.7195831056144888</v>
      </c>
      <c r="C90" t="s">
        <v>731</v>
      </c>
      <c r="D90" t="s">
        <v>272</v>
      </c>
      <c r="E90" s="113">
        <f>MATCH(F90,FTRA!$D$137:$D$149,0)</f>
        <v>4</v>
      </c>
      <c r="F90" t="str">
        <f t="shared" si="5"/>
        <v>TFHCV3</v>
      </c>
      <c r="G90" s="22">
        <f ca="1">OFFSET(FTRA!J$136,$E90,0)</f>
        <v>3.29935437842208</v>
      </c>
      <c r="H90" s="22">
        <f ca="1">OFFSET(FTRA!K$136,$E90,0)</f>
        <v>3.3198887752333528</v>
      </c>
      <c r="I90" s="22">
        <f ca="1">OFFSET(FTRA!L$136,$E90,0)</f>
        <v>3.3404231720446251</v>
      </c>
      <c r="J90" s="22">
        <f ca="1">OFFSET(FTRA!M$136,$E90,0)</f>
        <v>3.2162787996334212</v>
      </c>
      <c r="K90" s="22">
        <f ca="1">OFFSET(FTRA!N$136,$E90,0)</f>
        <v>3.3722285076620842</v>
      </c>
      <c r="L90" s="22">
        <f ca="1">OFFSET(FTRA!O$136,$E90,0)</f>
        <v>3.4613280749474931</v>
      </c>
      <c r="M90" s="22">
        <f ca="1">OFFSET(FTRA!P$136,$E90,0)</f>
        <v>3.550427642232902</v>
      </c>
      <c r="N90" s="22">
        <f ca="1">OFFSET(FTRA!S$136,$E90,0)</f>
        <v>3.6395272095183109</v>
      </c>
      <c r="O90" s="22">
        <f ca="1">OFFSET(FTRA!T$136,$E90,0)</f>
        <v>3.7286267768037198</v>
      </c>
      <c r="P90" s="22">
        <f ca="1">OFFSET(FTRA!U$136,$E90,0)</f>
        <v>3.8177263440891287</v>
      </c>
      <c r="Q90" s="22">
        <f ca="1">OFFSET(FTRA!V$136,$E90,0)</f>
        <v>3.9068259113745376</v>
      </c>
      <c r="R90" s="22">
        <f ca="1">OFFSET(FTRA!W$136,$E90,0)</f>
        <v>3.9959254786599465</v>
      </c>
      <c r="S90" s="22">
        <f ca="1">OFFSET(FTRA!X$136,$E90,0)</f>
        <v>4.0850250459453559</v>
      </c>
      <c r="T90" s="22">
        <f ca="1">OFFSET(FTRA!Y$136,$E90,0)</f>
        <v>4.1741246132307648</v>
      </c>
      <c r="U90" s="22">
        <f ca="1">OFFSET(FTRA!Z$136,$E90,0)</f>
        <v>4.3029337724920103</v>
      </c>
      <c r="V90" s="22">
        <f ca="1">OFFSET(FTRA!AC$136,$E90,0)</f>
        <v>4.4317429317532557</v>
      </c>
      <c r="W90" s="22">
        <f ca="1">OFFSET(FTRA!AD$136,$E90,0)</f>
        <v>4.5605520910145012</v>
      </c>
      <c r="X90" s="22">
        <f ca="1">OFFSET(FTRA!AE$136,$E90,0)</f>
        <v>4.6893612502757467</v>
      </c>
      <c r="Y90" s="22">
        <f ca="1">OFFSET(FTRA!AF$136,$E90,0)</f>
        <v>4.8181704095369922</v>
      </c>
      <c r="Z90" s="22">
        <f ca="1">OFFSET(FTRA!AG$136,$E90,0)</f>
        <v>4.9469795687982376</v>
      </c>
      <c r="AA90" s="22">
        <f ca="1">OFFSET(FTRA!AH$136,$E90,0)</f>
        <v>5.0757887280594831</v>
      </c>
      <c r="AB90" s="22">
        <f ca="1">OFFSET(FTRA!AI$136,$E90,0)</f>
        <v>5.2045978873207286</v>
      </c>
      <c r="AC90" s="22">
        <f ca="1">OFFSET(FTRA!AJ$136,$E90,0)</f>
        <v>5.3334070465819741</v>
      </c>
      <c r="AD90" s="22">
        <f ca="1">OFFSET(FTRA!AK$136,$E90,0)</f>
        <v>5.4622162058432204</v>
      </c>
      <c r="AE90" s="22">
        <f ca="1">OFFSET(FTRA!AL$136,$E90,0)</f>
        <v>6.2030141520924902</v>
      </c>
      <c r="AF90" s="22">
        <f ca="1">OFFSET(FTRA!AM$136,$E90,0)</f>
        <v>6.9438120983417599</v>
      </c>
      <c r="AG90" s="22">
        <f ca="1">OFFSET(FTRA!AN$136,$E90,0)</f>
        <v>8.4272497833767641</v>
      </c>
      <c r="AH90" s="22">
        <f ca="1">OFFSET(FTRA!AO$136,$E90,0)</f>
        <v>9.0530800527703548</v>
      </c>
      <c r="AJ90">
        <f t="shared" ca="1" si="3"/>
        <v>2.7438944152158644</v>
      </c>
    </row>
    <row r="91" spans="1:36" ht="15">
      <c r="A91" s="31" t="s">
        <v>399</v>
      </c>
      <c r="B91" s="22">
        <v>0.66594475210557558</v>
      </c>
      <c r="C91" t="s">
        <v>731</v>
      </c>
      <c r="D91" t="s">
        <v>272</v>
      </c>
      <c r="E91" s="113">
        <f>MATCH(F91,FTRA!$D$137:$D$149,0)</f>
        <v>5</v>
      </c>
      <c r="F91" t="str">
        <f t="shared" si="5"/>
        <v>TFHCV4</v>
      </c>
      <c r="G91" s="22">
        <f ca="1">OFFSET(FTRA!J$136,$E91,0)</f>
        <v>0.59840698910616097</v>
      </c>
      <c r="H91" s="22">
        <f ca="1">OFFSET(FTRA!K$136,$E91,0)</f>
        <v>0.6021313318591881</v>
      </c>
      <c r="I91" s="22">
        <f ca="1">OFFSET(FTRA!L$136,$E91,0)</f>
        <v>0.60585567461221534</v>
      </c>
      <c r="J91" s="22">
        <f ca="1">OFFSET(FTRA!M$136,$E91,0)</f>
        <v>0.58333949369060389</v>
      </c>
      <c r="K91" s="22">
        <f ca="1">OFFSET(FTRA!N$136,$E91,0)</f>
        <v>0.61162423807688249</v>
      </c>
      <c r="L91" s="22">
        <f ca="1">OFFSET(FTRA!O$136,$E91,0)</f>
        <v>0.62778430991961154</v>
      </c>
      <c r="M91" s="22">
        <f ca="1">OFFSET(FTRA!P$136,$E91,0)</f>
        <v>0.64394438176234059</v>
      </c>
      <c r="N91" s="22">
        <f ca="1">OFFSET(FTRA!S$136,$E91,0)</f>
        <v>0.66010445360506964</v>
      </c>
      <c r="O91" s="22">
        <f ca="1">OFFSET(FTRA!T$136,$E91,0)</f>
        <v>0.67626452544779869</v>
      </c>
      <c r="P91" s="22">
        <f ca="1">OFFSET(FTRA!U$136,$E91,0)</f>
        <v>0.69242459729052774</v>
      </c>
      <c r="Q91" s="22">
        <f ca="1">OFFSET(FTRA!V$136,$E91,0)</f>
        <v>0.70858466913325679</v>
      </c>
      <c r="R91" s="22">
        <f ca="1">OFFSET(FTRA!W$136,$E91,0)</f>
        <v>0.72474474097598585</v>
      </c>
      <c r="S91" s="22">
        <f ca="1">OFFSET(FTRA!X$136,$E91,0)</f>
        <v>0.7409048128187149</v>
      </c>
      <c r="T91" s="22">
        <f ca="1">OFFSET(FTRA!Y$136,$E91,0)</f>
        <v>0.75706488466144362</v>
      </c>
      <c r="U91" s="22">
        <f ca="1">OFFSET(FTRA!Z$136,$E91,0)</f>
        <v>0.78042712233646472</v>
      </c>
      <c r="V91" s="22">
        <f ca="1">OFFSET(FTRA!AC$136,$E91,0)</f>
        <v>0.80378936001148582</v>
      </c>
      <c r="W91" s="22">
        <f ca="1">OFFSET(FTRA!AD$136,$E91,0)</f>
        <v>0.82715159768650692</v>
      </c>
      <c r="X91" s="22">
        <f ca="1">OFFSET(FTRA!AE$136,$E91,0)</f>
        <v>0.85051383536152803</v>
      </c>
      <c r="Y91" s="22">
        <f ca="1">OFFSET(FTRA!AF$136,$E91,0)</f>
        <v>0.87387607303654913</v>
      </c>
      <c r="Z91" s="22">
        <f ca="1">OFFSET(FTRA!AG$136,$E91,0)</f>
        <v>0.89723831071157023</v>
      </c>
      <c r="AA91" s="22">
        <f ca="1">OFFSET(FTRA!AH$136,$E91,0)</f>
        <v>0.92060054838659133</v>
      </c>
      <c r="AB91" s="22">
        <f ca="1">OFFSET(FTRA!AI$136,$E91,0)</f>
        <v>0.94396278606161244</v>
      </c>
      <c r="AC91" s="22">
        <f ca="1">OFFSET(FTRA!AJ$136,$E91,0)</f>
        <v>0.96732502373663354</v>
      </c>
      <c r="AD91" s="22">
        <f ca="1">OFFSET(FTRA!AK$136,$E91,0)</f>
        <v>0.99068726141165409</v>
      </c>
      <c r="AE91" s="22">
        <f ca="1">OFFSET(FTRA!AL$136,$E91,0)</f>
        <v>1.1250464777026488</v>
      </c>
      <c r="AF91" s="22">
        <f ca="1">OFFSET(FTRA!AM$136,$E91,0)</f>
        <v>1.2594056939936438</v>
      </c>
      <c r="AG91" s="22">
        <f ca="1">OFFSET(FTRA!AN$136,$E91,0)</f>
        <v>1.5284581742103804</v>
      </c>
      <c r="AH91" s="22">
        <f ca="1">OFFSET(FTRA!AO$136,$E91,0)</f>
        <v>1.641965595434536</v>
      </c>
      <c r="AJ91">
        <f t="shared" ca="1" si="3"/>
        <v>2.7438944152158649</v>
      </c>
    </row>
    <row r="92" spans="1:36" ht="15">
      <c r="A92" s="31" t="s">
        <v>400</v>
      </c>
      <c r="B92" s="22">
        <v>0.33457448391316724</v>
      </c>
      <c r="C92" t="s">
        <v>731</v>
      </c>
      <c r="D92" t="s">
        <v>272</v>
      </c>
      <c r="E92" s="113">
        <f>MATCH(F92,FTRA!$D$137:$D$149,0)</f>
        <v>6</v>
      </c>
      <c r="F92" t="str">
        <f t="shared" si="5"/>
        <v>TFHCV5</v>
      </c>
      <c r="G92" s="22">
        <f ca="1">OFFSET(FTRA!J$136,$E92,0)</f>
        <v>0.29798809605332599</v>
      </c>
      <c r="H92" s="22">
        <f ca="1">OFFSET(FTRA!K$136,$E92,0)</f>
        <v>0.29984270307869226</v>
      </c>
      <c r="I92" s="22">
        <f ca="1">OFFSET(FTRA!L$136,$E92,0)</f>
        <v>0.30169731010405854</v>
      </c>
      <c r="J92" s="22">
        <f ca="1">OFFSET(FTRA!M$136,$E92,0)</f>
        <v>0.29048495128243912</v>
      </c>
      <c r="K92" s="22">
        <f ca="1">OFFSET(FTRA!N$136,$E92,0)</f>
        <v>0.30456987555715687</v>
      </c>
      <c r="L92" s="22">
        <f ca="1">OFFSET(FTRA!O$136,$E92,0)</f>
        <v>0.31261708945700234</v>
      </c>
      <c r="M92" s="22">
        <f ca="1">OFFSET(FTRA!P$136,$E92,0)</f>
        <v>0.32066430335684781</v>
      </c>
      <c r="N92" s="22">
        <f ca="1">OFFSET(FTRA!S$136,$E92,0)</f>
        <v>0.32871151725669329</v>
      </c>
      <c r="O92" s="22">
        <f ca="1">OFFSET(FTRA!T$136,$E92,0)</f>
        <v>0.33675873115653876</v>
      </c>
      <c r="P92" s="22">
        <f ca="1">OFFSET(FTRA!U$136,$E92,0)</f>
        <v>0.34480594505638423</v>
      </c>
      <c r="Q92" s="22">
        <f ca="1">OFFSET(FTRA!V$136,$E92,0)</f>
        <v>0.35285315895622971</v>
      </c>
      <c r="R92" s="22">
        <f ca="1">OFFSET(FTRA!W$136,$E92,0)</f>
        <v>0.36090037285607518</v>
      </c>
      <c r="S92" s="22">
        <f ca="1">OFFSET(FTRA!X$136,$E92,0)</f>
        <v>0.36894758675592065</v>
      </c>
      <c r="T92" s="22">
        <f ca="1">OFFSET(FTRA!Y$136,$E92,0)</f>
        <v>0.37699480065576624</v>
      </c>
      <c r="U92" s="22">
        <f ca="1">OFFSET(FTRA!Z$136,$E92,0)</f>
        <v>0.38862846946488799</v>
      </c>
      <c r="V92" s="22">
        <f ca="1">OFFSET(FTRA!AC$136,$E92,0)</f>
        <v>0.40026213827400975</v>
      </c>
      <c r="W92" s="22">
        <f ca="1">OFFSET(FTRA!AD$136,$E92,0)</f>
        <v>0.4118958070831315</v>
      </c>
      <c r="X92" s="22">
        <f ca="1">OFFSET(FTRA!AE$136,$E92,0)</f>
        <v>0.42352947589225326</v>
      </c>
      <c r="Y92" s="22">
        <f ca="1">OFFSET(FTRA!AF$136,$E92,0)</f>
        <v>0.43516314470137502</v>
      </c>
      <c r="Z92" s="22">
        <f ca="1">OFFSET(FTRA!AG$136,$E92,0)</f>
        <v>0.44679681351049677</v>
      </c>
      <c r="AA92" s="22">
        <f ca="1">OFFSET(FTRA!AH$136,$E92,0)</f>
        <v>0.45843048231961853</v>
      </c>
      <c r="AB92" s="22">
        <f ca="1">OFFSET(FTRA!AI$136,$E92,0)</f>
        <v>0.47006415112874028</v>
      </c>
      <c r="AC92" s="22">
        <f ca="1">OFFSET(FTRA!AJ$136,$E92,0)</f>
        <v>0.48169781993786204</v>
      </c>
      <c r="AD92" s="22">
        <f ca="1">OFFSET(FTRA!AK$136,$E92,0)</f>
        <v>0.49333148874698374</v>
      </c>
      <c r="AE92" s="22">
        <f ca="1">OFFSET(FTRA!AL$136,$E92,0)</f>
        <v>0.56023820571159411</v>
      </c>
      <c r="AF92" s="22">
        <f ca="1">OFFSET(FTRA!AM$136,$E92,0)</f>
        <v>0.62714492267620425</v>
      </c>
      <c r="AG92" s="22">
        <f ca="1">OFFSET(FTRA!AN$136,$E92,0)</f>
        <v>0.76112470195312598</v>
      </c>
      <c r="AH92" s="22">
        <f ca="1">OFFSET(FTRA!AO$136,$E92,0)</f>
        <v>0.81764787256152993</v>
      </c>
      <c r="AJ92">
        <f t="shared" ca="1" si="3"/>
        <v>2.7438944152158649</v>
      </c>
    </row>
    <row r="93" spans="1:36" ht="15">
      <c r="A93" s="31" t="s">
        <v>401</v>
      </c>
      <c r="B93" s="22">
        <v>4.2080971938397562</v>
      </c>
      <c r="C93" t="s">
        <v>731</v>
      </c>
      <c r="D93" t="s">
        <v>272</v>
      </c>
      <c r="E93" s="113">
        <f>MATCH(F93,FTRA!$D$137:$D$149,0)</f>
        <v>7</v>
      </c>
      <c r="F93" t="str">
        <f t="shared" si="5"/>
        <v>TFHCV6</v>
      </c>
      <c r="G93" s="22">
        <f ca="1">OFFSET(FTRA!J$136,$E93,0)</f>
        <v>6.6621877646371201</v>
      </c>
      <c r="H93" s="22">
        <f ca="1">OFFSET(FTRA!K$136,$E93,0)</f>
        <v>6.7819219966270463</v>
      </c>
      <c r="I93" s="22">
        <f ca="1">OFFSET(FTRA!L$136,$E93,0)</f>
        <v>6.9016562286169734</v>
      </c>
      <c r="J93" s="22">
        <f ca="1">OFFSET(FTRA!M$136,$E93,0)</f>
        <v>6.7116128591697501</v>
      </c>
      <c r="K93" s="22">
        <f ca="1">OFFSET(FTRA!N$136,$E93,0)</f>
        <v>7.0834921296752222</v>
      </c>
      <c r="L93" s="22">
        <f ca="1">OFFSET(FTRA!O$136,$E93,0)</f>
        <v>7.2329439666365554</v>
      </c>
      <c r="M93" s="22">
        <f ca="1">OFFSET(FTRA!P$136,$E93,0)</f>
        <v>7.3823958035978885</v>
      </c>
      <c r="N93" s="22">
        <f ca="1">OFFSET(FTRA!S$136,$E93,0)</f>
        <v>7.5318476405592216</v>
      </c>
      <c r="O93" s="22">
        <f ca="1">OFFSET(FTRA!T$136,$E93,0)</f>
        <v>7.6812994775205548</v>
      </c>
      <c r="P93" s="22">
        <f ca="1">OFFSET(FTRA!U$136,$E93,0)</f>
        <v>7.8307513144818879</v>
      </c>
      <c r="Q93" s="22">
        <f ca="1">OFFSET(FTRA!V$136,$E93,0)</f>
        <v>7.980203151443221</v>
      </c>
      <c r="R93" s="22">
        <f ca="1">OFFSET(FTRA!W$136,$E93,0)</f>
        <v>8.1296549884045533</v>
      </c>
      <c r="S93" s="22">
        <f ca="1">OFFSET(FTRA!X$136,$E93,0)</f>
        <v>8.2791068253658864</v>
      </c>
      <c r="T93" s="22">
        <f ca="1">OFFSET(FTRA!Y$136,$E93,0)</f>
        <v>8.4285586623272195</v>
      </c>
      <c r="U93" s="22">
        <f ca="1">OFFSET(FTRA!Z$136,$E93,0)</f>
        <v>8.6886552468032026</v>
      </c>
      <c r="V93" s="22">
        <f ca="1">OFFSET(FTRA!AC$136,$E93,0)</f>
        <v>8.9487518312791856</v>
      </c>
      <c r="W93" s="22">
        <f ca="1">OFFSET(FTRA!AD$136,$E93,0)</f>
        <v>9.2088484157551687</v>
      </c>
      <c r="X93" s="22">
        <f ca="1">OFFSET(FTRA!AE$136,$E93,0)</f>
        <v>9.4689450002311517</v>
      </c>
      <c r="Y93" s="22">
        <f ca="1">OFFSET(FTRA!AF$136,$E93,0)</f>
        <v>9.7290415847071348</v>
      </c>
      <c r="Z93" s="22">
        <f ca="1">OFFSET(FTRA!AG$136,$E93,0)</f>
        <v>9.9891381691831178</v>
      </c>
      <c r="AA93" s="22">
        <f ca="1">OFFSET(FTRA!AH$136,$E93,0)</f>
        <v>10.249234753659101</v>
      </c>
      <c r="AB93" s="22">
        <f ca="1">OFFSET(FTRA!AI$136,$E93,0)</f>
        <v>10.509331338135084</v>
      </c>
      <c r="AC93" s="22">
        <f ca="1">OFFSET(FTRA!AJ$136,$E93,0)</f>
        <v>10.769427922611067</v>
      </c>
      <c r="AD93" s="22">
        <f ca="1">OFFSET(FTRA!AK$136,$E93,0)</f>
        <v>11.029524507087057</v>
      </c>
      <c r="AE93" s="22">
        <f ca="1">OFFSET(FTRA!AL$136,$E93,0)</f>
        <v>12.525373223989821</v>
      </c>
      <c r="AF93" s="22">
        <f ca="1">OFFSET(FTRA!AM$136,$E93,0)</f>
        <v>14.021221940892586</v>
      </c>
      <c r="AG93" s="22">
        <f ca="1">OFFSET(FTRA!AN$136,$E93,0)</f>
        <v>17.016638395541012</v>
      </c>
      <c r="AH93" s="22">
        <f ca="1">OFFSET(FTRA!AO$136,$E93,0)</f>
        <v>18.280339800507264</v>
      </c>
      <c r="AJ93">
        <f t="shared" ca="1" si="3"/>
        <v>2.7438944152158653</v>
      </c>
    </row>
    <row r="94" spans="1:36" ht="15">
      <c r="A94" s="31" t="s">
        <v>402</v>
      </c>
      <c r="B94" s="22">
        <v>1.4910262867673953</v>
      </c>
      <c r="C94" t="s">
        <v>731</v>
      </c>
      <c r="D94" t="s">
        <v>272</v>
      </c>
      <c r="E94" s="113">
        <f>MATCH(F94,FTRA!$D$137:$D$149,0)</f>
        <v>8</v>
      </c>
      <c r="F94" t="str">
        <f t="shared" si="5"/>
        <v>TFHCV7</v>
      </c>
      <c r="G94" s="22">
        <f ca="1">OFFSET(FTRA!J$136,$E94,0)</f>
        <v>2.2261566306639899</v>
      </c>
      <c r="H94" s="22">
        <f ca="1">OFFSET(FTRA!K$136,$E94,0)</f>
        <v>2.2400116999821158</v>
      </c>
      <c r="I94" s="22">
        <f ca="1">OFFSET(FTRA!L$136,$E94,0)</f>
        <v>2.2538667693002417</v>
      </c>
      <c r="J94" s="22">
        <f ca="1">OFFSET(FTRA!M$136,$E94,0)</f>
        <v>2.1701034671189854</v>
      </c>
      <c r="K94" s="22">
        <f ca="1">OFFSET(FTRA!N$136,$E94,0)</f>
        <v>2.2753266219424315</v>
      </c>
      <c r="L94" s="22">
        <f ca="1">OFFSET(FTRA!O$136,$E94,0)</f>
        <v>2.335444320665224</v>
      </c>
      <c r="M94" s="22">
        <f ca="1">OFFSET(FTRA!P$136,$E94,0)</f>
        <v>2.3955620193880165</v>
      </c>
      <c r="N94" s="22">
        <f ca="1">OFFSET(FTRA!S$136,$E94,0)</f>
        <v>2.455679718110809</v>
      </c>
      <c r="O94" s="22">
        <f ca="1">OFFSET(FTRA!T$136,$E94,0)</f>
        <v>2.5157974168336015</v>
      </c>
      <c r="P94" s="22">
        <f ca="1">OFFSET(FTRA!U$136,$E94,0)</f>
        <v>2.575915115556394</v>
      </c>
      <c r="Q94" s="22">
        <f ca="1">OFFSET(FTRA!V$136,$E94,0)</f>
        <v>2.6360328142791865</v>
      </c>
      <c r="R94" s="22">
        <f ca="1">OFFSET(FTRA!W$136,$E94,0)</f>
        <v>2.6961505130019789</v>
      </c>
      <c r="S94" s="22">
        <f ca="1">OFFSET(FTRA!X$136,$E94,0)</f>
        <v>2.7562682117247714</v>
      </c>
      <c r="T94" s="22">
        <f ca="1">OFFSET(FTRA!Y$136,$E94,0)</f>
        <v>2.8163859104475653</v>
      </c>
      <c r="U94" s="22">
        <f ca="1">OFFSET(FTRA!Z$136,$E94,0)</f>
        <v>2.9032966605794788</v>
      </c>
      <c r="V94" s="22">
        <f ca="1">OFFSET(FTRA!AC$136,$E94,0)</f>
        <v>2.9902074107113923</v>
      </c>
      <c r="W94" s="22">
        <f ca="1">OFFSET(FTRA!AD$136,$E94,0)</f>
        <v>3.0771181608433058</v>
      </c>
      <c r="X94" s="22">
        <f ca="1">OFFSET(FTRA!AE$136,$E94,0)</f>
        <v>3.1640289109752193</v>
      </c>
      <c r="Y94" s="22">
        <f ca="1">OFFSET(FTRA!AF$136,$E94,0)</f>
        <v>3.2509396611071328</v>
      </c>
      <c r="Z94" s="22">
        <f ca="1">OFFSET(FTRA!AG$136,$E94,0)</f>
        <v>3.3378504112390464</v>
      </c>
      <c r="AA94" s="22">
        <f ca="1">OFFSET(FTRA!AH$136,$E94,0)</f>
        <v>3.4247611613709599</v>
      </c>
      <c r="AB94" s="22">
        <f ca="1">OFFSET(FTRA!AI$136,$E94,0)</f>
        <v>3.5116719115028734</v>
      </c>
      <c r="AC94" s="22">
        <f ca="1">OFFSET(FTRA!AJ$136,$E94,0)</f>
        <v>3.5985826616347869</v>
      </c>
      <c r="AD94" s="22">
        <f ca="1">OFFSET(FTRA!AK$136,$E94,0)</f>
        <v>3.6854934117666991</v>
      </c>
      <c r="AE94" s="22">
        <f ca="1">OFFSET(FTRA!AL$136,$E94,0)</f>
        <v>4.185328249397501</v>
      </c>
      <c r="AF94" s="22">
        <f ca="1">OFFSET(FTRA!AM$136,$E94,0)</f>
        <v>4.6851630870283039</v>
      </c>
      <c r="AG94" s="22">
        <f ca="1">OFFSET(FTRA!AN$136,$E94,0)</f>
        <v>5.6860754656182255</v>
      </c>
      <c r="AH94" s="22">
        <f ca="1">OFFSET(FTRA!AO$136,$E94,0)</f>
        <v>6.1083387462746899</v>
      </c>
      <c r="AJ94">
        <f t="shared" ca="1" si="3"/>
        <v>2.7438944152158653</v>
      </c>
    </row>
    <row r="95" spans="1:36" ht="15">
      <c r="A95" s="31" t="s">
        <v>403</v>
      </c>
      <c r="B95" s="22">
        <v>0</v>
      </c>
      <c r="C95" t="s">
        <v>731</v>
      </c>
      <c r="D95" t="s">
        <v>272</v>
      </c>
      <c r="E95" s="113">
        <f>MATCH(F95,FTRA!$D$137:$D$149,0)</f>
        <v>9</v>
      </c>
      <c r="F95" t="str">
        <f t="shared" si="5"/>
        <v>TFHCV8</v>
      </c>
      <c r="G95" s="22">
        <f ca="1">OFFSET(FTRA!J$136,$E95,0)</f>
        <v>0.122213678849837</v>
      </c>
      <c r="H95" s="22">
        <f ca="1">OFFSET(FTRA!K$136,$E95,0)</f>
        <v>0.12297430771519344</v>
      </c>
      <c r="I95" s="22">
        <f ca="1">OFFSET(FTRA!L$136,$E95,0)</f>
        <v>0.12373493658054988</v>
      </c>
      <c r="J95" s="22">
        <f ca="1">OFFSET(FTRA!M$136,$E95,0)</f>
        <v>0.11913641859166579</v>
      </c>
      <c r="K95" s="22">
        <f ca="1">OFFSET(FTRA!N$136,$E95,0)</f>
        <v>0.12491306012444225</v>
      </c>
      <c r="L95" s="22">
        <f ca="1">OFFSET(FTRA!O$136,$E95,0)</f>
        <v>0.12821345912768184</v>
      </c>
      <c r="M95" s="22">
        <f ca="1">OFFSET(FTRA!P$136,$E95,0)</f>
        <v>0.13151385813092142</v>
      </c>
      <c r="N95" s="22">
        <f ca="1">OFFSET(FTRA!S$136,$E95,0)</f>
        <v>0.13481425713416101</v>
      </c>
      <c r="O95" s="22">
        <f ca="1">OFFSET(FTRA!T$136,$E95,0)</f>
        <v>0.13811465613740059</v>
      </c>
      <c r="P95" s="22">
        <f ca="1">OFFSET(FTRA!U$136,$E95,0)</f>
        <v>0.14141505514064018</v>
      </c>
      <c r="Q95" s="22">
        <f ca="1">OFFSET(FTRA!V$136,$E95,0)</f>
        <v>0.14471545414387976</v>
      </c>
      <c r="R95" s="22">
        <f ca="1">OFFSET(FTRA!W$136,$E95,0)</f>
        <v>0.14801585314711935</v>
      </c>
      <c r="S95" s="22">
        <f ca="1">OFFSET(FTRA!X$136,$E95,0)</f>
        <v>0.15131625215035893</v>
      </c>
      <c r="T95" s="22">
        <f ca="1">OFFSET(FTRA!Y$136,$E95,0)</f>
        <v>0.15461665115359857</v>
      </c>
      <c r="U95" s="22">
        <f ca="1">OFFSET(FTRA!Z$136,$E95,0)</f>
        <v>0.15938796075459999</v>
      </c>
      <c r="V95" s="22">
        <f ca="1">OFFSET(FTRA!AC$136,$E95,0)</f>
        <v>0.16415927035560141</v>
      </c>
      <c r="W95" s="22">
        <f ca="1">OFFSET(FTRA!AD$136,$E95,0)</f>
        <v>0.16893057995660282</v>
      </c>
      <c r="X95" s="22">
        <f ca="1">OFFSET(FTRA!AE$136,$E95,0)</f>
        <v>0.17370188955760424</v>
      </c>
      <c r="Y95" s="22">
        <f ca="1">OFFSET(FTRA!AF$136,$E95,0)</f>
        <v>0.17847319915860566</v>
      </c>
      <c r="Z95" s="22">
        <f ca="1">OFFSET(FTRA!AG$136,$E95,0)</f>
        <v>0.18324450875960707</v>
      </c>
      <c r="AA95" s="22">
        <f ca="1">OFFSET(FTRA!AH$136,$E95,0)</f>
        <v>0.18801581836060849</v>
      </c>
      <c r="AB95" s="22">
        <f ca="1">OFFSET(FTRA!AI$136,$E95,0)</f>
        <v>0.19278712796160991</v>
      </c>
      <c r="AC95" s="22">
        <f ca="1">OFFSET(FTRA!AJ$136,$E95,0)</f>
        <v>0.19755843756261132</v>
      </c>
      <c r="AD95" s="22">
        <f ca="1">OFFSET(FTRA!AK$136,$E95,0)</f>
        <v>0.20232974716361288</v>
      </c>
      <c r="AE95" s="22">
        <f ca="1">OFFSET(FTRA!AL$136,$E95,0)</f>
        <v>0.22977015880524612</v>
      </c>
      <c r="AF95" s="22">
        <f ca="1">OFFSET(FTRA!AM$136,$E95,0)</f>
        <v>0.25721057044687945</v>
      </c>
      <c r="AG95" s="22">
        <f ca="1">OFFSET(FTRA!AN$136,$E95,0)</f>
        <v>0.3121596168476844</v>
      </c>
      <c r="AH95" s="22">
        <f ca="1">OFFSET(FTRA!AO$136,$E95,0)</f>
        <v>0.33534143085905294</v>
      </c>
      <c r="AJ95">
        <f t="shared" ca="1" si="3"/>
        <v>2.7438944152158644</v>
      </c>
    </row>
    <row r="96" spans="1:36" ht="15">
      <c r="A96" s="31" t="s">
        <v>404</v>
      </c>
      <c r="B96" s="22">
        <v>0.042946824044977329</v>
      </c>
      <c r="C96" t="s">
        <v>731</v>
      </c>
      <c r="D96" t="s">
        <v>272</v>
      </c>
      <c r="E96" s="113">
        <f>MATCH(F96,FTRA!$D$137:$D$149,0)</f>
        <v>10</v>
      </c>
      <c r="F96" t="str">
        <f t="shared" si="5"/>
        <v>TFHCV9</v>
      </c>
      <c r="G96" s="22">
        <f ca="1">OFFSET(FTRA!J$136,$E96,0)</f>
        <v>0.029412068148240201</v>
      </c>
      <c r="H96" s="22">
        <f ca="1">OFFSET(FTRA!K$136,$E96,0)</f>
        <v>0.029595121863944723</v>
      </c>
      <c r="I96" s="22">
        <f ca="1">OFFSET(FTRA!L$136,$E96,0)</f>
        <v>0.029778175579649242</v>
      </c>
      <c r="J96" s="22">
        <f ca="1">OFFSET(FTRA!M$136,$E96,0)</f>
        <v>0.028671491567328906</v>
      </c>
      <c r="K96" s="22">
        <f ca="1">OFFSET(FTRA!N$136,$E96,0)</f>
        <v>0.03006170398895754</v>
      </c>
      <c r="L96" s="22">
        <f ca="1">OFFSET(FTRA!O$136,$E96,0)</f>
        <v>0.030855981367015506</v>
      </c>
      <c r="M96" s="22">
        <f ca="1">OFFSET(FTRA!P$136,$E96,0)</f>
        <v>0.031650258745073476</v>
      </c>
      <c r="N96" s="22">
        <f ca="1">OFFSET(FTRA!S$136,$E96,0)</f>
        <v>0.032444536123131446</v>
      </c>
      <c r="O96" s="22">
        <f ca="1">OFFSET(FTRA!T$136,$E96,0)</f>
        <v>0.033238813501189415</v>
      </c>
      <c r="P96" s="22">
        <f ca="1">OFFSET(FTRA!U$136,$E96,0)</f>
        <v>0.034033090879247385</v>
      </c>
      <c r="Q96" s="22">
        <f ca="1">OFFSET(FTRA!V$136,$E96,0)</f>
        <v>0.034827368257305355</v>
      </c>
      <c r="R96" s="22">
        <f ca="1">OFFSET(FTRA!W$136,$E96,0)</f>
        <v>0.035621645635363325</v>
      </c>
      <c r="S96" s="22">
        <f ca="1">OFFSET(FTRA!X$136,$E96,0)</f>
        <v>0.036415923013421295</v>
      </c>
      <c r="T96" s="22">
        <f ca="1">OFFSET(FTRA!Y$136,$E96,0)</f>
        <v>0.037210200391479237</v>
      </c>
      <c r="U96" s="22">
        <f ca="1">OFFSET(FTRA!Z$136,$E96,0)</f>
        <v>0.038358468608766391</v>
      </c>
      <c r="V96" s="22">
        <f ca="1">OFFSET(FTRA!AC$136,$E96,0)</f>
        <v>0.039506736826053546</v>
      </c>
      <c r="W96" s="22">
        <f ca="1">OFFSET(FTRA!AD$136,$E96,0)</f>
        <v>0.0406550050433407</v>
      </c>
      <c r="X96" s="22">
        <f ca="1">OFFSET(FTRA!AE$136,$E96,0)</f>
        <v>0.041803273260627855</v>
      </c>
      <c r="Y96" s="22">
        <f ca="1">OFFSET(FTRA!AF$136,$E96,0)</f>
        <v>0.042951541477915009</v>
      </c>
      <c r="Z96" s="22">
        <f ca="1">OFFSET(FTRA!AG$136,$E96,0)</f>
        <v>0.044099809695202163</v>
      </c>
      <c r="AA96" s="22">
        <f ca="1">OFFSET(FTRA!AH$136,$E96,0)</f>
        <v>0.045248077912489318</v>
      </c>
      <c r="AB96" s="22">
        <f ca="1">OFFSET(FTRA!AI$136,$E96,0)</f>
        <v>0.046396346129776472</v>
      </c>
      <c r="AC96" s="22">
        <f ca="1">OFFSET(FTRA!AJ$136,$E96,0)</f>
        <v>0.047544614347063627</v>
      </c>
      <c r="AD96" s="22">
        <f ca="1">OFFSET(FTRA!AK$136,$E96,0)</f>
        <v>0.048692882564350753</v>
      </c>
      <c r="AE96" s="22">
        <f ca="1">OFFSET(FTRA!AL$136,$E96,0)</f>
        <v>0.055296719915578302</v>
      </c>
      <c r="AF96" s="22">
        <f ca="1">OFFSET(FTRA!AM$136,$E96,0)</f>
        <v>0.061900557266805857</v>
      </c>
      <c r="AG96" s="22">
        <f ca="1">OFFSET(FTRA!AN$136,$E96,0)</f>
        <v>0.07512465061405757</v>
      </c>
      <c r="AH96" s="22">
        <f ca="1">OFFSET(FTRA!AO$136,$E96,0)</f>
        <v>0.080703609531904696</v>
      </c>
      <c r="AJ96">
        <f t="shared" ca="1" si="3"/>
        <v>2.7438944152158644</v>
      </c>
    </row>
    <row r="97" spans="1:36" ht="15">
      <c r="A97" s="31" t="s">
        <v>366</v>
      </c>
      <c r="B97">
        <v>28</v>
      </c>
      <c r="C97" t="s">
        <v>731</v>
      </c>
      <c r="D97" t="s">
        <v>272</v>
      </c>
      <c r="E97" s="113">
        <f>MATCH(F97,FTRA!$D$137:$D$149,0)</f>
        <v>11</v>
      </c>
      <c r="F97" t="str">
        <f t="shared" si="2"/>
        <v>TFRCO</v>
      </c>
      <c r="G97" s="22">
        <f ca="1">OFFSET(FTRA!J$136,$E97,0)</f>
        <v>22</v>
      </c>
      <c r="H97" s="22">
        <f ca="1">OFFSET(FTRA!K$136,$E97,0)</f>
        <v>20.60902456349335</v>
      </c>
      <c r="I97" s="22">
        <f ca="1">OFFSET(FTRA!L$136,$E97,0)</f>
        <v>19.218049126986699</v>
      </c>
      <c r="J97" s="22">
        <f ca="1">OFFSET(FTRA!M$136,$E97,0)</f>
        <v>17.206637381742077</v>
      </c>
      <c r="K97" s="22">
        <f ca="1">OFFSET(FTRA!N$136,$E97,0)</f>
        <v>17.134223238421335</v>
      </c>
      <c r="L97" s="22">
        <f ca="1">OFFSET(FTRA!O$136,$E97,0)</f>
        <v>18.322969849623217</v>
      </c>
      <c r="M97" s="22">
        <f ca="1">OFFSET(FTRA!P$136,$E97,0)</f>
        <v>19.511716460825099</v>
      </c>
      <c r="N97" s="22">
        <f ca="1">OFFSET(FTRA!S$136,$E97,0)</f>
        <v>20.700463072026981</v>
      </c>
      <c r="O97" s="22">
        <f ca="1">OFFSET(FTRA!T$136,$E97,0)</f>
        <v>21.889209683228863</v>
      </c>
      <c r="P97" s="22">
        <f ca="1">OFFSET(FTRA!U$136,$E97,0)</f>
        <v>23.077956294430745</v>
      </c>
      <c r="Q97" s="22">
        <f ca="1">OFFSET(FTRA!V$136,$E97,0)</f>
        <v>24.266702905632627</v>
      </c>
      <c r="R97" s="22">
        <f ca="1">OFFSET(FTRA!W$136,$E97,0)</f>
        <v>25.455449516834509</v>
      </c>
      <c r="S97" s="22">
        <f ca="1">OFFSET(FTRA!X$136,$E97,0)</f>
        <v>26.644196128036391</v>
      </c>
      <c r="T97" s="22">
        <f ca="1">OFFSET(FTRA!Y$136,$E97,0)</f>
        <v>27.83294273923827</v>
      </c>
      <c r="U97" s="22">
        <f ca="1">OFFSET(FTRA!Z$136,$E97,0)</f>
        <v>28.691838504506951</v>
      </c>
      <c r="V97" s="22">
        <f ca="1">OFFSET(FTRA!AC$136,$E97,0)</f>
        <v>29.550734269775631</v>
      </c>
      <c r="W97" s="22">
        <f ca="1">OFFSET(FTRA!AD$136,$E97,0)</f>
        <v>30.409630035044312</v>
      </c>
      <c r="X97" s="22">
        <f ca="1">OFFSET(FTRA!AE$136,$E97,0)</f>
        <v>31.268525800312993</v>
      </c>
      <c r="Y97" s="22">
        <f ca="1">OFFSET(FTRA!AF$136,$E97,0)</f>
        <v>32.12742156558167</v>
      </c>
      <c r="Z97" s="22">
        <f ca="1">OFFSET(FTRA!AG$136,$E97,0)</f>
        <v>32.986317330850355</v>
      </c>
      <c r="AA97" s="22">
        <f ca="1">OFFSET(FTRA!AH$136,$E97,0)</f>
        <v>33.845213096119039</v>
      </c>
      <c r="AB97" s="22">
        <f ca="1">OFFSET(FTRA!AI$136,$E97,0)</f>
        <v>34.704108861387724</v>
      </c>
      <c r="AC97" s="22">
        <f ca="1">OFFSET(FTRA!AJ$136,$E97,0)</f>
        <v>35.563004626656408</v>
      </c>
      <c r="AD97" s="22">
        <f ca="1">OFFSET(FTRA!AK$136,$E97,0)</f>
        <v>36.421900391925078</v>
      </c>
      <c r="AE97" s="22">
        <f ca="1">OFFSET(FTRA!AL$136,$E97,0)</f>
        <v>41.36151976839178</v>
      </c>
      <c r="AF97" s="22">
        <f ca="1">OFFSET(FTRA!AM$136,$E97,0)</f>
        <v>46.301139144858453</v>
      </c>
      <c r="AG97" s="22">
        <f ca="1">OFFSET(FTRA!AN$136,$E97,0)</f>
        <v>56.192658917395939</v>
      </c>
      <c r="AH97" s="22">
        <f ca="1">OFFSET(FTRA!AO$136,$E97,0)</f>
        <v>60.365677134749021</v>
      </c>
      <c r="AJ97">
        <f t="shared" ca="1" si="3"/>
        <v>2.7438944152158644</v>
      </c>
    </row>
    <row r="98" spans="1:36" ht="15">
      <c r="A98" s="31" t="s">
        <v>368</v>
      </c>
      <c r="B98">
        <v>26</v>
      </c>
      <c r="C98" t="s">
        <v>731</v>
      </c>
      <c r="D98" t="s">
        <v>272</v>
      </c>
      <c r="E98" s="115">
        <f>MATCH(F98,FTRA!$D$137:$D$149,0)</f>
        <v>12</v>
      </c>
      <c r="F98" t="str">
        <f>A98</f>
        <v>TFROT</v>
      </c>
      <c r="G98" s="22">
        <f ca="1">OFFSET(FTRA!J$136,$E98,0)</f>
        <v>27.142505514316699</v>
      </c>
      <c r="H98" s="22">
        <f ca="1">OFFSET(FTRA!K$136,$E98,0)</f>
        <v>26.922878309927583</v>
      </c>
      <c r="I98" s="22">
        <f ca="1">OFFSET(FTRA!L$136,$E98,0)</f>
        <v>26.703251105538467</v>
      </c>
      <c r="J98" s="22">
        <f ca="1">OFFSET(FTRA!M$136,$E98,0)</f>
        <v>25.710844401627732</v>
      </c>
      <c r="K98" s="22">
        <f ca="1">OFFSET(FTRA!N$136,$E98,0)</f>
        <v>26.957502085054063</v>
      </c>
      <c r="L98" s="22">
        <f ca="1">OFFSET(FTRA!O$136,$E98,0)</f>
        <v>27.669761579159054</v>
      </c>
      <c r="M98" s="22">
        <f ca="1">OFFSET(FTRA!P$136,$E98,0)</f>
        <v>28.382021073264045</v>
      </c>
      <c r="N98" s="22">
        <f ca="1">OFFSET(FTRA!S$136,$E98,0)</f>
        <v>29.094280567369037</v>
      </c>
      <c r="O98" s="22">
        <f ca="1">OFFSET(FTRA!T$136,$E98,0)</f>
        <v>29.806540061474028</v>
      </c>
      <c r="P98" s="22">
        <f ca="1">OFFSET(FTRA!U$136,$E98,0)</f>
        <v>30.518799555579019</v>
      </c>
      <c r="Q98" s="22">
        <f ca="1">OFFSET(FTRA!V$136,$E98,0)</f>
        <v>31.23105904968401</v>
      </c>
      <c r="R98" s="22">
        <f ca="1">OFFSET(FTRA!W$136,$E98,0)</f>
        <v>31.943318543789001</v>
      </c>
      <c r="S98" s="22">
        <f ca="1">OFFSET(FTRA!X$136,$E98,0)</f>
        <v>32.655578037893996</v>
      </c>
      <c r="T98" s="22">
        <f ca="1">OFFSET(FTRA!Y$136,$E98,0)</f>
        <v>33.367837531998987</v>
      </c>
      <c r="U98" s="22">
        <f ca="1">OFFSET(FTRA!Z$136,$E98,0)</f>
        <v>34.39753441388865</v>
      </c>
      <c r="V98" s="22">
        <f ca="1">OFFSET(FTRA!AC$136,$E98,0)</f>
        <v>35.427231295778313</v>
      </c>
      <c r="W98" s="22">
        <f ca="1">OFFSET(FTRA!AD$136,$E98,0)</f>
        <v>36.456928177667976</v>
      </c>
      <c r="X98" s="22">
        <f ca="1">OFFSET(FTRA!AE$136,$E98,0)</f>
        <v>37.486625059557639</v>
      </c>
      <c r="Y98" s="22">
        <f ca="1">OFFSET(FTRA!AF$136,$E98,0)</f>
        <v>38.516321941447302</v>
      </c>
      <c r="Z98" s="22">
        <f ca="1">OFFSET(FTRA!AG$136,$E98,0)</f>
        <v>39.546018823336965</v>
      </c>
      <c r="AA98" s="22">
        <f ca="1">OFFSET(FTRA!AH$136,$E98,0)</f>
        <v>40.575715705226628</v>
      </c>
      <c r="AB98" s="22">
        <f ca="1">OFFSET(FTRA!AI$136,$E98,0)</f>
        <v>41.605412587116291</v>
      </c>
      <c r="AC98" s="22">
        <f ca="1">OFFSET(FTRA!AJ$136,$E98,0)</f>
        <v>42.635109469005954</v>
      </c>
      <c r="AD98" s="22">
        <f ca="1">OFFSET(FTRA!AK$136,$E98,0)</f>
        <v>43.664806350895645</v>
      </c>
      <c r="AE98" s="22">
        <f ca="1">OFFSET(FTRA!AL$136,$E98,0)</f>
        <v>49.586724790065539</v>
      </c>
      <c r="AF98" s="22">
        <f ca="1">OFFSET(FTRA!AM$136,$E98,0)</f>
        <v>55.50864322923541</v>
      </c>
      <c r="AG98" s="22">
        <f ca="1">OFFSET(FTRA!AN$136,$E98,0)</f>
        <v>67.367203346533998</v>
      </c>
      <c r="AH98" s="22">
        <f ca="1">OFFSET(FTRA!AO$136,$E98,0)</f>
        <v>72.37007333406163</v>
      </c>
      <c r="AJ98">
        <f t="shared" ca="1" si="3"/>
        <v>2.6663004008929465</v>
      </c>
    </row>
    <row r="99" spans="1:36" ht="15">
      <c r="A99" s="31" t="s">
        <v>367</v>
      </c>
      <c r="B99">
        <v>67</v>
      </c>
      <c r="C99" t="s">
        <v>731</v>
      </c>
      <c r="D99" t="s">
        <v>272</v>
      </c>
      <c r="E99" s="114">
        <f>MATCH(F99,FTRA!$D$137:$D$149,0)</f>
        <v>13</v>
      </c>
      <c r="F99" t="str">
        <f t="shared" si="2"/>
        <v>TFREX</v>
      </c>
      <c r="G99" s="22">
        <f ca="1">OFFSET(FTRA!J$136,$E99,0)</f>
        <v>88.672727178245694</v>
      </c>
      <c r="H99" s="22">
        <f ca="1">OFFSET(FTRA!K$136,$E99,0)</f>
        <v>88.015304929890732</v>
      </c>
      <c r="I99" s="22">
        <f ca="1">OFFSET(FTRA!L$136,$E99,0)</f>
        <v>87.357882681535756</v>
      </c>
      <c r="J99" s="22">
        <f ca="1">OFFSET(FTRA!M$136,$E99,0)</f>
        <v>84.559607459462228</v>
      </c>
      <c r="K99" s="22">
        <f ca="1">OFFSET(FTRA!N$136,$E99,0)</f>
        <v>89.940942914951876</v>
      </c>
      <c r="L99" s="22">
        <f ca="1">OFFSET(FTRA!O$136,$E99,0)</f>
        <v>90.138114713236575</v>
      </c>
      <c r="M99" s="22">
        <f ca="1">OFFSET(FTRA!P$136,$E99,0)</f>
        <v>90.335286511521275</v>
      </c>
      <c r="N99" s="22">
        <f ca="1">OFFSET(FTRA!S$136,$E99,0)</f>
        <v>90.532458309805975</v>
      </c>
      <c r="O99" s="22">
        <f ca="1">OFFSET(FTRA!T$136,$E99,0)</f>
        <v>90.729630108090674</v>
      </c>
      <c r="P99" s="22">
        <f ca="1">OFFSET(FTRA!U$136,$E99,0)</f>
        <v>90.926801906375374</v>
      </c>
      <c r="Q99" s="22">
        <f ca="1">OFFSET(FTRA!V$136,$E99,0)</f>
        <v>91.123973704660074</v>
      </c>
      <c r="R99" s="22">
        <f ca="1">OFFSET(FTRA!W$136,$E99,0)</f>
        <v>91.321145502944773</v>
      </c>
      <c r="S99" s="22">
        <f ca="1">OFFSET(FTRA!X$136,$E99,0)</f>
        <v>91.518317301229473</v>
      </c>
      <c r="T99" s="22">
        <f ca="1">OFFSET(FTRA!Y$136,$E99,0)</f>
        <v>91.715489099514144</v>
      </c>
      <c r="U99" s="22">
        <f ca="1">OFFSET(FTRA!Z$136,$E99,0)</f>
        <v>93.20854934451566</v>
      </c>
      <c r="V99" s="22">
        <f ca="1">OFFSET(FTRA!AC$136,$E99,0)</f>
        <v>94.701609589517176</v>
      </c>
      <c r="W99" s="22">
        <f ca="1">OFFSET(FTRA!AD$136,$E99,0)</f>
        <v>96.194669834518692</v>
      </c>
      <c r="X99" s="22">
        <f ca="1">OFFSET(FTRA!AE$136,$E99,0)</f>
        <v>97.687730079520207</v>
      </c>
      <c r="Y99" s="22">
        <f ca="1">OFFSET(FTRA!AF$136,$E99,0)</f>
        <v>99.180790324521723</v>
      </c>
      <c r="Z99" s="22">
        <f ca="1">OFFSET(FTRA!AG$136,$E99,0)</f>
        <v>100.67385056952324</v>
      </c>
      <c r="AA99" s="22">
        <f ca="1">OFFSET(FTRA!AH$136,$E99,0)</f>
        <v>102.16691081452475</v>
      </c>
      <c r="AB99" s="22">
        <f ca="1">OFFSET(FTRA!AI$136,$E99,0)</f>
        <v>103.65997105952627</v>
      </c>
      <c r="AC99" s="22">
        <f ca="1">OFFSET(FTRA!AJ$136,$E99,0)</f>
        <v>105.15303130452779</v>
      </c>
      <c r="AD99" s="22">
        <f ca="1">OFFSET(FTRA!AK$136,$E99,0)</f>
        <v>106.64609154952934</v>
      </c>
      <c r="AE99" s="22">
        <f ca="1">OFFSET(FTRA!AL$136,$E99,0)</f>
        <v>118.84493792107597</v>
      </c>
      <c r="AF99" s="22">
        <f ca="1">OFFSET(FTRA!AM$136,$E99,0)</f>
        <v>131.04378429262255</v>
      </c>
      <c r="AG99" s="22">
        <f ca="1">OFFSET(FTRA!AN$136,$E99,0)</f>
        <v>160.05101345611124</v>
      </c>
      <c r="AH99" s="22">
        <f ca="1">OFFSET(FTRA!AO$136,$E99,0)</f>
        <v>171.4341209304275</v>
      </c>
      <c r="AJ99">
        <f t="shared" ca="1" si="3"/>
        <v>1.9333353826573845</v>
      </c>
    </row>
    <row r="100" spans="1:36" ht="15">
      <c r="A100" s="31" t="s">
        <v>116</v>
      </c>
      <c r="B100">
        <v>73.203613436309993</v>
      </c>
      <c r="C100" t="s">
        <v>731</v>
      </c>
      <c r="D100" t="s">
        <v>272</v>
      </c>
      <c r="E100" s="113">
        <f>MATCH(F100,PTRA!$H$219:$H$226,0)</f>
        <v>1</v>
      </c>
      <c r="F100" t="str">
        <f t="shared" si="2"/>
        <v>TPPRCAR</v>
      </c>
      <c r="G100" s="22">
        <f ca="1">OFFSET(PTRA!N$218,$E100,0)</f>
        <v>81.1386031348502</v>
      </c>
      <c r="H100" s="22">
        <f ca="1">OFFSET(PTRA!O$218,$E100,0)</f>
        <v>82.877544068846106</v>
      </c>
      <c r="I100" s="22">
        <f ca="1">OFFSET(PTRA!P$218,$E100,0)</f>
        <v>84.616485002842012</v>
      </c>
      <c r="J100" s="22">
        <f ca="1">OFFSET(PTRA!Q$218,$E100,0)</f>
        <v>78.308349507973659</v>
      </c>
      <c r="K100" s="22">
        <f ca="1">OFFSET(PTRA!R$218,$E100,0)</f>
        <v>79.571725511782603</v>
      </c>
      <c r="L100" s="22">
        <f ca="1">OFFSET(PTRA!S$218,$E100,0)</f>
        <v>83.010526345337553</v>
      </c>
      <c r="M100" s="22">
        <f ca="1">OFFSET(PTRA!T$218,$E100,0)</f>
        <v>86.449327178892503</v>
      </c>
      <c r="N100" s="22">
        <f ca="1">OFFSET(PTRA!W$218,$E100,0)</f>
        <v>89.888128012447453</v>
      </c>
      <c r="O100" s="22">
        <f ca="1">OFFSET(PTRA!X$218,$E100,0)</f>
        <v>93.326928846002403</v>
      </c>
      <c r="P100" s="22">
        <f ca="1">OFFSET(PTRA!Y$218,$E100,0)</f>
        <v>96.765729679557353</v>
      </c>
      <c r="Q100" s="22">
        <f ca="1">OFFSET(PTRA!Z$218,$E100,0)</f>
        <v>100.2045305131123</v>
      </c>
      <c r="R100" s="22">
        <f ca="1">OFFSET(PTRA!AA$218,$E100,0)</f>
        <v>103.64333134666725</v>
      </c>
      <c r="S100" s="22">
        <f ca="1">OFFSET(PTRA!AB$218,$E100,0)</f>
        <v>107.0821321802222</v>
      </c>
      <c r="T100" s="22">
        <f ca="1">OFFSET(PTRA!AC$218,$E100,0)</f>
        <v>110.5209330137772</v>
      </c>
      <c r="U100" s="22">
        <f ca="1">OFFSET(PTRA!AD$218,$E100,0)</f>
        <v>115.26770411127379</v>
      </c>
      <c r="V100" s="22">
        <f ca="1">OFFSET(PTRA!AE$218,$E100,0)</f>
        <v>120.01447520877036</v>
      </c>
      <c r="W100" s="22">
        <f ca="1">OFFSET(PTRA!AH$218,$E100,0)</f>
        <v>124.76124630626694</v>
      </c>
      <c r="X100" s="22">
        <f ca="1">OFFSET(PTRA!AI$218,$E100,0)</f>
        <v>129.50801740376352</v>
      </c>
      <c r="Y100" s="22">
        <f ca="1">OFFSET(PTRA!AJ$218,$E100,0)</f>
        <v>134.25478850126009</v>
      </c>
      <c r="Z100" s="22">
        <f ca="1">OFFSET(PTRA!AK$218,$E100,0)</f>
        <v>139.00155959875667</v>
      </c>
      <c r="AA100" s="22">
        <f ca="1">OFFSET(PTRA!AL$218,$E100,0)</f>
        <v>143.74833069625325</v>
      </c>
      <c r="AB100" s="22">
        <f ca="1">OFFSET(PTRA!AM$218,$E100,0)</f>
        <v>148.49510179374982</v>
      </c>
      <c r="AC100" s="22">
        <f ca="1">OFFSET(PTRA!AO$218,$E100,0)</f>
        <v>153.2418728912464</v>
      </c>
      <c r="AD100" s="22">
        <f ca="1">OFFSET(PTRA!AQ$218,$E100,0)</f>
        <v>157.98864398874304</v>
      </c>
      <c r="AE100" s="22">
        <f ca="1">OFFSET(PTRA!AR$218,$E100,0)</f>
        <v>186.4514116708196</v>
      </c>
      <c r="AF100" s="22">
        <f ca="1">OFFSET(PTRA!AS$218,$E100,0)</f>
        <v>214.91417935289618</v>
      </c>
      <c r="AG100" s="22">
        <f ca="1">OFFSET(PTRA!AT$218,$E100,0)</f>
        <v>234.87243386381823</v>
      </c>
      <c r="AH100" s="22">
        <f ca="1">OFFSET(PTRA!AU$218,$E100,0)</f>
        <v>243.75712018368034</v>
      </c>
      <c r="AJ100">
        <f t="shared" ca="1" si="3"/>
        <v>3.0042065153446442</v>
      </c>
    </row>
    <row r="101" spans="1:36" ht="15">
      <c r="A101" s="31" t="s">
        <v>171</v>
      </c>
      <c r="B101">
        <v>2.2210937076119999</v>
      </c>
      <c r="C101" t="s">
        <v>731</v>
      </c>
      <c r="D101" t="s">
        <v>272</v>
      </c>
      <c r="E101" s="114">
        <f>MATCH(F101,PTRA!$H$219:$H$226,0)</f>
        <v>3</v>
      </c>
      <c r="F101" t="str">
        <f t="shared" si="2"/>
        <v>TPPRMOT</v>
      </c>
      <c r="G101" s="22">
        <f ca="1">OFFSET(PTRA!N$218,$E101,0)</f>
        <v>5.9227912022632498</v>
      </c>
      <c r="H101" s="22">
        <f ca="1">OFFSET(PTRA!O$218,$E101,0)</f>
        <v>4.5479546949349121</v>
      </c>
      <c r="I101" s="22">
        <f ca="1">OFFSET(PTRA!P$218,$E101,0)</f>
        <v>3.1731181876065753</v>
      </c>
      <c r="J101" s="22">
        <f ca="1">OFFSET(PTRA!Q$218,$E101,0)</f>
        <v>2.9365631065490123</v>
      </c>
      <c r="K101" s="22">
        <f ca="1">OFFSET(PTRA!R$218,$E101,0)</f>
        <v>2.9839397066918476</v>
      </c>
      <c r="L101" s="22">
        <f ca="1">OFFSET(PTRA!S$218,$E101,0)</f>
        <v>3.1128947379501586</v>
      </c>
      <c r="M101" s="22">
        <f ca="1">OFFSET(PTRA!T$218,$E101,0)</f>
        <v>3.2418497692084696</v>
      </c>
      <c r="N101" s="22">
        <f ca="1">OFFSET(PTRA!W$218,$E101,0)</f>
        <v>3.3708048004667805</v>
      </c>
      <c r="O101" s="22">
        <f ca="1">OFFSET(PTRA!X$218,$E101,0)</f>
        <v>3.4997598317250915</v>
      </c>
      <c r="P101" s="22">
        <f ca="1">OFFSET(PTRA!Y$218,$E101,0)</f>
        <v>3.6287148629834025</v>
      </c>
      <c r="Q101" s="22">
        <f ca="1">OFFSET(PTRA!Z$218,$E101,0)</f>
        <v>3.7576698942417135</v>
      </c>
      <c r="R101" s="22">
        <f ca="1">OFFSET(PTRA!AA$218,$E101,0)</f>
        <v>3.8866249255000245</v>
      </c>
      <c r="S101" s="22">
        <f ca="1">OFFSET(PTRA!AB$218,$E101,0)</f>
        <v>4.0155799567583355</v>
      </c>
      <c r="T101" s="22">
        <f ca="1">OFFSET(PTRA!AC$218,$E101,0)</f>
        <v>4.1445349880166447</v>
      </c>
      <c r="U101" s="22">
        <f ca="1">OFFSET(PTRA!AD$218,$E101,0)</f>
        <v>4.3225389041727666</v>
      </c>
      <c r="V101" s="22">
        <f ca="1">OFFSET(PTRA!AE$218,$E101,0)</f>
        <v>4.5005428203288886</v>
      </c>
      <c r="W101" s="22">
        <f ca="1">OFFSET(PTRA!AH$218,$E101,0)</f>
        <v>4.6785467364850106</v>
      </c>
      <c r="X101" s="22">
        <f ca="1">OFFSET(PTRA!AI$218,$E101,0)</f>
        <v>4.8565506526411326</v>
      </c>
      <c r="Y101" s="22">
        <f ca="1">OFFSET(PTRA!AJ$218,$E101,0)</f>
        <v>5.0345545687972546</v>
      </c>
      <c r="Z101" s="22">
        <f ca="1">OFFSET(PTRA!AK$218,$E101,0)</f>
        <v>5.2125584849533766</v>
      </c>
      <c r="AA101" s="22">
        <f ca="1">OFFSET(PTRA!AL$218,$E101,0)</f>
        <v>5.3905624011094986</v>
      </c>
      <c r="AB101" s="22">
        <f ca="1">OFFSET(PTRA!AM$218,$E101,0)</f>
        <v>5.5685663172656206</v>
      </c>
      <c r="AC101" s="22">
        <f ca="1">OFFSET(PTRA!AO$218,$E101,0)</f>
        <v>5.7465702334217426</v>
      </c>
      <c r="AD101" s="22">
        <f ca="1">OFFSET(PTRA!AQ$218,$E101,0)</f>
        <v>5.9245741495778637</v>
      </c>
      <c r="AE101" s="22">
        <f ca="1">OFFSET(PTRA!AR$218,$E101,0)</f>
        <v>6.9919279376557348</v>
      </c>
      <c r="AF101" s="22">
        <f ca="1">OFFSET(PTRA!AS$218,$E101,0)</f>
        <v>8.0592817257336069</v>
      </c>
      <c r="AG101" s="22">
        <f ca="1">OFFSET(PTRA!AT$218,$E101,0)</f>
        <v>8.8077162698931843</v>
      </c>
      <c r="AH101" s="22">
        <f ca="1">OFFSET(PTRA!AU$218,$E101,0)</f>
        <v>9.1408920068880128</v>
      </c>
      <c r="AJ101">
        <f t="shared" ca="1" si="3"/>
        <v>1.5433419303039155</v>
      </c>
    </row>
    <row r="102" spans="1:36" ht="15">
      <c r="A102" s="31" t="s">
        <v>115</v>
      </c>
      <c r="B102">
        <v>9.7306216335790001</v>
      </c>
      <c r="C102" t="s">
        <v>731</v>
      </c>
      <c r="D102" t="s">
        <v>272</v>
      </c>
      <c r="E102" s="114">
        <f>MATCH(F102,PTRA!$H$219:$H$226,0)</f>
        <v>2</v>
      </c>
      <c r="F102" t="str">
        <f t="shared" si="2"/>
        <v>TPPRSUV</v>
      </c>
      <c r="G102" s="22">
        <f ca="1">OFFSET(PTRA!N$218,$E102,0)</f>
        <v>17.754191802068</v>
      </c>
      <c r="H102" s="22">
        <f ca="1">OFFSET(PTRA!O$218,$E102,0)</f>
        <v>17.867597432585967</v>
      </c>
      <c r="I102" s="22">
        <f ca="1">OFFSET(PTRA!P$218,$E102,0)</f>
        <v>17.98100306310393</v>
      </c>
      <c r="J102" s="22">
        <f ca="1">OFFSET(PTRA!Q$218,$E102,0)</f>
        <v>16.640524270444406</v>
      </c>
      <c r="K102" s="22">
        <f ca="1">OFFSET(PTRA!R$218,$E102,0)</f>
        <v>16.908991671253805</v>
      </c>
      <c r="L102" s="22">
        <f ca="1">OFFSET(PTRA!S$218,$E102,0)</f>
        <v>17.639736848384231</v>
      </c>
      <c r="M102" s="22">
        <f ca="1">OFFSET(PTRA!T$218,$E102,0)</f>
        <v>18.370482025514658</v>
      </c>
      <c r="N102" s="22">
        <f ca="1">OFFSET(PTRA!W$218,$E102,0)</f>
        <v>19.101227202645084</v>
      </c>
      <c r="O102" s="22">
        <f ca="1">OFFSET(PTRA!X$218,$E102,0)</f>
        <v>19.831972379775511</v>
      </c>
      <c r="P102" s="22">
        <f ca="1">OFFSET(PTRA!Y$218,$E102,0)</f>
        <v>20.562717556905937</v>
      </c>
      <c r="Q102" s="22">
        <f ca="1">OFFSET(PTRA!Z$218,$E102,0)</f>
        <v>21.293462734036364</v>
      </c>
      <c r="R102" s="22">
        <f ca="1">OFFSET(PTRA!AA$218,$E102,0)</f>
        <v>22.024207911166791</v>
      </c>
      <c r="S102" s="22">
        <f ca="1">OFFSET(PTRA!AB$218,$E102,0)</f>
        <v>22.754953088297217</v>
      </c>
      <c r="T102" s="22">
        <f ca="1">OFFSET(PTRA!AC$218,$E102,0)</f>
        <v>23.485698265427658</v>
      </c>
      <c r="U102" s="22">
        <f ca="1">OFFSET(PTRA!AD$218,$E102,0)</f>
        <v>24.494387123645684</v>
      </c>
      <c r="V102" s="22">
        <f ca="1">OFFSET(PTRA!AE$218,$E102,0)</f>
        <v>25.503075981863709</v>
      </c>
      <c r="W102" s="22">
        <f ca="1">OFFSET(PTRA!AH$218,$E102,0)</f>
        <v>26.511764840081735</v>
      </c>
      <c r="X102" s="22">
        <f ca="1">OFFSET(PTRA!AI$218,$E102,0)</f>
        <v>27.520453698299761</v>
      </c>
      <c r="Y102" s="22">
        <f ca="1">OFFSET(PTRA!AJ$218,$E102,0)</f>
        <v>28.529142556517787</v>
      </c>
      <c r="Z102" s="22">
        <f ca="1">OFFSET(PTRA!AK$218,$E102,0)</f>
        <v>29.537831414735813</v>
      </c>
      <c r="AA102" s="22">
        <f ca="1">OFFSET(PTRA!AL$218,$E102,0)</f>
        <v>30.546520272953838</v>
      </c>
      <c r="AB102" s="22">
        <f ca="1">OFFSET(PTRA!AM$218,$E102,0)</f>
        <v>31.555209131171864</v>
      </c>
      <c r="AC102" s="22">
        <f ca="1">OFFSET(PTRA!AO$218,$E102,0)</f>
        <v>32.563897989389886</v>
      </c>
      <c r="AD102" s="22">
        <f ca="1">OFFSET(PTRA!AQ$218,$E102,0)</f>
        <v>33.572586847607901</v>
      </c>
      <c r="AE102" s="22">
        <f ca="1">OFFSET(PTRA!AR$218,$E102,0)</f>
        <v>39.620924980049168</v>
      </c>
      <c r="AF102" s="22">
        <f ca="1">OFFSET(PTRA!AS$218,$E102,0)</f>
        <v>45.669263112490441</v>
      </c>
      <c r="AG102" s="22">
        <f ca="1">OFFSET(PTRA!AT$218,$E102,0)</f>
        <v>49.91039219606138</v>
      </c>
      <c r="AH102" s="22">
        <f ca="1">OFFSET(PTRA!AU$218,$E102,0)</f>
        <v>51.798388039032076</v>
      </c>
      <c r="AJ102">
        <f t="shared" ca="1" si="3"/>
        <v>2.9175300467914638</v>
      </c>
    </row>
    <row r="103" spans="1:36" ht="15">
      <c r="A103" s="31" t="s">
        <v>119</v>
      </c>
      <c r="B103" t="s">
        <v>370</v>
      </c>
      <c r="C103" t="s">
        <v>731</v>
      </c>
      <c r="D103" t="s">
        <v>272</v>
      </c>
      <c r="E103" s="114">
        <f>MATCH(F103,PTRA!$H$219:$H$226,0)</f>
        <v>6</v>
      </c>
      <c r="F103" t="str">
        <f t="shared" si="2"/>
        <v>TPPUBRT</v>
      </c>
      <c r="G103" s="22">
        <f ca="1">OFFSET(PTRA!N$218,$E103,0)</f>
        <v>0.072799982901224303</v>
      </c>
      <c r="H103" s="22">
        <f ca="1">OFFSET(PTRA!O$218,$E103,0)</f>
        <v>0.092054765383727061</v>
      </c>
      <c r="I103" s="22">
        <f ca="1">OFFSET(PTRA!P$218,$E103,0)</f>
        <v>0.1113095478662298</v>
      </c>
      <c r="J103" s="22">
        <f ca="1">OFFSET(PTRA!Q$218,$E103,0)</f>
        <v>0.11091277099762989</v>
      </c>
      <c r="K103" s="22">
        <f ca="1">OFFSET(PTRA!R$218,$E103,0)</f>
        <v>0.11320845736963975</v>
      </c>
      <c r="L103" s="22">
        <f ca="1">OFFSET(PTRA!S$218,$E103,0)</f>
        <v>0.11433939197588476</v>
      </c>
      <c r="M103" s="22">
        <f ca="1">OFFSET(PTRA!T$218,$E103,0)</f>
        <v>0.11547032658212977</v>
      </c>
      <c r="N103" s="22">
        <f ca="1">OFFSET(PTRA!W$218,$E103,0)</f>
        <v>0.11660126118837479</v>
      </c>
      <c r="O103" s="22">
        <f ca="1">OFFSET(PTRA!X$218,$E103,0)</f>
        <v>0.1177321957946198</v>
      </c>
      <c r="P103" s="22">
        <f ca="1">OFFSET(PTRA!Y$218,$E103,0)</f>
        <v>0.11886313040086481</v>
      </c>
      <c r="Q103" s="22">
        <f ca="1">OFFSET(PTRA!Z$218,$E103,0)</f>
        <v>0.11999406500710982</v>
      </c>
      <c r="R103" s="22">
        <f ca="1">OFFSET(PTRA!AA$218,$E103,0)</f>
        <v>0.12112499961335484</v>
      </c>
      <c r="S103" s="22">
        <f ca="1">OFFSET(PTRA!AB$218,$E103,0)</f>
        <v>0.12225593421959985</v>
      </c>
      <c r="T103" s="22">
        <f ca="1">OFFSET(PTRA!AC$218,$E103,0)</f>
        <v>0.12338686882584481</v>
      </c>
      <c r="U103" s="22">
        <f ca="1">OFFSET(PTRA!AD$218,$E103,0)</f>
        <v>0.12436701429935186</v>
      </c>
      <c r="V103" s="22">
        <f ca="1">OFFSET(PTRA!AE$218,$E103,0)</f>
        <v>0.12534715977285893</v>
      </c>
      <c r="W103" s="22">
        <f ca="1">OFFSET(PTRA!AH$218,$E103,0)</f>
        <v>0.12632730524636598</v>
      </c>
      <c r="X103" s="22">
        <f ca="1">OFFSET(PTRA!AI$218,$E103,0)</f>
        <v>0.12730745071987304</v>
      </c>
      <c r="Y103" s="22">
        <f ca="1">OFFSET(PTRA!AJ$218,$E103,0)</f>
        <v>0.12828759619338009</v>
      </c>
      <c r="Z103" s="22">
        <f ca="1">OFFSET(PTRA!AK$218,$E103,0)</f>
        <v>0.12926774166688715</v>
      </c>
      <c r="AA103" s="22">
        <f ca="1">OFFSET(PTRA!AL$218,$E103,0)</f>
        <v>0.1302478871403942</v>
      </c>
      <c r="AB103" s="22">
        <f ca="1">OFFSET(PTRA!AM$218,$E103,0)</f>
        <v>0.13122803261390126</v>
      </c>
      <c r="AC103" s="22">
        <f ca="1">OFFSET(PTRA!AO$218,$E103,0)</f>
        <v>0.13220817808740831</v>
      </c>
      <c r="AD103" s="22">
        <f ca="1">OFFSET(PTRA!AQ$218,$E103,0)</f>
        <v>0.13318832356091539</v>
      </c>
      <c r="AE103" s="22">
        <f ca="1">OFFSET(PTRA!AR$218,$E103,0)</f>
        <v>0.13688495434958595</v>
      </c>
      <c r="AF103" s="22">
        <f ca="1">OFFSET(PTRA!AS$218,$E103,0)</f>
        <v>0.1405815851382565</v>
      </c>
      <c r="AG103" s="22">
        <f ca="1">OFFSET(PTRA!AT$218,$E103,0)</f>
        <v>0.14473458090800723</v>
      </c>
      <c r="AH103" s="22">
        <f ca="1">OFFSET(PTRA!AU$218,$E103,0)</f>
        <v>0.14640680725053476</v>
      </c>
      <c r="AJ103">
        <f t="shared" ca="1" si="3"/>
        <v>2.0110829895273588</v>
      </c>
    </row>
    <row r="104" spans="1:36" ht="15">
      <c r="A104" s="31" t="s">
        <v>117</v>
      </c>
      <c r="B104">
        <v>0.62801975359410001</v>
      </c>
      <c r="C104" t="s">
        <v>731</v>
      </c>
      <c r="D104" t="s">
        <v>272</v>
      </c>
      <c r="E104" s="114">
        <f>MATCH(F104,PTRA!$H$219:$H$226,0)</f>
        <v>4</v>
      </c>
      <c r="F104" t="str">
        <f t="shared" si="2"/>
        <v>TPPUBUS</v>
      </c>
      <c r="G104" s="22">
        <f ca="1">OFFSET(PTRA!N$218,$E104,0)</f>
        <v>0.64296697178877804</v>
      </c>
      <c r="H104" s="22">
        <f ca="1">OFFSET(PTRA!O$218,$E104,0)</f>
        <v>0.64929079481231411</v>
      </c>
      <c r="I104" s="22">
        <f ca="1">OFFSET(PTRA!P$218,$E104,0)</f>
        <v>0.65561461783585018</v>
      </c>
      <c r="J104" s="22">
        <f ca="1">OFFSET(PTRA!Q$218,$E104,0)</f>
        <v>0.6666265611015576</v>
      </c>
      <c r="K104" s="22">
        <f ca="1">OFFSET(PTRA!R$218,$E104,0)</f>
        <v>0.68165992851148161</v>
      </c>
      <c r="L104" s="22">
        <f ca="1">OFFSET(PTRA!S$218,$E104,0)</f>
        <v>0.68233114655833038</v>
      </c>
      <c r="M104" s="22">
        <f ca="1">OFFSET(PTRA!T$218,$E104,0)</f>
        <v>0.68300236460517916</v>
      </c>
      <c r="N104" s="22">
        <f ca="1">OFFSET(PTRA!W$218,$E104,0)</f>
        <v>0.68367358265202793</v>
      </c>
      <c r="O104" s="22">
        <f ca="1">OFFSET(PTRA!X$218,$E104,0)</f>
        <v>0.68434480069887671</v>
      </c>
      <c r="P104" s="22">
        <f ca="1">OFFSET(PTRA!Y$218,$E104,0)</f>
        <v>0.68501601874572549</v>
      </c>
      <c r="Q104" s="22">
        <f ca="1">OFFSET(PTRA!Z$218,$E104,0)</f>
        <v>0.68568723679257426</v>
      </c>
      <c r="R104" s="22">
        <f ca="1">OFFSET(PTRA!AA$218,$E104,0)</f>
        <v>0.68635845483942304</v>
      </c>
      <c r="S104" s="22">
        <f ca="1">OFFSET(PTRA!AB$218,$E104,0)</f>
        <v>0.68702967288627181</v>
      </c>
      <c r="T104" s="22">
        <f ca="1">OFFSET(PTRA!AC$218,$E104,0)</f>
        <v>0.68770089093312015</v>
      </c>
      <c r="U104" s="22">
        <f ca="1">OFFSET(PTRA!AD$218,$E104,0)</f>
        <v>0.68446529022650993</v>
      </c>
      <c r="V104" s="22">
        <f ca="1">OFFSET(PTRA!AE$218,$E104,0)</f>
        <v>0.68122968951989971</v>
      </c>
      <c r="W104" s="22">
        <f ca="1">OFFSET(PTRA!AH$218,$E104,0)</f>
        <v>0.67799408881328949</v>
      </c>
      <c r="X104" s="22">
        <f ca="1">OFFSET(PTRA!AI$218,$E104,0)</f>
        <v>0.67475848810667927</v>
      </c>
      <c r="Y104" s="22">
        <f ca="1">OFFSET(PTRA!AJ$218,$E104,0)</f>
        <v>0.67152288740006905</v>
      </c>
      <c r="Z104" s="22">
        <f ca="1">OFFSET(PTRA!AK$218,$E104,0)</f>
        <v>0.66828728669345883</v>
      </c>
      <c r="AA104" s="22">
        <f ca="1">OFFSET(PTRA!AL$218,$E104,0)</f>
        <v>0.66505168598684861</v>
      </c>
      <c r="AB104" s="22">
        <f ca="1">OFFSET(PTRA!AM$218,$E104,0)</f>
        <v>0.66181608528023839</v>
      </c>
      <c r="AC104" s="22">
        <f ca="1">OFFSET(PTRA!AO$218,$E104,0)</f>
        <v>0.65858048457362817</v>
      </c>
      <c r="AD104" s="22">
        <f ca="1">OFFSET(PTRA!AQ$218,$E104,0)</f>
        <v>0.65534488386701795</v>
      </c>
      <c r="AE104" s="22">
        <f ca="1">OFFSET(PTRA!AR$218,$E104,0)</f>
        <v>0.6202295760857619</v>
      </c>
      <c r="AF104" s="22">
        <f ca="1">OFFSET(PTRA!AS$218,$E104,0)</f>
        <v>0.58511426830450586</v>
      </c>
      <c r="AG104" s="22">
        <f ca="1">OFFSET(PTRA!AT$218,$E104,0)</f>
        <v>0.56978445759695118</v>
      </c>
      <c r="AH104" s="22">
        <f ca="1">OFFSET(PTRA!AU$218,$E104,0)</f>
        <v>0.56058567140481308</v>
      </c>
      <c r="AJ104">
        <f t="shared" ca="1" si="3"/>
        <v>0.87187320033753124</v>
      </c>
    </row>
    <row r="105" spans="1:36" ht="15">
      <c r="A105" s="31" t="s">
        <v>121</v>
      </c>
      <c r="B105" t="s">
        <v>370</v>
      </c>
      <c r="C105" t="s">
        <v>731</v>
      </c>
      <c r="D105" t="s">
        <v>272</v>
      </c>
      <c r="E105" s="114">
        <f>MATCH(F105,PTRA!$H$219:$H$226,0)</f>
        <v>8</v>
      </c>
      <c r="F105" t="str">
        <f t="shared" si="2"/>
        <v>TPPUGAT</v>
      </c>
      <c r="G105" s="22">
        <f ca="1">OFFSET(PTRA!N$218,$E105,0)</f>
        <v>0.64854136839212595</v>
      </c>
      <c r="H105" s="22">
        <f ca="1">OFFSET(PTRA!O$218,$E105,0)</f>
        <v>0.67405613843991108</v>
      </c>
      <c r="I105" s="22">
        <f ca="1">OFFSET(PTRA!P$218,$E105,0)</f>
        <v>0.6995709084876961</v>
      </c>
      <c r="J105" s="22">
        <f ca="1">OFFSET(PTRA!Q$218,$E105,0)</f>
        <v>0.64248252977129328</v>
      </c>
      <c r="K105" s="22">
        <f ca="1">OFFSET(PTRA!R$218,$E105,0)</f>
        <v>0.63988638610905979</v>
      </c>
      <c r="L105" s="22">
        <f ca="1">OFFSET(PTRA!S$218,$E105,0)</f>
        <v>0.66654414817097207</v>
      </c>
      <c r="M105" s="22">
        <f ca="1">OFFSET(PTRA!T$218,$E105,0)</f>
        <v>0.69320191023288436</v>
      </c>
      <c r="N105" s="22">
        <f ca="1">OFFSET(PTRA!W$218,$E105,0)</f>
        <v>0.71985967229479664</v>
      </c>
      <c r="O105" s="22">
        <f ca="1">OFFSET(PTRA!X$218,$E105,0)</f>
        <v>0.74651743435670892</v>
      </c>
      <c r="P105" s="22">
        <f ca="1">OFFSET(PTRA!Y$218,$E105,0)</f>
        <v>0.7731751964186212</v>
      </c>
      <c r="Q105" s="22">
        <f ca="1">OFFSET(PTRA!Z$218,$E105,0)</f>
        <v>0.79983295848053348</v>
      </c>
      <c r="R105" s="22">
        <f ca="1">OFFSET(PTRA!AA$218,$E105,0)</f>
        <v>0.82649072054244577</v>
      </c>
      <c r="S105" s="22">
        <f ca="1">OFFSET(PTRA!AB$218,$E105,0)</f>
        <v>0.85314848260435805</v>
      </c>
      <c r="T105" s="22">
        <f ca="1">OFFSET(PTRA!AC$218,$E105,0)</f>
        <v>0.87980624466627066</v>
      </c>
      <c r="U105" s="22">
        <f ca="1">OFFSET(PTRA!AD$218,$E105,0)</f>
        <v>0.90855749904863325</v>
      </c>
      <c r="V105" s="22">
        <f ca="1">OFFSET(PTRA!AE$218,$E105,0)</f>
        <v>0.93730875343099584</v>
      </c>
      <c r="W105" s="22">
        <f ca="1">OFFSET(PTRA!AH$218,$E105,0)</f>
        <v>0.96606000781335843</v>
      </c>
      <c r="X105" s="22">
        <f ca="1">OFFSET(PTRA!AI$218,$E105,0)</f>
        <v>0.99481126219572102</v>
      </c>
      <c r="Y105" s="22">
        <f ca="1">OFFSET(PTRA!AJ$218,$E105,0)</f>
        <v>1.0235625165780837</v>
      </c>
      <c r="Z105" s="22">
        <f ca="1">OFFSET(PTRA!AK$218,$E105,0)</f>
        <v>1.0523137709604464</v>
      </c>
      <c r="AA105" s="22">
        <f ca="1">OFFSET(PTRA!AL$218,$E105,0)</f>
        <v>1.0810650253428091</v>
      </c>
      <c r="AB105" s="22">
        <f ca="1">OFFSET(PTRA!AM$218,$E105,0)</f>
        <v>1.1098162797251718</v>
      </c>
      <c r="AC105" s="22">
        <f ca="1">OFFSET(PTRA!AO$218,$E105,0)</f>
        <v>1.1385675341075345</v>
      </c>
      <c r="AD105" s="22">
        <f ca="1">OFFSET(PTRA!AQ$218,$E105,0)</f>
        <v>1.1673187884898968</v>
      </c>
      <c r="AE105" s="22">
        <f ca="1">OFFSET(PTRA!AR$218,$E105,0)</f>
        <v>1.2707834125207516</v>
      </c>
      <c r="AF105" s="22">
        <f ca="1">OFFSET(PTRA!AS$218,$E105,0)</f>
        <v>1.3742480365516063</v>
      </c>
      <c r="AG105" s="22">
        <f ca="1">OFFSET(PTRA!AT$218,$E105,0)</f>
        <v>1.5073494303226469</v>
      </c>
      <c r="AH105" s="22">
        <f ca="1">OFFSET(PTRA!AU$218,$E105,0)</f>
        <v>1.5904246596034544</v>
      </c>
      <c r="AJ105">
        <f t="shared" ca="1" si="3"/>
        <v>2.452310272121053</v>
      </c>
    </row>
    <row r="106" spans="1:36" ht="15">
      <c r="A106" s="31" t="s">
        <v>118</v>
      </c>
      <c r="B106">
        <v>8.3842691666009994</v>
      </c>
      <c r="C106" t="s">
        <v>731</v>
      </c>
      <c r="D106" t="s">
        <v>272</v>
      </c>
      <c r="E106" s="114">
        <f>MATCH(F106,PTRA!$H$219:$H$226,0)</f>
        <v>5</v>
      </c>
      <c r="F106" t="str">
        <f t="shared" si="2"/>
        <v>TPPUMBT</v>
      </c>
      <c r="G106" s="22">
        <f ca="1">OFFSET(PTRA!N$218,$E106,0)</f>
        <v>7.2130505455454896</v>
      </c>
      <c r="H106" s="22">
        <f ca="1">OFFSET(PTRA!O$218,$E106,0)</f>
        <v>7.2845555245765379</v>
      </c>
      <c r="I106" s="22">
        <f ca="1">OFFSET(PTRA!P$218,$E106,0)</f>
        <v>7.3560605036075861</v>
      </c>
      <c r="J106" s="22">
        <f ca="1">OFFSET(PTRA!Q$218,$E106,0)</f>
        <v>7.4796155902715018</v>
      </c>
      <c r="K106" s="22">
        <f ca="1">OFFSET(PTRA!R$218,$E106,0)</f>
        <v>7.6482914514129181</v>
      </c>
      <c r="L106" s="22">
        <f ca="1">OFFSET(PTRA!S$218,$E106,0)</f>
        <v>7.6558225839249276</v>
      </c>
      <c r="M106" s="22">
        <f ca="1">OFFSET(PTRA!T$218,$E106,0)</f>
        <v>7.6633537164369372</v>
      </c>
      <c r="N106" s="22">
        <f ca="1">OFFSET(PTRA!W$218,$E106,0)</f>
        <v>7.6708848489489467</v>
      </c>
      <c r="O106" s="22">
        <f ca="1">OFFSET(PTRA!X$218,$E106,0)</f>
        <v>7.6784159814609563</v>
      </c>
      <c r="P106" s="22">
        <f ca="1">OFFSET(PTRA!Y$218,$E106,0)</f>
        <v>7.6859471139729658</v>
      </c>
      <c r="Q106" s="22">
        <f ca="1">OFFSET(PTRA!Z$218,$E106,0)</f>
        <v>7.6934782464849754</v>
      </c>
      <c r="R106" s="22">
        <f ca="1">OFFSET(PTRA!AA$218,$E106,0)</f>
        <v>7.7010093789969849</v>
      </c>
      <c r="S106" s="22">
        <f ca="1">OFFSET(PTRA!AB$218,$E106,0)</f>
        <v>7.7085405115089944</v>
      </c>
      <c r="T106" s="22">
        <f ca="1">OFFSET(PTRA!AC$218,$E106,0)</f>
        <v>7.7160716440210066</v>
      </c>
      <c r="U106" s="22">
        <f ca="1">OFFSET(PTRA!AD$218,$E106,0)</f>
        <v>7.679767885813316</v>
      </c>
      <c r="V106" s="22">
        <f ca="1">OFFSET(PTRA!AE$218,$E106,0)</f>
        <v>7.6434641276056254</v>
      </c>
      <c r="W106" s="22">
        <f ca="1">OFFSET(PTRA!AH$218,$E106,0)</f>
        <v>7.6071603693979348</v>
      </c>
      <c r="X106" s="22">
        <f ca="1">OFFSET(PTRA!AI$218,$E106,0)</f>
        <v>7.5708566111902442</v>
      </c>
      <c r="Y106" s="22">
        <f ca="1">OFFSET(PTRA!AJ$218,$E106,0)</f>
        <v>7.5345528529825536</v>
      </c>
      <c r="Z106" s="22">
        <f ca="1">OFFSET(PTRA!AK$218,$E106,0)</f>
        <v>7.498249094774863</v>
      </c>
      <c r="AA106" s="22">
        <f ca="1">OFFSET(PTRA!AL$218,$E106,0)</f>
        <v>7.4619453365671724</v>
      </c>
      <c r="AB106" s="22">
        <f ca="1">OFFSET(PTRA!AM$218,$E106,0)</f>
        <v>7.4256415783594818</v>
      </c>
      <c r="AC106" s="22">
        <f ca="1">OFFSET(PTRA!AO$218,$E106,0)</f>
        <v>7.3893378201517912</v>
      </c>
      <c r="AD106" s="22">
        <f ca="1">OFFSET(PTRA!AQ$218,$E106,0)</f>
        <v>7.3530340619441006</v>
      </c>
      <c r="AE106" s="22">
        <f ca="1">OFFSET(PTRA!AR$218,$E106,0)</f>
        <v>6.9590368544163139</v>
      </c>
      <c r="AF106" s="22">
        <f ca="1">OFFSET(PTRA!AS$218,$E106,0)</f>
        <v>6.5650396468885273</v>
      </c>
      <c r="AG106" s="22">
        <f ca="1">OFFSET(PTRA!AT$218,$E106,0)</f>
        <v>6.3930376627871643</v>
      </c>
      <c r="AH106" s="22">
        <f ca="1">OFFSET(PTRA!AU$218,$E106,0)</f>
        <v>6.2898263768453058</v>
      </c>
      <c r="AJ106">
        <f t="shared" ca="1" si="3"/>
        <v>0.87200641907738574</v>
      </c>
    </row>
    <row r="107" spans="1:36" ht="15">
      <c r="A107" s="31" t="s">
        <v>120</v>
      </c>
      <c r="B107">
        <v>13.90</v>
      </c>
      <c r="C107" t="s">
        <v>731</v>
      </c>
      <c r="D107" t="s">
        <v>272</v>
      </c>
      <c r="E107" s="115">
        <f>MATCH(F107,PTRA!$H$219:$H$226,0)</f>
        <v>7</v>
      </c>
      <c r="F107" t="str">
        <f t="shared" si="2"/>
        <v>TPPUMER</v>
      </c>
      <c r="G107" s="22">
        <f ca="1">OFFSET(PTRA!N$218,$E107,0)</f>
        <v>8.7048317578401608</v>
      </c>
      <c r="H107" s="22">
        <f ca="1">OFFSET(PTRA!O$218,$E107,0)</f>
        <v>8.7898700606728966</v>
      </c>
      <c r="I107" s="22">
        <f ca="1">OFFSET(PTRA!P$218,$E107,0)</f>
        <v>8.8749083635056305</v>
      </c>
      <c r="J107" s="22">
        <f ca="1">OFFSET(PTRA!Q$218,$E107,0)</f>
        <v>9.0239745751619225</v>
      </c>
      <c r="K107" s="22">
        <f ca="1">OFFSET(PTRA!R$218,$E107,0)</f>
        <v>9.227477905515352</v>
      </c>
      <c r="L107" s="22">
        <f ca="1">OFFSET(PTRA!S$218,$E107,0)</f>
        <v>9.236564034005557</v>
      </c>
      <c r="M107" s="22">
        <f ca="1">OFFSET(PTRA!T$218,$E107,0)</f>
        <v>9.2456501624957621</v>
      </c>
      <c r="N107" s="22">
        <f ca="1">OFFSET(PTRA!W$218,$E107,0)</f>
        <v>9.2547362909859672</v>
      </c>
      <c r="O107" s="22">
        <f ca="1">OFFSET(PTRA!X$218,$E107,0)</f>
        <v>9.2638224194761722</v>
      </c>
      <c r="P107" s="22">
        <f ca="1">OFFSET(PTRA!Y$218,$E107,0)</f>
        <v>9.2729085479663773</v>
      </c>
      <c r="Q107" s="22">
        <f ca="1">OFFSET(PTRA!Z$218,$E107,0)</f>
        <v>9.2819946764565824</v>
      </c>
      <c r="R107" s="22">
        <f ca="1">OFFSET(PTRA!AA$218,$E107,0)</f>
        <v>9.2910808049467875</v>
      </c>
      <c r="S107" s="22">
        <f ca="1">OFFSET(PTRA!AB$218,$E107,0)</f>
        <v>9.3001669334369925</v>
      </c>
      <c r="T107" s="22">
        <f ca="1">OFFSET(PTRA!AC$218,$E107,0)</f>
        <v>9.3092530619272011</v>
      </c>
      <c r="U107" s="22">
        <f ca="1">OFFSET(PTRA!AD$218,$E107,0)</f>
        <v>9.2654534592477358</v>
      </c>
      <c r="V107" s="22">
        <f ca="1">OFFSET(PTRA!AE$218,$E107,0)</f>
        <v>9.2216538565682704</v>
      </c>
      <c r="W107" s="22">
        <f ca="1">OFFSET(PTRA!AH$218,$E107,0)</f>
        <v>9.177854253888805</v>
      </c>
      <c r="X107" s="22">
        <f ca="1">OFFSET(PTRA!AI$218,$E107,0)</f>
        <v>9.1340546512093397</v>
      </c>
      <c r="Y107" s="22">
        <f ca="1">OFFSET(PTRA!AJ$218,$E107,0)</f>
        <v>9.0902550485298743</v>
      </c>
      <c r="Z107" s="22">
        <f ca="1">OFFSET(PTRA!AK$218,$E107,0)</f>
        <v>9.0464554458504089</v>
      </c>
      <c r="AA107" s="22">
        <f ca="1">OFFSET(PTRA!AL$218,$E107,0)</f>
        <v>9.0026558431709436</v>
      </c>
      <c r="AB107" s="22">
        <f ca="1">OFFSET(PTRA!AM$218,$E107,0)</f>
        <v>8.9588562404914782</v>
      </c>
      <c r="AC107" s="22">
        <f ca="1">OFFSET(PTRA!AO$218,$E107,0)</f>
        <v>8.9150566378120129</v>
      </c>
      <c r="AD107" s="22">
        <f ca="1">OFFSET(PTRA!AQ$218,$E107,0)</f>
        <v>8.8712570351325493</v>
      </c>
      <c r="AE107" s="22">
        <f ca="1">OFFSET(PTRA!AR$218,$E107,0)</f>
        <v>8.3959089720529487</v>
      </c>
      <c r="AF107" s="22">
        <f ca="1">OFFSET(PTRA!AS$218,$E107,0)</f>
        <v>7.9205609089733473</v>
      </c>
      <c r="AG107" s="22">
        <f ca="1">OFFSET(PTRA!AT$218,$E107,0)</f>
        <v>7.7130446920400964</v>
      </c>
      <c r="AH107" s="22">
        <f ca="1">OFFSET(PTRA!AU$218,$E107,0)</f>
        <v>7.5885227819274288</v>
      </c>
      <c r="AJ107">
        <f t="shared" ca="1" si="3"/>
        <v>0.87175984476583268</v>
      </c>
    </row>
    <row r="108" spans="1:36" ht="15">
      <c r="A108" s="31" t="s">
        <v>146</v>
      </c>
      <c r="B108">
        <v>0.1024485696</v>
      </c>
      <c r="C108" t="s">
        <v>731</v>
      </c>
      <c r="D108" t="s">
        <v>272</v>
      </c>
      <c r="E108" s="116">
        <f>MATCH(F108,OtherTRA!$D$52:$D$56,0)</f>
        <v>5</v>
      </c>
      <c r="F108" t="str">
        <f t="shared" si="2"/>
        <v>TSHFO</v>
      </c>
      <c r="G108" s="22">
        <f ca="1">OFFSET(OtherTRA!J$51,$E108,0)</f>
        <v>4.5086140100000014</v>
      </c>
      <c r="H108" s="22">
        <f ca="1">OFFSET(OtherTRA!K$51,$E108,0)</f>
        <v>4.8159747836716882</v>
      </c>
      <c r="I108" s="22">
        <f ca="1">OFFSET(OtherTRA!L$51,$E108,0)</f>
        <v>5.123335557343375</v>
      </c>
      <c r="J108" s="22">
        <f ca="1">OFFSET(OtherTRA!M$51,$E108,0)</f>
        <v>4.849247646868216</v>
      </c>
      <c r="K108" s="22">
        <f ca="1">OFFSET(OtherTRA!N$51,$E108,0)</f>
        <v>4.6034291463638564</v>
      </c>
      <c r="L108" s="22">
        <f ca="1">OFFSET(OtherTRA!O$51,$E108,0)</f>
        <v>4.8936594635924955</v>
      </c>
      <c r="M108" s="22">
        <f ca="1">OFFSET(OtherTRA!P$51,$E108,0)</f>
        <v>5.1838897808211346</v>
      </c>
      <c r="N108" s="22">
        <f ca="1">OFFSET(OtherTRA!Q$51,$E108,0)</f>
        <v>5.4741200980497737</v>
      </c>
      <c r="O108" s="22">
        <f ca="1">OFFSET(OtherTRA!R$51,$E108,0)</f>
        <v>5.7643504152784129</v>
      </c>
      <c r="P108" s="22">
        <f ca="1">OFFSET(OtherTRA!S$51,$E108,0)</f>
        <v>6.054580732507052</v>
      </c>
      <c r="Q108" s="22">
        <f ca="1">OFFSET(OtherTRA!T$51,$E108,0)</f>
        <v>6.3448110497356911</v>
      </c>
      <c r="R108" s="22">
        <f ca="1">OFFSET(OtherTRA!U$51,$E108,0)</f>
        <v>6.6350413669643302</v>
      </c>
      <c r="S108" s="22">
        <f ca="1">OFFSET(OtherTRA!V$51,$E108,0)</f>
        <v>6.9252716841929693</v>
      </c>
      <c r="T108" s="22">
        <f ca="1">OFFSET(OtherTRA!W$51,$E108,0)</f>
        <v>7.2155020014216085</v>
      </c>
      <c r="U108" s="22">
        <f ca="1">OFFSET(OtherTRA!X$51,$E108,0)</f>
        <v>7.4493050003404537</v>
      </c>
      <c r="V108" s="22">
        <f ca="1">OFFSET(OtherTRA!Y$51,$E108,0)</f>
        <v>7.683107999259299</v>
      </c>
      <c r="W108" s="22">
        <f ca="1">OFFSET(OtherTRA!Z$51,$E108,0)</f>
        <v>7.9169109981781443</v>
      </c>
      <c r="X108" s="22">
        <f ca="1">OFFSET(OtherTRA!AA$51,$E108,0)</f>
        <v>8.1507139970969895</v>
      </c>
      <c r="Y108" s="22">
        <f ca="1">OFFSET(OtherTRA!AB$51,$E108,0)</f>
        <v>8.3845169960158348</v>
      </c>
      <c r="Z108" s="22">
        <f ca="1">OFFSET(OtherTRA!AC$51,$E108,0)</f>
        <v>8.61831999493468</v>
      </c>
      <c r="AA108" s="22">
        <f ca="1">OFFSET(OtherTRA!AD$51,$E108,0)</f>
        <v>8.8521229938535253</v>
      </c>
      <c r="AB108" s="22">
        <f ca="1">OFFSET(OtherTRA!AE$51,$E108,0)</f>
        <v>9.0859259927723706</v>
      </c>
      <c r="AC108" s="22">
        <f ca="1">OFFSET(OtherTRA!AF$51,$E108,0)</f>
        <v>9.3197289916912158</v>
      </c>
      <c r="AD108" s="22">
        <f ca="1">OFFSET(OtherTRA!AG$51,$E108,0)</f>
        <v>9.5535319906100611</v>
      </c>
      <c r="AE108" s="22">
        <f ca="1">OFFSET(OtherTRA!AH$51,$E108,0)</f>
        <v>9.776318409672351</v>
      </c>
      <c r="AF108" s="22">
        <f ca="1">OFFSET(OtherTRA!AI$51,$E108,0)</f>
        <v>9.9991048287346409</v>
      </c>
      <c r="AG108" s="22">
        <f ca="1">OFFSET(OtherTRA!AJ$51,$E108,0)</f>
        <v>10.221891247796931</v>
      </c>
      <c r="AH108" s="22">
        <f ca="1">OFFSET(OtherTRA!AK$51,$E108,0)</f>
        <v>10.444677666859221</v>
      </c>
      <c r="AJ108">
        <f t="shared" ca="1" si="3"/>
        <v>2.3166049796441142</v>
      </c>
    </row>
    <row r="109" spans="1:36" ht="15">
      <c r="A109" s="31" t="s">
        <v>225</v>
      </c>
      <c r="B109">
        <v>82.184767358499997</v>
      </c>
      <c r="C109" t="s">
        <v>731</v>
      </c>
      <c r="D109" t="s">
        <v>272</v>
      </c>
      <c r="E109" s="113">
        <f>MATCH(F109,COM!$D$248:$D$266,0)</f>
        <v>1</v>
      </c>
      <c r="F109" t="str">
        <f t="shared" si="2"/>
        <v>CEC</v>
      </c>
      <c r="G109" s="22">
        <f ca="1">OFFSET(COM!Q$247,$E109,0)</f>
        <v>128.41271933541799</v>
      </c>
      <c r="H109" s="22">
        <f ca="1">OFFSET(COM!R$247,$E109,0)</f>
        <v>127.5701706714746</v>
      </c>
      <c r="I109" s="22">
        <f ca="1">OFFSET(COM!S$247,$E109,0)</f>
        <v>126.6952018486339</v>
      </c>
      <c r="J109" s="168">
        <f ca="1">OFFSET(COM!T$247,$E109,0)</f>
        <v>125.66790009395055</v>
      </c>
      <c r="K109" s="22">
        <f ca="1">OFFSET(COM!U$247,$E109,0)</f>
        <v>125.04683088168406</v>
      </c>
      <c r="L109" s="22">
        <f ca="1">OFFSET(COM!V$247,$E109,0)</f>
        <v>124.46090848607453</v>
      </c>
      <c r="M109" s="22">
        <f ca="1">OFFSET(COM!W$247,$E109,0)</f>
        <v>123.57348176944934</v>
      </c>
      <c r="N109" s="22">
        <f ca="1">OFFSET(COM!X$247,$E109,0)</f>
        <v>122.74490189029254</v>
      </c>
      <c r="O109" s="168">
        <f ca="1">OFFSET(COM!Y$247,$E109,0)</f>
        <v>121.91684967074497</v>
      </c>
      <c r="P109" s="22">
        <f ca="1">OFFSET(COM!Z$247,$E109,0)</f>
        <v>121.1242402905112</v>
      </c>
      <c r="Q109" s="22">
        <f ca="1">OFFSET(COM!AA$247,$E109,0)</f>
        <v>120.40504624837382</v>
      </c>
      <c r="R109" s="22">
        <f ca="1">OFFSET(COM!AB$247,$E109,0)</f>
        <v>119.72304039572687</v>
      </c>
      <c r="S109" s="22">
        <f ca="1">OFFSET(COM!AC$247,$E109,0)</f>
        <v>119.09148580670833</v>
      </c>
      <c r="T109" s="22">
        <f ca="1">OFFSET(COM!AD$247,$E109,0)</f>
        <v>118.50275481823935</v>
      </c>
      <c r="U109" s="22">
        <f ca="1">OFFSET(COM!AE$247,$E109,0)</f>
        <v>117.94537970515583</v>
      </c>
      <c r="V109" s="22">
        <f ca="1">OFFSET(COM!AF$247,$E109,0)</f>
        <v>117.4049072940564</v>
      </c>
      <c r="W109" s="22">
        <f ca="1">OFFSET(COM!AG$247,$E109,0)</f>
        <v>116.8786863206176</v>
      </c>
      <c r="X109" s="22">
        <f ca="1">OFFSET(COM!AH$247,$E109,0)</f>
        <v>116.35424163123227</v>
      </c>
      <c r="Y109" s="22">
        <f ca="1">OFFSET(COM!AI$247,$E109,0)</f>
        <v>115.82650360879785</v>
      </c>
      <c r="Z109" s="22">
        <f ca="1">OFFSET(COM!AJ$247,$E109,0)</f>
        <v>115.29257321403338</v>
      </c>
      <c r="AA109" s="22">
        <f ca="1">OFFSET(COM!AK$247,$E109,0)</f>
        <v>114.76995603388403</v>
      </c>
      <c r="AB109" s="22">
        <f ca="1">OFFSET(COM!AL$247,$E109,0)</f>
        <v>114.2591761096715</v>
      </c>
      <c r="AC109" s="22">
        <f ca="1">OFFSET(COM!AM$247,$E109,0)</f>
        <v>113.77077471765489</v>
      </c>
      <c r="AD109" s="22">
        <f ca="1">OFFSET(COM!AN$247,$E109,0)</f>
        <v>113.2916781646434</v>
      </c>
      <c r="AE109" s="22">
        <f ca="1">OFFSET(COM!AO$247,$E109,0)</f>
        <v>110.83001027993558</v>
      </c>
      <c r="AF109" s="22">
        <f ca="1">OFFSET(COM!AP$247,$E109,0)</f>
        <v>108.24329939847203</v>
      </c>
      <c r="AG109" s="22">
        <f ca="1">OFFSET(COM!AQ$247,$E109,0)</f>
        <v>102.80088175693157</v>
      </c>
      <c r="AH109" s="22">
        <f ca="1">OFFSET(COM!AR$247,$E109,0)</f>
        <v>94.247036844664308</v>
      </c>
      <c r="AJ109">
        <f t="shared" ca="1" si="3"/>
        <v>0.73393848625297109</v>
      </c>
    </row>
    <row r="110" spans="1:36" ht="15">
      <c r="A110" s="31" t="s">
        <v>231</v>
      </c>
      <c r="B110">
        <v>9.1664843454099998</v>
      </c>
      <c r="C110" t="s">
        <v>731</v>
      </c>
      <c r="D110" t="s">
        <v>272</v>
      </c>
      <c r="E110" s="113">
        <f>MATCH(F110,COM!$D$248:$D$266,0)</f>
        <v>7</v>
      </c>
      <c r="F110" t="str">
        <f t="shared" si="2"/>
        <v>CEG</v>
      </c>
      <c r="G110" s="22">
        <f ca="1">OFFSET(COM!Q$247,$E110,0)</f>
        <v>9.4707173671475111</v>
      </c>
      <c r="H110" s="22">
        <f ca="1">OFFSET(COM!R$247,$E110,0)</f>
        <v>9.5388470786807869</v>
      </c>
      <c r="I110" s="22">
        <f ca="1">OFFSET(COM!S$247,$E110,0)</f>
        <v>9.5950215040281002</v>
      </c>
      <c r="J110" s="168">
        <f ca="1">OFFSET(COM!T$247,$E110,0)</f>
        <v>9.5950215040281002</v>
      </c>
      <c r="K110" s="22">
        <f ca="1">OFFSET(COM!U$247,$E110,0)</f>
        <v>9.7448241721157629</v>
      </c>
      <c r="L110" s="22">
        <f ca="1">OFFSET(COM!V$247,$E110,0)</f>
        <v>9.9075876110926409</v>
      </c>
      <c r="M110" s="22">
        <f ca="1">OFFSET(COM!W$247,$E110,0)</f>
        <v>9.959168052618363</v>
      </c>
      <c r="N110" s="22">
        <f ca="1">OFFSET(COM!X$247,$E110,0)</f>
        <v>10.032448905462278</v>
      </c>
      <c r="O110" s="168">
        <f ca="1">OFFSET(COM!Y$247,$E110,0)</f>
        <v>10.105924338525785</v>
      </c>
      <c r="P110" s="22">
        <f ca="1">OFFSET(COM!Z$247,$E110,0)</f>
        <v>10.19246970405265</v>
      </c>
      <c r="Q110" s="22">
        <f ca="1">OFFSET(COM!AA$247,$E110,0)</f>
        <v>10.306087773947247</v>
      </c>
      <c r="R110" s="22">
        <f ca="1">OFFSET(COM!AB$247,$E110,0)</f>
        <v>10.433419393164771</v>
      </c>
      <c r="S110" s="22">
        <f ca="1">OFFSET(COM!AC$247,$E110,0)</f>
        <v>10.579355464539107</v>
      </c>
      <c r="T110" s="22">
        <f ca="1">OFFSET(COM!AD$247,$E110,0)</f>
        <v>10.741083204353581</v>
      </c>
      <c r="U110" s="22">
        <f ca="1">OFFSET(COM!AE$247,$E110,0)</f>
        <v>10.914373764234176</v>
      </c>
      <c r="V110" s="22">
        <f ca="1">OFFSET(COM!AF$247,$E110,0)</f>
        <v>11.093897379300451</v>
      </c>
      <c r="W110" s="22">
        <f ca="1">OFFSET(COM!AG$247,$E110,0)</f>
        <v>11.278676366998749</v>
      </c>
      <c r="X110" s="22">
        <f ca="1">OFFSET(COM!AH$247,$E110,0)</f>
        <v>11.464110378760111</v>
      </c>
      <c r="Y110" s="22">
        <f ca="1">OFFSET(COM!AI$247,$E110,0)</f>
        <v>11.648329938142265</v>
      </c>
      <c r="Z110" s="22">
        <f ca="1">OFFSET(COM!AJ$247,$E110,0)</f>
        <v>11.830265992881198</v>
      </c>
      <c r="AA110" s="22">
        <f ca="1">OFFSET(COM!AK$247,$E110,0)</f>
        <v>12.016373918548817</v>
      </c>
      <c r="AB110" s="22">
        <f ca="1">OFFSET(COM!AL$247,$E110,0)</f>
        <v>12.20684696108183</v>
      </c>
      <c r="AC110" s="22">
        <f ca="1">OFFSET(COM!AM$247,$E110,0)</f>
        <v>12.405572330744729</v>
      </c>
      <c r="AD110" s="22">
        <f ca="1">OFFSET(COM!AN$247,$E110,0)</f>
        <v>12.6077289609876</v>
      </c>
      <c r="AE110" s="22">
        <f ca="1">OFFSET(COM!AO$247,$E110,0)</f>
        <v>13.594105629520019</v>
      </c>
      <c r="AF110" s="22">
        <f ca="1">OFFSET(COM!AP$247,$E110,0)</f>
        <v>14.534371333066121</v>
      </c>
      <c r="AG110" s="22">
        <f ca="1">OFFSET(COM!AQ$247,$E110,0)</f>
        <v>16.315707584395749</v>
      </c>
      <c r="AH110" s="22">
        <f ca="1">OFFSET(COM!AR$247,$E110,0)</f>
        <v>16.949671190632543</v>
      </c>
      <c r="AJ110">
        <f t="shared" ca="1" si="3"/>
        <v>1.7896924312648579</v>
      </c>
    </row>
    <row r="111" spans="1:36" ht="15">
      <c r="A111" s="31" t="s">
        <v>226</v>
      </c>
      <c r="B111">
        <v>29.897246584059999</v>
      </c>
      <c r="C111" t="s">
        <v>731</v>
      </c>
      <c r="D111" t="s">
        <v>272</v>
      </c>
      <c r="E111" s="113">
        <f>MATCH(F111,COM!$D$248:$D$266,0)</f>
        <v>2</v>
      </c>
      <c r="F111" t="str">
        <f t="shared" si="2"/>
        <v>CEH</v>
      </c>
      <c r="G111" s="22">
        <f ca="1">OFFSET(COM!Q$247,$E111,0)</f>
        <v>11.992907577983001</v>
      </c>
      <c r="H111" s="22">
        <f ca="1">OFFSET(COM!R$247,$E111,0)</f>
        <v>11.914219046901959</v>
      </c>
      <c r="I111" s="22">
        <f ca="1">OFFSET(COM!S$247,$E111,0)</f>
        <v>11.832502685156392</v>
      </c>
      <c r="J111" s="168">
        <f ca="1">OFFSET(COM!T$247,$E111,0)</f>
        <v>11.736559424532528</v>
      </c>
      <c r="K111" s="22">
        <f ca="1">OFFSET(COM!U$247,$E111,0)</f>
        <v>11.678555624747027</v>
      </c>
      <c r="L111" s="22">
        <f ca="1">OFFSET(COM!V$247,$E111,0)</f>
        <v>11.623834307615967</v>
      </c>
      <c r="M111" s="22">
        <f ca="1">OFFSET(COM!W$247,$E111,0)</f>
        <v>11.540954460122673</v>
      </c>
      <c r="N111" s="22">
        <f ca="1">OFFSET(COM!X$247,$E111,0)</f>
        <v>11.463570522120801</v>
      </c>
      <c r="O111" s="168">
        <f ca="1">OFFSET(COM!Y$247,$E111,0)</f>
        <v>11.386235864073116</v>
      </c>
      <c r="P111" s="22">
        <f ca="1">OFFSET(COM!Z$247,$E111,0)</f>
        <v>11.312211335258668</v>
      </c>
      <c r="Q111" s="22">
        <f ca="1">OFFSET(COM!AA$247,$E111,0)</f>
        <v>11.245043318549513</v>
      </c>
      <c r="R111" s="22">
        <f ca="1">OFFSET(COM!AB$247,$E111,0)</f>
        <v>11.181348435357499</v>
      </c>
      <c r="S111" s="22">
        <f ca="1">OFFSET(COM!AC$247,$E111,0)</f>
        <v>11.122365370005801</v>
      </c>
      <c r="T111" s="22">
        <f ca="1">OFFSET(COM!AD$247,$E111,0)</f>
        <v>11.06738174868274</v>
      </c>
      <c r="U111" s="22">
        <f ca="1">OFFSET(COM!AE$247,$E111,0)</f>
        <v>11.015326560909493</v>
      </c>
      <c r="V111" s="22">
        <f ca="1">OFFSET(COM!AF$247,$E111,0)</f>
        <v>10.964849974880389</v>
      </c>
      <c r="W111" s="22">
        <f ca="1">OFFSET(COM!AG$247,$E111,0)</f>
        <v>10.915704379859049</v>
      </c>
      <c r="X111" s="22">
        <f ca="1">OFFSET(COM!AH$247,$E111,0)</f>
        <v>10.866724678143257</v>
      </c>
      <c r="Y111" s="22">
        <f ca="1">OFFSET(COM!AI$247,$E111,0)</f>
        <v>10.817437400674182</v>
      </c>
      <c r="Z111" s="22">
        <f ca="1">OFFSET(COM!AJ$247,$E111,0)</f>
        <v>10.767571796155982</v>
      </c>
      <c r="AA111" s="22">
        <f ca="1">OFFSET(COM!AK$247,$E111,0)</f>
        <v>10.718762771842544</v>
      </c>
      <c r="AB111" s="22">
        <f ca="1">OFFSET(COM!AL$247,$E111,0)</f>
        <v>10.671059269763678</v>
      </c>
      <c r="AC111" s="22">
        <f ca="1">OFFSET(COM!AM$247,$E111,0)</f>
        <v>10.625445776133706</v>
      </c>
      <c r="AD111" s="22">
        <f ca="1">OFFSET(COM!AN$247,$E111,0)</f>
        <v>10.580701293570504</v>
      </c>
      <c r="AE111" s="22">
        <f ca="1">OFFSET(COM!AO$247,$E111,0)</f>
        <v>10.35079762373328</v>
      </c>
      <c r="AF111" s="22">
        <f ca="1">OFFSET(COM!AP$247,$E111,0)</f>
        <v>10.109215756353581</v>
      </c>
      <c r="AG111" s="22">
        <f ca="1">OFFSET(COM!AQ$247,$E111,0)</f>
        <v>9.6009295669980652</v>
      </c>
      <c r="AH111" s="22">
        <f ca="1">OFFSET(COM!AR$247,$E111,0)</f>
        <v>8.8020564335566309</v>
      </c>
      <c r="AJ111">
        <f t="shared" ca="1" si="3"/>
        <v>0.7339384862529712</v>
      </c>
    </row>
    <row r="112" spans="1:36" ht="15">
      <c r="A112" s="31" t="s">
        <v>227</v>
      </c>
      <c r="B112">
        <v>0.29916376652240001</v>
      </c>
      <c r="C112" t="s">
        <v>731</v>
      </c>
      <c r="D112" t="s">
        <v>272</v>
      </c>
      <c r="E112" s="113">
        <f>MATCH(F112,COM!$D$248:$D$266,0)</f>
        <v>3</v>
      </c>
      <c r="F112" t="str">
        <f t="shared" si="2"/>
        <v>CEK</v>
      </c>
      <c r="G112" s="22">
        <f ca="1">OFFSET(COM!Q$247,$E112,0)</f>
        <v>8.9629891158025892</v>
      </c>
      <c r="H112" s="22">
        <f ca="1">OFFSET(COM!R$247,$E112,0)</f>
        <v>8.904180653965307</v>
      </c>
      <c r="I112" s="22">
        <f ca="1">OFFSET(COM!S$247,$E112,0)</f>
        <v>8.8431093202502762</v>
      </c>
      <c r="J112" s="168">
        <f ca="1">OFFSET(COM!T$247,$E112,0)</f>
        <v>8.7714054073238561</v>
      </c>
      <c r="K112" s="22">
        <f ca="1">OFFSET(COM!U$247,$E112,0)</f>
        <v>8.7280558340221273</v>
      </c>
      <c r="L112" s="22">
        <f ca="1">OFFSET(COM!V$247,$E112,0)</f>
        <v>8.6871594486661294</v>
      </c>
      <c r="M112" s="22">
        <f ca="1">OFFSET(COM!W$247,$E112,0)</f>
        <v>8.6252185751814103</v>
      </c>
      <c r="N112" s="22">
        <f ca="1">OFFSET(COM!X$247,$E112,0)</f>
        <v>8.5673851107326335</v>
      </c>
      <c r="O112" s="168">
        <f ca="1">OFFSET(COM!Y$247,$E112,0)</f>
        <v>8.5095884760259484</v>
      </c>
      <c r="P112" s="22">
        <f ca="1">OFFSET(COM!Z$247,$E112,0)</f>
        <v>8.4542656911422949</v>
      </c>
      <c r="Q112" s="22">
        <f ca="1">OFFSET(COM!AA$247,$E112,0)</f>
        <v>8.404067171827478</v>
      </c>
      <c r="R112" s="22">
        <f ca="1">OFFSET(COM!AB$247,$E112,0)</f>
        <v>8.3564643248055894</v>
      </c>
      <c r="S112" s="22">
        <f ca="1">OFFSET(COM!AC$247,$E112,0)</f>
        <v>8.3123828900637378</v>
      </c>
      <c r="T112" s="22">
        <f ca="1">OFFSET(COM!AD$247,$E112,0)</f>
        <v>8.2712904697093315</v>
      </c>
      <c r="U112" s="22">
        <f ca="1">OFFSET(COM!AE$247,$E112,0)</f>
        <v>8.2323866360560807</v>
      </c>
      <c r="V112" s="22">
        <f ca="1">OFFSET(COM!AF$247,$E112,0)</f>
        <v>8.1946625822151002</v>
      </c>
      <c r="W112" s="22">
        <f ca="1">OFFSET(COM!AG$247,$E112,0)</f>
        <v>8.1579332544518657</v>
      </c>
      <c r="X112" s="22">
        <f ca="1">OFFSET(COM!AH$247,$E112,0)</f>
        <v>8.1213279082904535</v>
      </c>
      <c r="Y112" s="22">
        <f ca="1">OFFSET(COM!AI$247,$E112,0)</f>
        <v>8.0844926930909402</v>
      </c>
      <c r="Z112" s="22">
        <f ca="1">OFFSET(COM!AJ$247,$E112,0)</f>
        <v>8.0472252608487338</v>
      </c>
      <c r="AA112" s="22">
        <f ca="1">OFFSET(COM!AK$247,$E112,0)</f>
        <v>8.0107474717196467</v>
      </c>
      <c r="AB112" s="22">
        <f ca="1">OFFSET(COM!AL$247,$E112,0)</f>
        <v>7.9750959028954629</v>
      </c>
      <c r="AC112" s="22">
        <f ca="1">OFFSET(COM!AM$247,$E112,0)</f>
        <v>7.9410063175067007</v>
      </c>
      <c r="AD112" s="22">
        <f ca="1">OFFSET(COM!AN$247,$E112,0)</f>
        <v>7.9075661940338549</v>
      </c>
      <c r="AE112" s="22">
        <f ca="1">OFFSET(COM!AO$247,$E112,0)</f>
        <v>7.7357459680348581</v>
      </c>
      <c r="AF112" s="22">
        <f ca="1">OFFSET(COM!AP$247,$E112,0)</f>
        <v>7.555197953817304</v>
      </c>
      <c r="AG112" s="22">
        <f ca="1">OFFSET(COM!AQ$247,$E112,0)</f>
        <v>7.1753264711695177</v>
      </c>
      <c r="AH112" s="22">
        <f ca="1">OFFSET(COM!AR$247,$E112,0)</f>
        <v>6.578282663954008</v>
      </c>
      <c r="AJ112">
        <f t="shared" ca="1" si="3"/>
        <v>0.73393848625297109</v>
      </c>
    </row>
    <row r="113" spans="1:36" ht="15">
      <c r="A113" s="31" t="s">
        <v>228</v>
      </c>
      <c r="B113">
        <v>177.48088542799999</v>
      </c>
      <c r="C113" t="s">
        <v>731</v>
      </c>
      <c r="D113" t="s">
        <v>272</v>
      </c>
      <c r="E113" s="113">
        <f>MATCH(F113,COM!$D$248:$D$266,0)</f>
        <v>4</v>
      </c>
      <c r="F113" t="str">
        <f t="shared" si="2"/>
        <v>CEL</v>
      </c>
      <c r="G113" s="22">
        <f ca="1">OFFSET(COM!Q$247,$E113,0)</f>
        <v>111.748716602955</v>
      </c>
      <c r="H113" s="22">
        <f ca="1">OFFSET(COM!R$247,$E113,0)</f>
        <v>111.01550471897272</v>
      </c>
      <c r="I113" s="22">
        <f ca="1">OFFSET(COM!S$247,$E113,0)</f>
        <v>110.25407981086335</v>
      </c>
      <c r="J113" s="168">
        <f ca="1">OFFSET(COM!T$247,$E113,0)</f>
        <v>109.3600900780397</v>
      </c>
      <c r="K113" s="22">
        <f ca="1">OFFSET(COM!U$247,$E113,0)</f>
        <v>108.81961645711196</v>
      </c>
      <c r="L113" s="22">
        <f ca="1">OFFSET(COM!V$247,$E113,0)</f>
        <v>108.30972868215358</v>
      </c>
      <c r="M113" s="22">
        <f ca="1">OFFSET(COM!W$247,$E113,0)</f>
        <v>107.53746252989646</v>
      </c>
      <c r="N113" s="22">
        <f ca="1">OFFSET(COM!X$247,$E113,0)</f>
        <v>106.81640671410182</v>
      </c>
      <c r="O113" s="168">
        <f ca="1">OFFSET(COM!Y$247,$E113,0)</f>
        <v>106.09581008400501</v>
      </c>
      <c r="P113" s="22">
        <f ca="1">OFFSET(COM!Z$247,$E113,0)</f>
        <v>105.40605690794125</v>
      </c>
      <c r="Q113" s="22">
        <f ca="1">OFFSET(COM!AA$247,$E113,0)</f>
        <v>104.78019202778546</v>
      </c>
      <c r="R113" s="22">
        <f ca="1">OFFSET(COM!AB$247,$E113,0)</f>
        <v>104.1866894593216</v>
      </c>
      <c r="S113" s="22">
        <f ca="1">OFFSET(COM!AC$247,$E113,0)</f>
        <v>103.63709113952289</v>
      </c>
      <c r="T113" s="22">
        <f ca="1">OFFSET(COM!AD$247,$E113,0)</f>
        <v>103.12475924026646</v>
      </c>
      <c r="U113" s="22">
        <f ca="1">OFFSET(COM!AE$247,$E113,0)</f>
        <v>102.63971419273642</v>
      </c>
      <c r="V113" s="22">
        <f ca="1">OFFSET(COM!AF$247,$E113,0)</f>
        <v>102.16937839880381</v>
      </c>
      <c r="W113" s="22">
        <f ca="1">OFFSET(COM!AG$247,$E113,0)</f>
        <v>101.71144464632449</v>
      </c>
      <c r="X113" s="22">
        <f ca="1">OFFSET(COM!AH$247,$E113,0)</f>
        <v>101.25505667111958</v>
      </c>
      <c r="Y113" s="22">
        <f ca="1">OFFSET(COM!AI$247,$E113,0)</f>
        <v>100.7958027357241</v>
      </c>
      <c r="Z113" s="22">
        <f ca="1">OFFSET(COM!AJ$247,$E113,0)</f>
        <v>100.33116000656898</v>
      </c>
      <c r="AA113" s="22">
        <f ca="1">OFFSET(COM!AK$247,$E113,0)</f>
        <v>99.876362386375305</v>
      </c>
      <c r="AB113" s="22">
        <f ca="1">OFFSET(COM!AL$247,$E113,0)</f>
        <v>99.43186591209529</v>
      </c>
      <c r="AC113" s="22">
        <f ca="1">OFFSET(COM!AM$247,$E113,0)</f>
        <v>99.006843928078297</v>
      </c>
      <c r="AD113" s="22">
        <f ca="1">OFFSET(COM!AN$247,$E113,0)</f>
        <v>98.589919302503731</v>
      </c>
      <c r="AE113" s="22">
        <f ca="1">OFFSET(COM!AO$247,$E113,0)</f>
        <v>96.447699838244347</v>
      </c>
      <c r="AF113" s="22">
        <f ca="1">OFFSET(COM!AP$247,$E113,0)</f>
        <v>94.196664094102729</v>
      </c>
      <c r="AG113" s="22">
        <f ca="1">OFFSET(COM!AQ$247,$E113,0)</f>
        <v>89.460504079682096</v>
      </c>
      <c r="AH113" s="22">
        <f ca="1">OFFSET(COM!AR$247,$E113,0)</f>
        <v>82.016683904285046</v>
      </c>
      <c r="AJ113">
        <f t="shared" ca="1" si="3"/>
        <v>0.73393848625297109</v>
      </c>
    </row>
    <row r="114" spans="1:36" ht="15">
      <c r="A114" s="31" t="s">
        <v>233</v>
      </c>
      <c r="B114">
        <v>30.831061307799999</v>
      </c>
      <c r="C114" t="s">
        <v>731</v>
      </c>
      <c r="D114" t="s">
        <v>272</v>
      </c>
      <c r="E114" s="113">
        <f>MATCH(F114,COM!$D$248:$D$266,0)</f>
        <v>9</v>
      </c>
      <c r="F114" t="str">
        <f t="shared" si="2"/>
        <v>CEO</v>
      </c>
      <c r="G114" s="22">
        <f ca="1">OFFSET(COM!Q$247,$E114,0)</f>
        <v>20.198960613823004</v>
      </c>
      <c r="H114" s="22">
        <f ca="1">OFFSET(COM!R$247,$E114,0)</f>
        <v>20.066430071939777</v>
      </c>
      <c r="I114" s="22">
        <f ca="1">OFFSET(COM!S$247,$E114,0)</f>
        <v>19.928799929985388</v>
      </c>
      <c r="J114" s="168">
        <f ca="1">OFFSET(COM!T$247,$E114,0)</f>
        <v>19.767208245074805</v>
      </c>
      <c r="K114" s="22">
        <f ca="1">OFFSET(COM!U$247,$E114,0)</f>
        <v>19.669515799794041</v>
      </c>
      <c r="L114" s="22">
        <f ca="1">OFFSET(COM!V$247,$E114,0)</f>
        <v>19.577351850203037</v>
      </c>
      <c r="M114" s="22">
        <f ca="1">OFFSET(COM!W$247,$E114,0)</f>
        <v>19.43776211649492</v>
      </c>
      <c r="N114" s="22">
        <f ca="1">OFFSET(COM!X$247,$E114,0)</f>
        <v>19.30742882528271</v>
      </c>
      <c r="O114" s="168">
        <f ca="1">OFFSET(COM!Y$247,$E114,0)</f>
        <v>19.177178533447194</v>
      </c>
      <c r="P114" s="22">
        <f ca="1">OFFSET(COM!Z$247,$E114,0)</f>
        <v>19.052503300835149</v>
      </c>
      <c r="Q114" s="22">
        <f ca="1">OFFSET(COM!AA$247,$E114,0)</f>
        <v>18.939376095009969</v>
      </c>
      <c r="R114" s="22">
        <f ca="1">OFFSET(COM!AB$247,$E114,0)</f>
        <v>18.832098487096147</v>
      </c>
      <c r="S114" s="22">
        <f ca="1">OFFSET(COM!AC$247,$E114,0)</f>
        <v>18.73275672145887</v>
      </c>
      <c r="T114" s="22">
        <f ca="1">OFFSET(COM!AD$247,$E114,0)</f>
        <v>18.640150988087861</v>
      </c>
      <c r="U114" s="22">
        <f ca="1">OFFSET(COM!AE$247,$E114,0)</f>
        <v>18.552477445976415</v>
      </c>
      <c r="V114" s="22">
        <f ca="1">OFFSET(COM!AF$247,$E114,0)</f>
        <v>18.467462651482887</v>
      </c>
      <c r="W114" s="22">
        <f ca="1">OFFSET(COM!AG$247,$E114,0)</f>
        <v>18.384689568164763</v>
      </c>
      <c r="X114" s="22">
        <f ca="1">OFFSET(COM!AH$247,$E114,0)</f>
        <v>18.302195889346596</v>
      </c>
      <c r="Y114" s="22">
        <f ca="1">OFFSET(COM!AI$247,$E114,0)</f>
        <v>18.21918417847607</v>
      </c>
      <c r="Z114" s="22">
        <f ca="1">OFFSET(COM!AJ$247,$E114,0)</f>
        <v>18.135198424804738</v>
      </c>
      <c r="AA114" s="22">
        <f ca="1">OFFSET(COM!AK$247,$E114,0)</f>
        <v>18.052992208064083</v>
      </c>
      <c r="AB114" s="22">
        <f ca="1">OFFSET(COM!AL$247,$E114,0)</f>
        <v>17.97264795848433</v>
      </c>
      <c r="AC114" s="22">
        <f ca="1">OFFSET(COM!AM$247,$E114,0)</f>
        <v>17.895823789257665</v>
      </c>
      <c r="AD114" s="22">
        <f ca="1">OFFSET(COM!AN$247,$E114,0)</f>
        <v>17.820463245110787</v>
      </c>
      <c r="AE114" s="22">
        <f ca="1">OFFSET(COM!AO$247,$E114,0)</f>
        <v>17.433249790673706</v>
      </c>
      <c r="AF114" s="22">
        <f ca="1">OFFSET(COM!AP$247,$E114,0)</f>
        <v>17.026367423534094</v>
      </c>
      <c r="AG114" s="22">
        <f ca="1">OFFSET(COM!AQ$247,$E114,0)</f>
        <v>16.170290391956655</v>
      </c>
      <c r="AH114" s="22">
        <f ca="1">OFFSET(COM!AR$247,$E114,0)</f>
        <v>14.824794576792641</v>
      </c>
      <c r="AJ114">
        <f t="shared" ca="1" si="3"/>
        <v>0.7339384862529712</v>
      </c>
    </row>
    <row r="115" spans="1:36" ht="15">
      <c r="A115" s="31" t="s">
        <v>229</v>
      </c>
      <c r="B115">
        <v>7.3604096683640003</v>
      </c>
      <c r="C115" t="s">
        <v>731</v>
      </c>
      <c r="D115" t="s">
        <v>272</v>
      </c>
      <c r="E115" s="113">
        <f>MATCH(F115,COM!$D$248:$D$266,0)</f>
        <v>5</v>
      </c>
      <c r="F115" t="str">
        <f t="shared" si="2"/>
        <v>CER</v>
      </c>
      <c r="G115" s="22">
        <f ca="1">OFFSET(COM!Q$247,$E115,0)</f>
        <v>27.184456041138404</v>
      </c>
      <c r="H115" s="22">
        <f ca="1">OFFSET(COM!R$247,$E115,0)</f>
        <v>27.006091878802874</v>
      </c>
      <c r="I115" s="22">
        <f ca="1">OFFSET(COM!S$247,$E115,0)</f>
        <v>26.82086449926463</v>
      </c>
      <c r="J115" s="168">
        <f ca="1">OFFSET(COM!T$247,$E115,0)</f>
        <v>26.603388850935517</v>
      </c>
      <c r="K115" s="22">
        <f ca="1">OFFSET(COM!U$247,$E115,0)</f>
        <v>26.471910997442958</v>
      </c>
      <c r="L115" s="22">
        <f ca="1">OFFSET(COM!V$247,$E115,0)</f>
        <v>26.347873583630694</v>
      </c>
      <c r="M115" s="22">
        <f ca="1">OFFSET(COM!W$247,$E115,0)</f>
        <v>26.160008918100051</v>
      </c>
      <c r="N115" s="22">
        <f ca="1">OFFSET(COM!X$247,$E115,0)</f>
        <v>25.984601891303306</v>
      </c>
      <c r="O115" s="168">
        <f ca="1">OFFSET(COM!Y$247,$E115,0)</f>
        <v>25.809306567922913</v>
      </c>
      <c r="P115" s="22">
        <f ca="1">OFFSET(COM!Z$247,$E115,0)</f>
        <v>25.64151435102827</v>
      </c>
      <c r="Q115" s="22">
        <f ca="1">OFFSET(COM!AA$247,$E115,0)</f>
        <v>25.489263865837124</v>
      </c>
      <c r="R115" s="22">
        <f ca="1">OFFSET(COM!AB$247,$E115,0)</f>
        <v>25.344885970742066</v>
      </c>
      <c r="S115" s="22">
        <f ca="1">OFFSET(COM!AC$247,$E115,0)</f>
        <v>25.211188405176859</v>
      </c>
      <c r="T115" s="22">
        <f ca="1">OFFSET(COM!AD$247,$E115,0)</f>
        <v>25.08655642355604</v>
      </c>
      <c r="U115" s="22">
        <f ca="1">OFFSET(COM!AE$247,$E115,0)</f>
        <v>24.968562354600408</v>
      </c>
      <c r="V115" s="22">
        <f ca="1">OFFSET(COM!AF$247,$E115,0)</f>
        <v>24.854146519650264</v>
      </c>
      <c r="W115" s="22">
        <f ca="1">OFFSET(COM!AG$247,$E115,0)</f>
        <v>24.742747656715149</v>
      </c>
      <c r="X115" s="22">
        <f ca="1">OFFSET(COM!AH$247,$E115,0)</f>
        <v>24.63172482596763</v>
      </c>
      <c r="Y115" s="22">
        <f ca="1">OFFSET(COM!AI$247,$E115,0)</f>
        <v>24.520004809863678</v>
      </c>
      <c r="Z115" s="22">
        <f ca="1">OFFSET(COM!AJ$247,$E115,0)</f>
        <v>24.40697389345118</v>
      </c>
      <c r="AA115" s="22">
        <f ca="1">OFFSET(COM!AK$247,$E115,0)</f>
        <v>24.296337939056318</v>
      </c>
      <c r="AB115" s="22">
        <f ca="1">OFFSET(COM!AL$247,$E115,0)</f>
        <v>24.188207884118519</v>
      </c>
      <c r="AC115" s="22">
        <f ca="1">OFFSET(COM!AM$247,$E115,0)</f>
        <v>24.084815274411163</v>
      </c>
      <c r="AD115" s="22">
        <f ca="1">OFFSET(COM!AN$247,$E115,0)</f>
        <v>23.983392461685096</v>
      </c>
      <c r="AE115" s="22">
        <f ca="1">OFFSET(COM!AO$247,$E115,0)</f>
        <v>23.462267274506967</v>
      </c>
      <c r="AF115" s="22">
        <f ca="1">OFFSET(COM!AP$247,$E115,0)</f>
        <v>22.914670988000438</v>
      </c>
      <c r="AG115" s="22">
        <f ca="1">OFFSET(COM!AQ$247,$E115,0)</f>
        <v>21.76253306973453</v>
      </c>
      <c r="AH115" s="22">
        <f ca="1">OFFSET(COM!AR$247,$E115,0)</f>
        <v>19.951718516443556</v>
      </c>
      <c r="AJ115">
        <f t="shared" ca="1" si="3"/>
        <v>0.73393848625297109</v>
      </c>
    </row>
    <row r="116" spans="1:36" ht="15">
      <c r="A116" s="31" t="s">
        <v>232</v>
      </c>
      <c r="B116">
        <v>3.1678360284579998</v>
      </c>
      <c r="C116" t="s">
        <v>731</v>
      </c>
      <c r="D116" t="s">
        <v>272</v>
      </c>
      <c r="E116" s="113">
        <f>MATCH(F116,COM!$D$248:$D$266,0)</f>
        <v>8</v>
      </c>
      <c r="F116" t="str">
        <f t="shared" si="2"/>
        <v>CET</v>
      </c>
      <c r="G116" s="22">
        <f ca="1">OFFSET(COM!Q$247,$E116,0)</f>
        <v>3.2726019758762099</v>
      </c>
      <c r="H116" s="22">
        <f ca="1">OFFSET(COM!R$247,$E116,0)</f>
        <v>3.2961441659697601</v>
      </c>
      <c r="I116" s="22">
        <f ca="1">OFFSET(COM!S$247,$E116,0)</f>
        <v>3.3155552124891114</v>
      </c>
      <c r="J116" s="168">
        <f ca="1">OFFSET(COM!T$247,$E116,0)</f>
        <v>3.3155552124891114</v>
      </c>
      <c r="K116" s="22">
        <f ca="1">OFFSET(COM!U$247,$E116,0)</f>
        <v>3.3673194546864127</v>
      </c>
      <c r="L116" s="22">
        <f ca="1">OFFSET(COM!V$247,$E116,0)</f>
        <v>3.4235622852288867</v>
      </c>
      <c r="M116" s="22">
        <f ca="1">OFFSET(COM!W$247,$E116,0)</f>
        <v>3.4413858827780222</v>
      </c>
      <c r="N116" s="22">
        <f ca="1">OFFSET(COM!X$247,$E116,0)</f>
        <v>3.4667080473526704</v>
      </c>
      <c r="O116" s="168">
        <f ca="1">OFFSET(COM!Y$247,$E116,0)</f>
        <v>3.4920974490315868</v>
      </c>
      <c r="P116" s="22">
        <f ca="1">OFFSET(COM!Z$247,$E116,0)</f>
        <v>3.5220031597867845</v>
      </c>
      <c r="Q116" s="22">
        <f ca="1">OFFSET(COM!AA$247,$E116,0)</f>
        <v>3.561263830928985</v>
      </c>
      <c r="R116" s="22">
        <f ca="1">OFFSET(COM!AB$247,$E116,0)</f>
        <v>3.6052632126535706</v>
      </c>
      <c r="S116" s="22">
        <f ca="1">OFFSET(COM!AC$247,$E116,0)</f>
        <v>3.6556913541571854</v>
      </c>
      <c r="T116" s="22">
        <f ca="1">OFFSET(COM!AD$247,$E116,0)</f>
        <v>3.711576299336397</v>
      </c>
      <c r="U116" s="22">
        <f ca="1">OFFSET(COM!AE$247,$E116,0)</f>
        <v>3.7714567716048601</v>
      </c>
      <c r="V116" s="22">
        <f ca="1">OFFSET(COM!AF$247,$E116,0)</f>
        <v>3.8334910731901144</v>
      </c>
      <c r="W116" s="22">
        <f ca="1">OFFSET(COM!AG$247,$E116,0)</f>
        <v>3.8973413663410317</v>
      </c>
      <c r="X116" s="22">
        <f ca="1">OFFSET(COM!AH$247,$E116,0)</f>
        <v>3.9614180027519086</v>
      </c>
      <c r="Y116" s="22">
        <f ca="1">OFFSET(COM!AI$247,$E116,0)</f>
        <v>4.0250749857086978</v>
      </c>
      <c r="Z116" s="22">
        <f ca="1">OFFSET(COM!AJ$247,$E116,0)</f>
        <v>4.0879429046994105</v>
      </c>
      <c r="AA116" s="22">
        <f ca="1">OFFSET(COM!AK$247,$E116,0)</f>
        <v>4.1522524117467636</v>
      </c>
      <c r="AB116" s="22">
        <f ca="1">OFFSET(COM!AL$247,$E116,0)</f>
        <v>4.2180702828941996</v>
      </c>
      <c r="AC116" s="22">
        <f ca="1">OFFSET(COM!AM$247,$E116,0)</f>
        <v>4.2867397418384074</v>
      </c>
      <c r="AD116" s="22">
        <f ca="1">OFFSET(COM!AN$247,$E116,0)</f>
        <v>4.3565948712781486</v>
      </c>
      <c r="AE116" s="22">
        <f ca="1">OFFSET(COM!AO$247,$E116,0)</f>
        <v>4.697436869751769</v>
      </c>
      <c r="AF116" s="22">
        <f ca="1">OFFSET(COM!AP$247,$E116,0)</f>
        <v>5.0223452457474096</v>
      </c>
      <c r="AG116" s="22">
        <f ca="1">OFFSET(COM!AQ$247,$E116,0)</f>
        <v>5.6378851578583218</v>
      </c>
      <c r="AH116" s="22">
        <f ca="1">OFFSET(COM!AR$247,$E116,0)</f>
        <v>5.856950986768072</v>
      </c>
      <c r="AJ116">
        <f t="shared" ca="1" si="3"/>
        <v>1.7896924312648579</v>
      </c>
    </row>
    <row r="117" spans="1:36" ht="15">
      <c r="A117" s="31" t="s">
        <v>230</v>
      </c>
      <c r="B117">
        <v>31.577350492680001</v>
      </c>
      <c r="C117" t="s">
        <v>731</v>
      </c>
      <c r="D117" t="s">
        <v>272</v>
      </c>
      <c r="E117" s="113">
        <f>MATCH(F117,COM!$D$248:$D$266,0)</f>
        <v>6</v>
      </c>
      <c r="F117" t="str">
        <f t="shared" si="2"/>
        <v>CEW</v>
      </c>
      <c r="G117" s="22">
        <f ca="1">OFFSET(COM!Q$247,$E117,0)</f>
        <v>14.3921338097343</v>
      </c>
      <c r="H117" s="22">
        <f ca="1">OFFSET(COM!R$247,$E117,0)</f>
        <v>14.297703342289619</v>
      </c>
      <c r="I117" s="22">
        <f ca="1">OFFSET(COM!S$247,$E117,0)</f>
        <v>14.199639315277025</v>
      </c>
      <c r="J117" s="168">
        <f ca="1">OFFSET(COM!T$247,$E117,0)</f>
        <v>14.08450224479915</v>
      </c>
      <c r="K117" s="22">
        <f ca="1">OFFSET(COM!U$247,$E117,0)</f>
        <v>14.014894566881372</v>
      </c>
      <c r="L117" s="22">
        <f ca="1">OFFSET(COM!V$247,$E117,0)</f>
        <v>13.949226044609013</v>
      </c>
      <c r="M117" s="22">
        <f ca="1">OFFSET(COM!W$247,$E117,0)</f>
        <v>13.849765772152342</v>
      </c>
      <c r="N117" s="22">
        <f ca="1">OFFSET(COM!X$247,$E117,0)</f>
        <v>13.756900886535131</v>
      </c>
      <c r="O117" s="168">
        <f ca="1">OFFSET(COM!Y$247,$E117,0)</f>
        <v>13.664095139512147</v>
      </c>
      <c r="P117" s="22">
        <f ca="1">OFFSET(COM!Z$247,$E117,0)</f>
        <v>13.575261725515372</v>
      </c>
      <c r="Q117" s="22">
        <f ca="1">OFFSET(COM!AA$247,$E117,0)</f>
        <v>13.494656494638139</v>
      </c>
      <c r="R117" s="22">
        <f ca="1">OFFSET(COM!AB$247,$E117,0)</f>
        <v>13.418219210690602</v>
      </c>
      <c r="S117" s="22">
        <f ca="1">OFFSET(COM!AC$247,$E117,0)</f>
        <v>13.347436361449907</v>
      </c>
      <c r="T117" s="22">
        <f ca="1">OFFSET(COM!AD$247,$E117,0)</f>
        <v>13.281453060046166</v>
      </c>
      <c r="U117" s="22">
        <f ca="1">OFFSET(COM!AE$247,$E117,0)</f>
        <v>13.218984036329282</v>
      </c>
      <c r="V117" s="22">
        <f ca="1">OFFSET(COM!AF$247,$E117,0)</f>
        <v>13.158409419568033</v>
      </c>
      <c r="W117" s="22">
        <f ca="1">OFFSET(COM!AG$247,$E117,0)</f>
        <v>13.099432063567672</v>
      </c>
      <c r="X117" s="22">
        <f ca="1">OFFSET(COM!AH$247,$E117,0)</f>
        <v>13.040653788452079</v>
      </c>
      <c r="Y117" s="22">
        <f ca="1">OFFSET(COM!AI$247,$E117,0)</f>
        <v>12.981506405897852</v>
      </c>
      <c r="Z117" s="22">
        <f ca="1">OFFSET(COM!AJ$247,$E117,0)</f>
        <v>12.921664999794904</v>
      </c>
      <c r="AA117" s="22">
        <f ca="1">OFFSET(COM!AK$247,$E117,0)</f>
        <v>12.863091546737431</v>
      </c>
      <c r="AB117" s="22">
        <f ca="1">OFFSET(COM!AL$247,$E117,0)</f>
        <v>12.805844779792244</v>
      </c>
      <c r="AC117" s="22">
        <f ca="1">OFFSET(COM!AM$247,$E117,0)</f>
        <v>12.751106135340649</v>
      </c>
      <c r="AD117" s="22">
        <f ca="1">OFFSET(COM!AN$247,$E117,0)</f>
        <v>12.697410350885583</v>
      </c>
      <c r="AE117" s="22">
        <f ca="1">OFFSET(COM!AO$247,$E117,0)</f>
        <v>12.421513587892035</v>
      </c>
      <c r="AF117" s="22">
        <f ca="1">OFFSET(COM!AP$247,$E117,0)</f>
        <v>12.131602360049584</v>
      </c>
      <c r="AG117" s="22">
        <f ca="1">OFFSET(COM!AQ$247,$E117,0)</f>
        <v>11.521631608313427</v>
      </c>
      <c r="AH117" s="22">
        <f ca="1">OFFSET(COM!AR$247,$E117,0)</f>
        <v>10.562940902266599</v>
      </c>
      <c r="AJ117">
        <f t="shared" ca="1" si="3"/>
        <v>0.73393848625297109</v>
      </c>
    </row>
    <row r="118" spans="1:36" ht="15">
      <c r="A118" s="31" t="s">
        <v>234</v>
      </c>
      <c r="B118" t="s">
        <v>370</v>
      </c>
      <c r="C118" t="s">
        <v>731</v>
      </c>
      <c r="D118" t="s">
        <v>272</v>
      </c>
      <c r="E118" s="113">
        <f>MATCH(F118,COM!$D$248:$D$266,0)</f>
        <v>11</v>
      </c>
      <c r="F118" t="str">
        <f t="shared" si="2"/>
        <v>CNC</v>
      </c>
      <c r="G118" s="22">
        <f ca="1">OFFSET(COM!Q$247,$E118,0)</f>
        <v>0</v>
      </c>
      <c r="H118" s="22">
        <f ca="1">OFFSET(COM!R$247,$E118,0)</f>
        <v>1.7663141176431716</v>
      </c>
      <c r="I118" s="22">
        <f ca="1">OFFSET(COM!S$247,$E118,0)</f>
        <v>3.4029475996970713</v>
      </c>
      <c r="J118" s="168">
        <f ca="1">OFFSET(COM!T$247,$E118,0)</f>
        <v>4.4302493543804173</v>
      </c>
      <c r="K118" s="22">
        <f ca="1">OFFSET(COM!U$247,$E118,0)</f>
        <v>7.0824812787310929</v>
      </c>
      <c r="L118" s="22">
        <f ca="1">OFFSET(COM!V$247,$E118,0)</f>
        <v>9.8753004697098028</v>
      </c>
      <c r="M118" s="22">
        <f ca="1">OFFSET(COM!W$247,$E118,0)</f>
        <v>11.462102376625817</v>
      </c>
      <c r="N118" s="22">
        <f ca="1">OFFSET(COM!X$247,$E118,0)</f>
        <v>13.284291633415222</v>
      </c>
      <c r="O118" s="168">
        <f ca="1">OFFSET(COM!Y$247,$E118,0)</f>
        <v>15.108591528641714</v>
      </c>
      <c r="P118" s="22">
        <f ca="1">OFFSET(COM!Z$247,$E118,0)</f>
        <v>17.074662781123269</v>
      </c>
      <c r="Q118" s="22">
        <f ca="1">OFFSET(COM!AA$247,$E118,0)</f>
        <v>19.334395385990558</v>
      </c>
      <c r="R118" s="22">
        <f ca="1">OFFSET(COM!AB$247,$E118,0)</f>
        <v>21.742880748819449</v>
      </c>
      <c r="S118" s="22">
        <f ca="1">OFFSET(COM!AC$247,$E118,0)</f>
        <v>24.353171166162053</v>
      </c>
      <c r="T118" s="22">
        <f ca="1">OFFSET(COM!AD$247,$E118,0)</f>
        <v>27.134755985702849</v>
      </c>
      <c r="U118" s="22">
        <f ca="1">OFFSET(COM!AE$247,$E118,0)</f>
        <v>30.04176430678552</v>
      </c>
      <c r="V118" s="22">
        <f ca="1">OFFSET(COM!AF$247,$E118,0)</f>
        <v>33.016383435804478</v>
      </c>
      <c r="W118" s="22">
        <f ca="1">OFFSET(COM!AG$247,$E118,0)</f>
        <v>36.048008315466085</v>
      </c>
      <c r="X118" s="22">
        <f ca="1">OFFSET(COM!AH$247,$E118,0)</f>
        <v>39.086738331341422</v>
      </c>
      <c r="Y118" s="22">
        <f ca="1">OFFSET(COM!AI$247,$E118,0)</f>
        <v>42.112295015020457</v>
      </c>
      <c r="Z118" s="22">
        <f ca="1">OFFSET(COM!AJ$247,$E118,0)</f>
        <v>45.113082209379286</v>
      </c>
      <c r="AA118" s="22">
        <f ca="1">OFFSET(COM!AK$247,$E118,0)</f>
        <v>48.159122262198579</v>
      </c>
      <c r="AB118" s="22">
        <f ca="1">OFFSET(COM!AL$247,$E118,0)</f>
        <v>51.252511338765309</v>
      </c>
      <c r="AC118" s="22">
        <f ca="1">OFFSET(COM!AM$247,$E118,0)</f>
        <v>54.435414544115531</v>
      </c>
      <c r="AD118" s="22">
        <f ca="1">OFFSET(COM!AN$247,$E118,0)</f>
        <v>57.655537105486317</v>
      </c>
      <c r="AE118" s="22">
        <f ca="1">OFFSET(COM!AO$247,$E118,0)</f>
        <v>73.491409433738653</v>
      </c>
      <c r="AF118" s="22">
        <f ca="1">OFFSET(COM!AP$247,$E118,0)</f>
        <v>88.827109774968022</v>
      </c>
      <c r="AG118" s="22">
        <f ca="1">OFFSET(COM!AQ$247,$E118,0)</f>
        <v>118.42252694297348</v>
      </c>
      <c r="AH118" s="22">
        <f ca="1">OFFSET(COM!AR$247,$E118,0)</f>
        <v>135.5722350280717</v>
      </c>
      <c r="AJ118" t="e">
        <f t="shared" ca="1" si="3"/>
        <v>#DIV/0!</v>
      </c>
    </row>
    <row r="119" spans="1:36" ht="15">
      <c r="A119" s="31" t="s">
        <v>240</v>
      </c>
      <c r="B119" t="s">
        <v>370</v>
      </c>
      <c r="C119" t="s">
        <v>731</v>
      </c>
      <c r="D119" t="s">
        <v>272</v>
      </c>
      <c r="E119" s="113">
        <f>MATCH(F119,COM!$D$248:$D$266,0)</f>
        <v>17</v>
      </c>
      <c r="F119" t="str">
        <f t="shared" si="2"/>
        <v>CNG</v>
      </c>
      <c r="G119" s="22">
        <f ca="1">OFFSET(COM!Q$247,$E119,0)</f>
        <v>0</v>
      </c>
      <c r="H119" s="22">
        <f ca="1">OFFSET(COM!R$247,$E119,0)</f>
        <v>0</v>
      </c>
      <c r="I119" s="22">
        <f ca="1">OFFSET(COM!S$247,$E119,0)</f>
        <v>0</v>
      </c>
      <c r="J119" s="168">
        <f ca="1">OFFSET(COM!T$247,$E119,0)</f>
        <v>0</v>
      </c>
      <c r="K119" s="22">
        <f ca="1">OFFSET(COM!U$247,$E119,0)</f>
        <v>0</v>
      </c>
      <c r="L119" s="22">
        <f ca="1">OFFSET(COM!V$247,$E119,0)</f>
        <v>0</v>
      </c>
      <c r="M119" s="22">
        <f ca="1">OFFSET(COM!W$247,$E119,0)</f>
        <v>0</v>
      </c>
      <c r="N119" s="22">
        <f ca="1">OFFSET(COM!X$247,$E119,0)</f>
        <v>0</v>
      </c>
      <c r="O119" s="168">
        <f ca="1">OFFSET(COM!Y$247,$E119,0)</f>
        <v>0</v>
      </c>
      <c r="P119" s="22">
        <f ca="1">OFFSET(COM!Z$247,$E119,0)</f>
        <v>0</v>
      </c>
      <c r="Q119" s="22">
        <f ca="1">OFFSET(COM!AA$247,$E119,0)</f>
        <v>0</v>
      </c>
      <c r="R119" s="22">
        <f ca="1">OFFSET(COM!AB$247,$E119,0)</f>
        <v>0</v>
      </c>
      <c r="S119" s="22">
        <f ca="1">OFFSET(COM!AC$247,$E119,0)</f>
        <v>0</v>
      </c>
      <c r="T119" s="22">
        <f ca="1">OFFSET(COM!AD$247,$E119,0)</f>
        <v>0</v>
      </c>
      <c r="U119" s="22">
        <f ca="1">OFFSET(COM!AE$247,$E119,0)</f>
        <v>0</v>
      </c>
      <c r="V119" s="22">
        <f ca="1">OFFSET(COM!AF$247,$E119,0)</f>
        <v>0</v>
      </c>
      <c r="W119" s="22">
        <f ca="1">OFFSET(COM!AG$247,$E119,0)</f>
        <v>0</v>
      </c>
      <c r="X119" s="22">
        <f ca="1">OFFSET(COM!AH$247,$E119,0)</f>
        <v>0</v>
      </c>
      <c r="Y119" s="22">
        <f ca="1">OFFSET(COM!AI$247,$E119,0)</f>
        <v>0</v>
      </c>
      <c r="Z119" s="22">
        <f ca="1">OFFSET(COM!AJ$247,$E119,0)</f>
        <v>0</v>
      </c>
      <c r="AA119" s="22">
        <f ca="1">OFFSET(COM!AK$247,$E119,0)</f>
        <v>0</v>
      </c>
      <c r="AB119" s="22">
        <f ca="1">OFFSET(COM!AL$247,$E119,0)</f>
        <v>0</v>
      </c>
      <c r="AC119" s="22">
        <f ca="1">OFFSET(COM!AM$247,$E119,0)</f>
        <v>0</v>
      </c>
      <c r="AD119" s="22">
        <f ca="1">OFFSET(COM!AN$247,$E119,0)</f>
        <v>0</v>
      </c>
      <c r="AE119" s="22">
        <f ca="1">OFFSET(COM!AO$247,$E119,0)</f>
        <v>0</v>
      </c>
      <c r="AF119" s="22">
        <f ca="1">OFFSET(COM!AP$247,$E119,0)</f>
        <v>0</v>
      </c>
      <c r="AG119" s="22">
        <f ca="1">OFFSET(COM!AQ$247,$E119,0)</f>
        <v>0</v>
      </c>
      <c r="AH119" s="22">
        <f ca="1">OFFSET(COM!AR$247,$E119,0)</f>
        <v>0</v>
      </c>
      <c r="AJ119" t="e">
        <f t="shared" ca="1" si="3"/>
        <v>#DIV/0!</v>
      </c>
    </row>
    <row r="120" spans="1:36" ht="15">
      <c r="A120" s="31" t="s">
        <v>235</v>
      </c>
      <c r="B120" t="s">
        <v>370</v>
      </c>
      <c r="C120" t="s">
        <v>731</v>
      </c>
      <c r="D120" t="s">
        <v>272</v>
      </c>
      <c r="E120" s="113">
        <f>MATCH(F120,COM!$D$248:$D$266,0)</f>
        <v>12</v>
      </c>
      <c r="F120" t="str">
        <f t="shared" si="2"/>
        <v>CNH</v>
      </c>
      <c r="G120" s="22">
        <f ca="1">OFFSET(COM!Q$247,$E120,0)</f>
        <v>0</v>
      </c>
      <c r="H120" s="22">
        <f ca="1">OFFSET(COM!R$247,$E120,0)</f>
        <v>0.16496217879515399</v>
      </c>
      <c r="I120" s="22">
        <f ca="1">OFFSET(COM!S$247,$E120,0)</f>
        <v>0.31781303493220059</v>
      </c>
      <c r="J120" s="168">
        <f ca="1">OFFSET(COM!T$247,$E120,0)</f>
        <v>0.4137562955560648</v>
      </c>
      <c r="K120" s="22">
        <f ca="1">OFFSET(COM!U$247,$E120,0)</f>
        <v>0.66145739953339155</v>
      </c>
      <c r="L120" s="22">
        <f ca="1">OFFSET(COM!V$247,$E120,0)</f>
        <v>0.92228843412847317</v>
      </c>
      <c r="M120" s="22">
        <f ca="1">OFFSET(COM!W$247,$E120,0)</f>
        <v>1.0704853472746159</v>
      </c>
      <c r="N120" s="22">
        <f ca="1">OFFSET(COM!X$247,$E120,0)</f>
        <v>1.2406658983864356</v>
      </c>
      <c r="O120" s="168">
        <f ca="1">OFFSET(COM!Y$247,$E120,0)</f>
        <v>1.4110435693150272</v>
      </c>
      <c r="P120" s="22">
        <f ca="1">OFFSET(COM!Z$247,$E120,0)</f>
        <v>1.5946617571765558</v>
      </c>
      <c r="Q120" s="22">
        <f ca="1">OFFSET(COM!AA$247,$E120,0)</f>
        <v>1.8057059934592574</v>
      </c>
      <c r="R120" s="22">
        <f ca="1">OFFSET(COM!AB$247,$E120,0)</f>
        <v>2.0306427638105173</v>
      </c>
      <c r="S120" s="22">
        <f ca="1">OFFSET(COM!AC$247,$E120,0)</f>
        <v>2.2744268055230439</v>
      </c>
      <c r="T120" s="22">
        <f ca="1">OFFSET(COM!AD$247,$E120,0)</f>
        <v>2.5342086233501222</v>
      </c>
      <c r="U120" s="22">
        <f ca="1">OFFSET(COM!AE$247,$E120,0)</f>
        <v>2.805704175376456</v>
      </c>
      <c r="V120" s="22">
        <f ca="1">OFFSET(COM!AF$247,$E120,0)</f>
        <v>3.0835141343793659</v>
      </c>
      <c r="W120" s="22">
        <f ca="1">OFFSET(COM!AG$247,$E120,0)</f>
        <v>3.3666480574133244</v>
      </c>
      <c r="X120" s="22">
        <f ca="1">OFFSET(COM!AH$247,$E120,0)</f>
        <v>3.6504455536694769</v>
      </c>
      <c r="Y120" s="22">
        <f ca="1">OFFSET(COM!AI$247,$E120,0)</f>
        <v>3.9330127469124871</v>
      </c>
      <c r="Z120" s="22">
        <f ca="1">OFFSET(COM!AJ$247,$E120,0)</f>
        <v>4.2132666319590149</v>
      </c>
      <c r="AA120" s="22">
        <f ca="1">OFFSET(COM!AK$247,$E120,0)</f>
        <v>4.4977468378245771</v>
      </c>
      <c r="AB120" s="22">
        <f ca="1">OFFSET(COM!AL$247,$E120,0)</f>
        <v>4.7866491326284422</v>
      </c>
      <c r="AC120" s="22">
        <f ca="1">OFFSET(COM!AM$247,$E120,0)</f>
        <v>5.0839114612278689</v>
      </c>
      <c r="AD120" s="22">
        <f ca="1">OFFSET(COM!AN$247,$E120,0)</f>
        <v>5.3846498340943825</v>
      </c>
      <c r="AE120" s="22">
        <f ca="1">OFFSET(COM!AO$247,$E120,0)</f>
        <v>6.8636166703420951</v>
      </c>
      <c r="AF120" s="22">
        <f ca="1">OFFSET(COM!AP$247,$E120,0)</f>
        <v>8.2958707164199019</v>
      </c>
      <c r="AG120" s="22">
        <f ca="1">OFFSET(COM!AQ$247,$E120,0)</f>
        <v>11.05988899019105</v>
      </c>
      <c r="AH120" s="22">
        <f ca="1">OFFSET(COM!AR$247,$E120,0)</f>
        <v>12.661559487618504</v>
      </c>
      <c r="AJ120" t="e">
        <f t="shared" ca="1" si="3"/>
        <v>#DIV/0!</v>
      </c>
    </row>
    <row r="121" spans="1:36" ht="15">
      <c r="A121" s="31" t="s">
        <v>236</v>
      </c>
      <c r="B121" t="s">
        <v>370</v>
      </c>
      <c r="C121" t="s">
        <v>731</v>
      </c>
      <c r="D121" t="s">
        <v>272</v>
      </c>
      <c r="E121" s="113">
        <f>MATCH(F121,COM!$D$248:$D$266,0)</f>
        <v>13</v>
      </c>
      <c r="F121" t="str">
        <f t="shared" si="2"/>
        <v>CNK</v>
      </c>
      <c r="G121" s="22">
        <f ca="1">OFFSET(COM!Q$247,$E121,0)</f>
        <v>0</v>
      </c>
      <c r="H121" s="22">
        <f ca="1">OFFSET(COM!R$247,$E121,0)</f>
        <v>0.12328571728297376</v>
      </c>
      <c r="I121" s="22">
        <f ca="1">OFFSET(COM!S$247,$E121,0)</f>
        <v>0.23751994705495594</v>
      </c>
      <c r="J121" s="168">
        <f ca="1">OFFSET(COM!T$247,$E121,0)</f>
        <v>0.3092238599813768</v>
      </c>
      <c r="K121" s="22">
        <f ca="1">OFFSET(COM!U$247,$E121,0)</f>
        <v>0.49434513140657144</v>
      </c>
      <c r="L121" s="22">
        <f ca="1">OFFSET(COM!V$247,$E121,0)</f>
        <v>0.68927915461468048</v>
      </c>
      <c r="M121" s="22">
        <f ca="1">OFFSET(COM!W$247,$E121,0)</f>
        <v>0.80003522530790716</v>
      </c>
      <c r="N121" s="22">
        <f ca="1">OFFSET(COM!X$247,$E121,0)</f>
        <v>0.92722093214490253</v>
      </c>
      <c r="O121" s="168">
        <f ca="1">OFFSET(COM!Y$247,$E121,0)</f>
        <v>1.0545539579502752</v>
      </c>
      <c r="P121" s="22">
        <f ca="1">OFFSET(COM!Z$247,$E121,0)</f>
        <v>1.1917823830477585</v>
      </c>
      <c r="Q121" s="22">
        <f ca="1">OFFSET(COM!AA$247,$E121,0)</f>
        <v>1.3495078704205923</v>
      </c>
      <c r="R121" s="22">
        <f ca="1">OFFSET(COM!AB$247,$E121,0)</f>
        <v>1.5176160469651503</v>
      </c>
      <c r="S121" s="22">
        <f ca="1">OFFSET(COM!AC$247,$E121,0)</f>
        <v>1.6998098726298376</v>
      </c>
      <c r="T121" s="22">
        <f ca="1">OFFSET(COM!AD$247,$E121,0)</f>
        <v>1.8939597558443226</v>
      </c>
      <c r="U121" s="22">
        <f ca="1">OFFSET(COM!AE$247,$E121,0)</f>
        <v>2.0968639858634206</v>
      </c>
      <c r="V121" s="22">
        <f ca="1">OFFSET(COM!AF$247,$E121,0)</f>
        <v>2.3044873351316073</v>
      </c>
      <c r="W121" s="22">
        <f ca="1">OFFSET(COM!AG$247,$E121,0)</f>
        <v>2.5160895887107726</v>
      </c>
      <c r="X121" s="22">
        <f ca="1">OFFSET(COM!AH$247,$E121,0)</f>
        <v>2.7281877686972251</v>
      </c>
      <c r="Y121" s="22">
        <f ca="1">OFFSET(COM!AI$247,$E121,0)</f>
        <v>2.9393664725312734</v>
      </c>
      <c r="Z121" s="22">
        <f ca="1">OFFSET(COM!AJ$247,$E121,0)</f>
        <v>3.1488163081945508</v>
      </c>
      <c r="AA121" s="22">
        <f ca="1">OFFSET(COM!AK$247,$E121,0)</f>
        <v>3.3614247163103039</v>
      </c>
      <c r="AB121" s="22">
        <f ca="1">OFFSET(COM!AL$247,$E121,0)</f>
        <v>3.5773380056456769</v>
      </c>
      <c r="AC121" s="22">
        <f ca="1">OFFSET(COM!AM$247,$E121,0)</f>
        <v>3.7994992287227327</v>
      </c>
      <c r="AD121" s="22">
        <f ca="1">OFFSET(COM!AN$247,$E121,0)</f>
        <v>4.0242582994634475</v>
      </c>
      <c r="AE121" s="22">
        <f ca="1">OFFSET(COM!AO$247,$E121,0)</f>
        <v>5.1295752186279877</v>
      </c>
      <c r="AF121" s="22">
        <f ca="1">OFFSET(COM!AP$247,$E121,0)</f>
        <v>6.1999809849182856</v>
      </c>
      <c r="AG121" s="22">
        <f ca="1">OFFSET(COM!AQ$247,$E121,0)</f>
        <v>8.2656907006481859</v>
      </c>
      <c r="AH121" s="22">
        <f ca="1">OFFSET(COM!AR$247,$E121,0)</f>
        <v>9.4627111181071868</v>
      </c>
      <c r="AJ121" t="e">
        <f t="shared" ca="1" si="3"/>
        <v>#DIV/0!</v>
      </c>
    </row>
    <row r="122" spans="1:36" ht="15">
      <c r="A122" s="31" t="s">
        <v>237</v>
      </c>
      <c r="B122" t="s">
        <v>370</v>
      </c>
      <c r="C122" t="s">
        <v>731</v>
      </c>
      <c r="D122" t="s">
        <v>272</v>
      </c>
      <c r="E122" s="113">
        <f>MATCH(F122,COM!$D$248:$D$266,0)</f>
        <v>14</v>
      </c>
      <c r="F122" t="str">
        <f t="shared" si="2"/>
        <v>CNL</v>
      </c>
      <c r="G122" s="22">
        <f ca="1">OFFSET(COM!Q$247,$E122,0)</f>
        <v>0</v>
      </c>
      <c r="H122" s="22">
        <f ca="1">OFFSET(COM!R$247,$E122,0)</f>
        <v>1.5371011281891316</v>
      </c>
      <c r="I122" s="22">
        <f ca="1">OFFSET(COM!S$247,$E122,0)</f>
        <v>2.9613501598697858</v>
      </c>
      <c r="J122" s="168">
        <f ca="1">OFFSET(COM!T$247,$E122,0)</f>
        <v>3.8553398926934275</v>
      </c>
      <c r="K122" s="22">
        <f ca="1">OFFSET(COM!U$247,$E122,0)</f>
        <v>6.1633940731006716</v>
      </c>
      <c r="L122" s="22">
        <f ca="1">OFFSET(COM!V$247,$E122,0)</f>
        <v>8.5937916373853636</v>
      </c>
      <c r="M122" s="22">
        <f ca="1">OFFSET(COM!W$247,$E122,0)</f>
        <v>9.9746756924750546</v>
      </c>
      <c r="N122" s="22">
        <f ca="1">OFFSET(COM!X$247,$E122,0)</f>
        <v>11.560401093414718</v>
      </c>
      <c r="O122" s="168">
        <f ca="1">OFFSET(COM!Y$247,$E122,0)</f>
        <v>13.147963237145738</v>
      </c>
      <c r="P122" s="22">
        <f ca="1">OFFSET(COM!Z$247,$E122,0)</f>
        <v>14.858899197008869</v>
      </c>
      <c r="Q122" s="22">
        <f ca="1">OFFSET(COM!AA$247,$E122,0)</f>
        <v>16.825388340503885</v>
      </c>
      <c r="R122" s="22">
        <f ca="1">OFFSET(COM!AB$247,$E122,0)</f>
        <v>18.921326730766577</v>
      </c>
      <c r="S122" s="22">
        <f ca="1">OFFSET(COM!AC$247,$E122,0)</f>
        <v>21.19288211568999</v>
      </c>
      <c r="T122" s="22">
        <f ca="1">OFFSET(COM!AD$247,$E122,0)</f>
        <v>23.613503182782466</v>
      </c>
      <c r="U122" s="22">
        <f ca="1">OFFSET(COM!AE$247,$E122,0)</f>
        <v>26.143271656780509</v>
      </c>
      <c r="V122" s="22">
        <f ca="1">OFFSET(COM!AF$247,$E122,0)</f>
        <v>28.731877145168333</v>
      </c>
      <c r="W122" s="22">
        <f ca="1">OFFSET(COM!AG$247,$E122,0)</f>
        <v>31.370090799369272</v>
      </c>
      <c r="X122" s="22">
        <f ca="1">OFFSET(COM!AH$247,$E122,0)</f>
        <v>34.014487562667831</v>
      </c>
      <c r="Y122" s="22">
        <f ca="1">OFFSET(COM!AI$247,$E122,0)</f>
        <v>36.647420485204051</v>
      </c>
      <c r="Z122" s="22">
        <f ca="1">OFFSET(COM!AJ$247,$E122,0)</f>
        <v>39.258798232701764</v>
      </c>
      <c r="AA122" s="22">
        <f ca="1">OFFSET(COM!AK$247,$E122,0)</f>
        <v>41.909556416045291</v>
      </c>
      <c r="AB122" s="22">
        <f ca="1">OFFSET(COM!AL$247,$E122,0)</f>
        <v>44.601519183043465</v>
      </c>
      <c r="AC122" s="22">
        <f ca="1">OFFSET(COM!AM$247,$E122,0)</f>
        <v>47.371379911093754</v>
      </c>
      <c r="AD122" s="22">
        <f ca="1">OFFSET(COM!AN$247,$E122,0)</f>
        <v>50.173630072913639</v>
      </c>
      <c r="AE122" s="22">
        <f ca="1">OFFSET(COM!AO$247,$E122,0)</f>
        <v>63.954495536467107</v>
      </c>
      <c r="AF122" s="22">
        <f ca="1">OFFSET(COM!AP$247,$E122,0)</f>
        <v>77.300095880491654</v>
      </c>
      <c r="AG122" s="22">
        <f ca="1">OFFSET(COM!AQ$247,$E122,0)</f>
        <v>103.05494246399115</v>
      </c>
      <c r="AH122" s="22">
        <f ca="1">OFFSET(COM!AR$247,$E122,0)</f>
        <v>117.97914840358506</v>
      </c>
      <c r="AJ122" t="e">
        <f t="shared" ca="1" si="3"/>
        <v>#DIV/0!</v>
      </c>
    </row>
    <row r="123" spans="1:36" ht="15">
      <c r="A123" s="31" t="s">
        <v>242</v>
      </c>
      <c r="B123" t="s">
        <v>370</v>
      </c>
      <c r="C123" t="s">
        <v>731</v>
      </c>
      <c r="D123" t="s">
        <v>272</v>
      </c>
      <c r="E123" s="113">
        <f>MATCH(F123,COM!$D$248:$D$266,0)</f>
        <v>19</v>
      </c>
      <c r="F123" t="str">
        <f t="shared" si="2"/>
        <v>CNO</v>
      </c>
      <c r="G123" s="22">
        <f ca="1">OFFSET(COM!Q$247,$E123,0)</f>
        <v>0</v>
      </c>
      <c r="H123" s="22">
        <f ca="1">OFFSET(COM!R$247,$E123,0)</f>
        <v>0.27783625702001274</v>
      </c>
      <c r="I123" s="22">
        <f ca="1">OFFSET(COM!S$247,$E123,0)</f>
        <v>0.53527411375538358</v>
      </c>
      <c r="J123" s="168">
        <f ca="1">OFFSET(COM!T$247,$E123,0)</f>
        <v>0.69686579866596787</v>
      </c>
      <c r="K123" s="22">
        <f ca="1">OFFSET(COM!U$247,$E123,0)</f>
        <v>1.1140544420958349</v>
      </c>
      <c r="L123" s="22">
        <f ca="1">OFFSET(COM!V$247,$E123,0)</f>
        <v>1.5533570682847404</v>
      </c>
      <c r="M123" s="22">
        <f ca="1">OFFSET(COM!W$247,$E123,0)</f>
        <v>1.8029565580051912</v>
      </c>
      <c r="N123" s="22">
        <f ca="1">OFFSET(COM!X$247,$E123,0)</f>
        <v>2.0895818177092655</v>
      </c>
      <c r="O123" s="168">
        <f ca="1">OFFSET(COM!Y$247,$E123,0)</f>
        <v>2.37653907492014</v>
      </c>
      <c r="P123" s="22">
        <f ca="1">OFFSET(COM!Z$247,$E123,0)</f>
        <v>2.685796569024864</v>
      </c>
      <c r="Q123" s="22">
        <f ca="1">OFFSET(COM!AA$247,$E123,0)</f>
        <v>3.0412461702770721</v>
      </c>
      <c r="R123" s="22">
        <f ca="1">OFFSET(COM!AB$247,$E123,0)</f>
        <v>3.4200941631747033</v>
      </c>
      <c r="S123" s="22">
        <f ca="1">OFFSET(COM!AC$247,$E123,0)</f>
        <v>3.8306855251785183</v>
      </c>
      <c r="T123" s="22">
        <f ca="1">OFFSET(COM!AD$247,$E123,0)</f>
        <v>4.2682210162473995</v>
      </c>
      <c r="U123" s="22">
        <f ca="1">OFFSET(COM!AE$247,$E123,0)</f>
        <v>4.7254852723545371</v>
      </c>
      <c r="V123" s="22">
        <f ca="1">OFFSET(COM!AF$247,$E123,0)</f>
        <v>5.1933845189333478</v>
      </c>
      <c r="W123" s="22">
        <f ca="1">OFFSET(COM!AG$247,$E123,0)</f>
        <v>5.6702506102137713</v>
      </c>
      <c r="X123" s="22">
        <f ca="1">OFFSET(COM!AH$247,$E123,0)</f>
        <v>6.1482343194940281</v>
      </c>
      <c r="Y123" s="22">
        <f ca="1">OFFSET(COM!AI$247,$E123,0)</f>
        <v>6.6241459005648444</v>
      </c>
      <c r="Z123" s="22">
        <f ca="1">OFFSET(COM!AJ$247,$E123,0)</f>
        <v>7.0961613104324286</v>
      </c>
      <c r="AA123" s="22">
        <f ca="1">OFFSET(COM!AK$247,$E123,0)</f>
        <v>7.575294868022735</v>
      </c>
      <c r="AB123" s="22">
        <f ca="1">OFFSET(COM!AL$247,$E123,0)</f>
        <v>8.0618762942566384</v>
      </c>
      <c r="AC123" s="22">
        <f ca="1">OFFSET(COM!AM$247,$E123,0)</f>
        <v>8.562538041902906</v>
      </c>
      <c r="AD123" s="22">
        <f ca="1">OFFSET(COM!AN$247,$E123,0)</f>
        <v>9.0690542898683191</v>
      </c>
      <c r="AE123" s="22">
        <f ca="1">OFFSET(COM!AO$247,$E123,0)</f>
        <v>11.559992594884607</v>
      </c>
      <c r="AF123" s="22">
        <f ca="1">OFFSET(COM!AP$247,$E123,0)</f>
        <v>13.97225524909075</v>
      </c>
      <c r="AG123" s="22">
        <f ca="1">OFFSET(COM!AQ$247,$E123,0)</f>
        <v>18.627531368310219</v>
      </c>
      <c r="AH123" s="22">
        <f ca="1">OFFSET(COM!AR$247,$E123,0)</f>
        <v>21.325132353183356</v>
      </c>
      <c r="AJ123" t="e">
        <f t="shared" ca="1" si="3"/>
        <v>#DIV/0!</v>
      </c>
    </row>
    <row r="124" spans="1:36" ht="15">
      <c r="A124" s="31" t="s">
        <v>238</v>
      </c>
      <c r="B124" t="s">
        <v>370</v>
      </c>
      <c r="C124" t="s">
        <v>731</v>
      </c>
      <c r="D124" t="s">
        <v>272</v>
      </c>
      <c r="E124" s="113">
        <f>MATCH(F124,COM!$D$248:$D$266,0)</f>
        <v>15</v>
      </c>
      <c r="F124" t="str">
        <f t="shared" si="2"/>
        <v>CNR</v>
      </c>
      <c r="G124" s="22">
        <f ca="1">OFFSET(COM!Q$247,$E124,0)</f>
        <v>0</v>
      </c>
      <c r="H124" s="22">
        <f ca="1">OFFSET(COM!R$247,$E124,0)</f>
        <v>0.37392159230343008</v>
      </c>
      <c r="I124" s="22">
        <f ca="1">OFFSET(COM!S$247,$E124,0)</f>
        <v>0.72039031579598123</v>
      </c>
      <c r="J124" s="168">
        <f ca="1">OFFSET(COM!T$247,$E124,0)</f>
        <v>0.93786596412508894</v>
      </c>
      <c r="K124" s="22">
        <f ca="1">OFFSET(COM!U$247,$E124,0)</f>
        <v>1.4993327918003814</v>
      </c>
      <c r="L124" s="22">
        <f ca="1">OFFSET(COM!V$247,$E124,0)</f>
        <v>2.0905613781968713</v>
      </c>
      <c r="M124" s="22">
        <f ca="1">OFFSET(COM!W$247,$E124,0)</f>
        <v>2.4264809577198276</v>
      </c>
      <c r="N124" s="22">
        <f ca="1">OFFSET(COM!X$247,$E124,0)</f>
        <v>2.8122310921783833</v>
      </c>
      <c r="O124" s="168">
        <f ca="1">OFFSET(COM!Y$247,$E124,0)</f>
        <v>3.1984280403023502</v>
      </c>
      <c r="P124" s="22">
        <f ca="1">OFFSET(COM!Z$247,$E124,0)</f>
        <v>3.6146374143693114</v>
      </c>
      <c r="Q124" s="22">
        <f ca="1">OFFSET(COM!AA$247,$E124,0)</f>
        <v>4.0930137152502706</v>
      </c>
      <c r="R124" s="22">
        <f ca="1">OFFSET(COM!AB$247,$E124,0)</f>
        <v>4.602880376515567</v>
      </c>
      <c r="S124" s="22">
        <f ca="1">OFFSET(COM!AC$247,$E124,0)</f>
        <v>5.1554683559002807</v>
      </c>
      <c r="T124" s="22">
        <f ca="1">OFFSET(COM!AD$247,$E124,0)</f>
        <v>5.7443186710625467</v>
      </c>
      <c r="U124" s="22">
        <f ca="1">OFFSET(COM!AE$247,$E124,0)</f>
        <v>6.3597206368855623</v>
      </c>
      <c r="V124" s="22">
        <f ca="1">OFFSET(COM!AF$247,$E124,0)</f>
        <v>6.9894355387305076</v>
      </c>
      <c r="W124" s="22">
        <f ca="1">OFFSET(COM!AG$247,$E124,0)</f>
        <v>7.6312183286355877</v>
      </c>
      <c r="X124" s="22">
        <f ca="1">OFFSET(COM!AH$247,$E124,0)</f>
        <v>8.2745052472910565</v>
      </c>
      <c r="Y124" s="22">
        <f ca="1">OFFSET(COM!AI$247,$E124,0)</f>
        <v>8.9150034245207657</v>
      </c>
      <c r="Z124" s="22">
        <f ca="1">OFFSET(COM!AJ$247,$E124,0)</f>
        <v>9.5502580005163296</v>
      </c>
      <c r="AA124" s="22">
        <f ca="1">OFFSET(COM!AK$247,$E124,0)</f>
        <v>10.195092424582409</v>
      </c>
      <c r="AB124" s="22">
        <f ca="1">OFFSET(COM!AL$247,$E124,0)</f>
        <v>10.849950446476758</v>
      </c>
      <c r="AC124" s="22">
        <f ca="1">OFFSET(COM!AM$247,$E124,0)</f>
        <v>11.523758249292879</v>
      </c>
      <c r="AD124" s="22">
        <f ca="1">OFFSET(COM!AN$247,$E124,0)</f>
        <v>12.205445240034134</v>
      </c>
      <c r="AE124" s="22">
        <f ca="1">OFFSET(COM!AO$247,$E124,0)</f>
        <v>15.557835699549312</v>
      </c>
      <c r="AF124" s="22">
        <f ca="1">OFFSET(COM!AP$247,$E124,0)</f>
        <v>18.804341761750862</v>
      </c>
      <c r="AG124" s="22">
        <f ca="1">OFFSET(COM!AQ$247,$E124,0)</f>
        <v>25.069572505142617</v>
      </c>
      <c r="AH124" s="22">
        <f ca="1">OFFSET(COM!AR$247,$E124,0)</f>
        <v>28.700096708434081</v>
      </c>
      <c r="AJ124" t="e">
        <f t="shared" ca="1" si="3"/>
        <v>#DIV/0!</v>
      </c>
    </row>
    <row r="125" spans="1:36" ht="15">
      <c r="A125" s="31" t="s">
        <v>241</v>
      </c>
      <c r="B125" t="s">
        <v>370</v>
      </c>
      <c r="C125" t="s">
        <v>731</v>
      </c>
      <c r="D125" t="s">
        <v>272</v>
      </c>
      <c r="E125" s="113">
        <f>MATCH(F125,COM!$D$248:$D$266,0)</f>
        <v>18</v>
      </c>
      <c r="F125" t="str">
        <f t="shared" si="2"/>
        <v>CNT</v>
      </c>
      <c r="G125" s="22">
        <f ca="1">OFFSET(COM!Q$247,$E125,0)</f>
        <v>0</v>
      </c>
      <c r="H125" s="22">
        <f ca="1">OFFSET(COM!R$247,$E125,0)</f>
        <v>0</v>
      </c>
      <c r="I125" s="22">
        <f ca="1">OFFSET(COM!S$247,$E125,0)</f>
        <v>0</v>
      </c>
      <c r="J125" s="168">
        <f ca="1">OFFSET(COM!T$247,$E125,0)</f>
        <v>0</v>
      </c>
      <c r="K125" s="22">
        <f ca="1">OFFSET(COM!U$247,$E125,0)</f>
        <v>0</v>
      </c>
      <c r="L125" s="22">
        <f ca="1">OFFSET(COM!V$247,$E125,0)</f>
        <v>0</v>
      </c>
      <c r="M125" s="22">
        <f ca="1">OFFSET(COM!W$247,$E125,0)</f>
        <v>0</v>
      </c>
      <c r="N125" s="22">
        <f ca="1">OFFSET(COM!X$247,$E125,0)</f>
        <v>0</v>
      </c>
      <c r="O125" s="168">
        <f ca="1">OFFSET(COM!Y$247,$E125,0)</f>
        <v>0</v>
      </c>
      <c r="P125" s="22">
        <f ca="1">OFFSET(COM!Z$247,$E125,0)</f>
        <v>0</v>
      </c>
      <c r="Q125" s="22">
        <f ca="1">OFFSET(COM!AA$247,$E125,0)</f>
        <v>0</v>
      </c>
      <c r="R125" s="22">
        <f ca="1">OFFSET(COM!AB$247,$E125,0)</f>
        <v>0</v>
      </c>
      <c r="S125" s="22">
        <f ca="1">OFFSET(COM!AC$247,$E125,0)</f>
        <v>0</v>
      </c>
      <c r="T125" s="22">
        <f ca="1">OFFSET(COM!AD$247,$E125,0)</f>
        <v>0</v>
      </c>
      <c r="U125" s="22">
        <f ca="1">OFFSET(COM!AE$247,$E125,0)</f>
        <v>0</v>
      </c>
      <c r="V125" s="22">
        <f ca="1">OFFSET(COM!AF$247,$E125,0)</f>
        <v>0</v>
      </c>
      <c r="W125" s="22">
        <f ca="1">OFFSET(COM!AG$247,$E125,0)</f>
        <v>0</v>
      </c>
      <c r="X125" s="22">
        <f ca="1">OFFSET(COM!AH$247,$E125,0)</f>
        <v>0</v>
      </c>
      <c r="Y125" s="22">
        <f ca="1">OFFSET(COM!AI$247,$E125,0)</f>
        <v>0</v>
      </c>
      <c r="Z125" s="22">
        <f ca="1">OFFSET(COM!AJ$247,$E125,0)</f>
        <v>0</v>
      </c>
      <c r="AA125" s="22">
        <f ca="1">OFFSET(COM!AK$247,$E125,0)</f>
        <v>0</v>
      </c>
      <c r="AB125" s="22">
        <f ca="1">OFFSET(COM!AL$247,$E125,0)</f>
        <v>0</v>
      </c>
      <c r="AC125" s="22">
        <f ca="1">OFFSET(COM!AM$247,$E125,0)</f>
        <v>0</v>
      </c>
      <c r="AD125" s="22">
        <f ca="1">OFFSET(COM!AN$247,$E125,0)</f>
        <v>0</v>
      </c>
      <c r="AE125" s="22">
        <f ca="1">OFFSET(COM!AO$247,$E125,0)</f>
        <v>0</v>
      </c>
      <c r="AF125" s="22">
        <f ca="1">OFFSET(COM!AP$247,$E125,0)</f>
        <v>0</v>
      </c>
      <c r="AG125" s="22">
        <f ca="1">OFFSET(COM!AQ$247,$E125,0)</f>
        <v>0</v>
      </c>
      <c r="AH125" s="22">
        <f ca="1">OFFSET(COM!AR$247,$E125,0)</f>
        <v>0</v>
      </c>
      <c r="AJ125" t="e">
        <f t="shared" ca="1" si="3"/>
        <v>#DIV/0!</v>
      </c>
    </row>
    <row r="126" spans="1:36" ht="15">
      <c r="A126" s="31" t="s">
        <v>239</v>
      </c>
      <c r="B126" t="s">
        <v>370</v>
      </c>
      <c r="C126" t="s">
        <v>731</v>
      </c>
      <c r="D126" t="s">
        <v>272</v>
      </c>
      <c r="E126" s="113">
        <f>MATCH(F126,COM!$D$248:$D$266,0)</f>
        <v>16</v>
      </c>
      <c r="F126" t="str">
        <f t="shared" si="2"/>
        <v>CNW</v>
      </c>
      <c r="G126" s="22">
        <f ca="1">OFFSET(COM!Q$247,$E126,0)</f>
        <v>0</v>
      </c>
      <c r="H126" s="22">
        <f ca="1">OFFSET(COM!R$247,$E126,0)</f>
        <v>0.19796348261065</v>
      </c>
      <c r="I126" s="22">
        <f ca="1">OFFSET(COM!S$247,$E126,0)</f>
        <v>0.38139272694964443</v>
      </c>
      <c r="J126" s="168">
        <f ca="1">OFFSET(COM!T$247,$E126,0)</f>
        <v>0.49652979742751913</v>
      </c>
      <c r="K126" s="22">
        <f ca="1">OFFSET(COM!U$247,$E126,0)</f>
        <v>0.79378443814577593</v>
      </c>
      <c r="L126" s="22">
        <f ca="1">OFFSET(COM!V$247,$E126,0)</f>
        <v>1.106795701445713</v>
      </c>
      <c r="M126" s="22">
        <f ca="1">OFFSET(COM!W$247,$E126,0)</f>
        <v>1.2846399640084012</v>
      </c>
      <c r="N126" s="22">
        <f ca="1">OFFSET(COM!X$247,$E126,0)</f>
        <v>1.4888657739289308</v>
      </c>
      <c r="O126" s="168">
        <f ca="1">OFFSET(COM!Y$247,$E126,0)</f>
        <v>1.6933281382263772</v>
      </c>
      <c r="P126" s="22">
        <f ca="1">OFFSET(COM!Z$247,$E126,0)</f>
        <v>1.9136798346286354</v>
      </c>
      <c r="Q126" s="22">
        <f ca="1">OFFSET(COM!AA$247,$E126,0)</f>
        <v>2.1669442635090799</v>
      </c>
      <c r="R126" s="22">
        <f ca="1">OFFSET(COM!AB$247,$E126,0)</f>
        <v>2.4368804801082971</v>
      </c>
      <c r="S126" s="22">
        <f ca="1">OFFSET(COM!AC$247,$E126,0)</f>
        <v>2.7294344355348938</v>
      </c>
      <c r="T126" s="22">
        <f ca="1">OFFSET(COM!AD$247,$E126,0)</f>
        <v>3.0411865823093072</v>
      </c>
      <c r="U126" s="22">
        <f ca="1">OFFSET(COM!AE$247,$E126,0)</f>
        <v>3.3669958398311461</v>
      </c>
      <c r="V126" s="22">
        <f ca="1">OFFSET(COM!AF$247,$E126,0)</f>
        <v>3.700382725175519</v>
      </c>
      <c r="W126" s="22">
        <f ca="1">OFFSET(COM!AG$247,$E126,0)</f>
        <v>4.0401586535634433</v>
      </c>
      <c r="X126" s="22">
        <f ca="1">OFFSET(COM!AH$247,$E126,0)</f>
        <v>4.3807309054904486</v>
      </c>
      <c r="Y126" s="22">
        <f ca="1">OFFSET(COM!AI$247,$E126,0)</f>
        <v>4.7198267276629062</v>
      </c>
      <c r="Z126" s="22">
        <f ca="1">OFFSET(COM!AJ$247,$E126,0)</f>
        <v>5.0561464556404889</v>
      </c>
      <c r="AA126" s="22">
        <f ca="1">OFFSET(COM!AK$247,$E126,0)</f>
        <v>5.3975379957999694</v>
      </c>
      <c r="AB126" s="22">
        <f ca="1">OFFSET(COM!AL$247,$E126,0)</f>
        <v>5.7442362804085985</v>
      </c>
      <c r="AC126" s="22">
        <f ca="1">OFFSET(COM!AM$247,$E126,0)</f>
        <v>6.1009670549915942</v>
      </c>
      <c r="AD126" s="22">
        <f ca="1">OFFSET(COM!AN$247,$E126,0)</f>
        <v>6.4618692695606956</v>
      </c>
      <c r="AE126" s="22">
        <f ca="1">OFFSET(COM!AO$247,$E126,0)</f>
        <v>8.2367089795333737</v>
      </c>
      <c r="AF126" s="22">
        <f ca="1">OFFSET(COM!AP$247,$E126,0)</f>
        <v>9.9554908301104241</v>
      </c>
      <c r="AG126" s="22">
        <f ca="1">OFFSET(COM!AQ$247,$E126,0)</f>
        <v>13.272461347059533</v>
      </c>
      <c r="AH126" s="22">
        <f ca="1">OFFSET(COM!AR$247,$E126,0)</f>
        <v>15.194552046765942</v>
      </c>
      <c r="AJ126" t="e">
        <f t="shared" ca="1" si="3"/>
        <v>#DIV/0!</v>
      </c>
    </row>
    <row r="127" spans="1:36" ht="15">
      <c r="A127" s="31" t="s">
        <v>276</v>
      </c>
      <c r="B127">
        <v>9</v>
      </c>
      <c r="C127" t="s">
        <v>731</v>
      </c>
      <c r="D127" t="s">
        <v>272</v>
      </c>
      <c r="E127" s="114">
        <f>MATCH(F127,IND!$D$29:$D$137,0)</f>
        <v>5</v>
      </c>
      <c r="F127" t="str">
        <f t="shared" si="2"/>
        <v>IISCRS</v>
      </c>
      <c r="G127" s="9">
        <f ca="1">OFFSET(IND!P$28,$E127,0)</f>
        <v>6.2300000000000004</v>
      </c>
      <c r="H127" s="12">
        <f ca="1">OFFSET(IND!Q$28,$E127,0)</f>
        <v>6.2999999999999998</v>
      </c>
      <c r="I127" s="12">
        <f ca="1">OFFSET(IND!R$28,$E127,0)</f>
        <v>6.1267974837582697</v>
      </c>
      <c r="J127" s="177">
        <f ca="1">OFFSET(IND!S$28,$E127,0)</f>
        <v>5.0030232389252003</v>
      </c>
      <c r="K127" s="12">
        <f ca="1">OFFSET(IND!T$28,$E127,0)</f>
        <v>5.0988872597314874</v>
      </c>
      <c r="L127" s="12">
        <f ca="1">OFFSET(IND!U$28,$E127,0)</f>
        <v>5.4970900431497149</v>
      </c>
      <c r="M127" s="12">
        <f ca="1">OFFSET(IND!V$28,$E127,0)</f>
        <v>5.3946060030393816</v>
      </c>
      <c r="N127" s="12">
        <f ca="1">OFFSET(IND!W$28,$E127,0)</f>
        <v>5.4180936240286091</v>
      </c>
      <c r="O127" s="177">
        <f ca="1">OFFSET(IND!X$28,$E127,0)</f>
        <v>5.5796190429647998</v>
      </c>
      <c r="P127" s="12">
        <f ca="1">OFFSET(IND!Y$28,$E127,0)</f>
        <v>5.8386168013018338</v>
      </c>
      <c r="Q127" s="12">
        <f ca="1">OFFSET(IND!Z$28,$E127,0)</f>
        <v>5.9073032457184631</v>
      </c>
      <c r="R127" s="12">
        <f ca="1">OFFSET(IND!AA$28,$E127,0)</f>
        <v>5.9767251224803548</v>
      </c>
      <c r="S127" s="12">
        <f ca="1">OFFSET(IND!AB$28,$E127,0)</f>
        <v>6.1361811379826436</v>
      </c>
      <c r="T127" s="12">
        <f ca="1">OFFSET(IND!AC$28,$E127,0)</f>
        <v>6.3099094864287313</v>
      </c>
      <c r="U127" s="12">
        <f ca="1">OFFSET(IND!AD$28,$E127,0)</f>
        <v>6.5233840192817558</v>
      </c>
      <c r="V127" s="12">
        <f ca="1">OFFSET(IND!AE$28,$E127,0)</f>
        <v>6.7370044722798603</v>
      </c>
      <c r="W127" s="12">
        <f ca="1">OFFSET(IND!AF$28,$E127,0)</f>
        <v>6.9612817007307486</v>
      </c>
      <c r="X127" s="12">
        <f ca="1">OFFSET(IND!AG$28,$E127,0)</f>
        <v>7.1271408442118869</v>
      </c>
      <c r="Y127" s="12">
        <f ca="1">OFFSET(IND!AH$28,$E127,0)</f>
        <v>7.4364446137000408</v>
      </c>
      <c r="Z127" s="12">
        <f ca="1">OFFSET(IND!AI$28,$E127,0)</f>
        <v>7.6413301609253148</v>
      </c>
      <c r="AA127" s="12">
        <f ca="1">OFFSET(IND!AJ$28,$E127,0)</f>
        <v>7.8753330072733494</v>
      </c>
      <c r="AB127" s="12">
        <f ca="1">OFFSET(IND!AK$28,$E127,0)</f>
        <v>8.1175231954560587</v>
      </c>
      <c r="AC127" s="12">
        <f ca="1">OFFSET(IND!AL$28,$E127,0)</f>
        <v>8.4065828664889413</v>
      </c>
      <c r="AD127" s="12">
        <f ca="1">OFFSET(IND!AM$28,$E127,0)</f>
        <v>8.7011927337508883</v>
      </c>
      <c r="AE127" s="12">
        <f ca="1">OFFSET(IND!AN$28,$E127,0)</f>
        <v>10.058160523491242</v>
      </c>
      <c r="AF127" s="12">
        <f ca="1">OFFSET(IND!AO$28,$E127,0)</f>
        <v>11.301240677433723</v>
      </c>
      <c r="AG127" s="12">
        <f ca="1">OFFSET(IND!AP$28,$E127,0)</f>
        <v>12.95566067304269</v>
      </c>
      <c r="AH127" s="12">
        <f ca="1">OFFSET(IND!AQ$28,$E127,0)</f>
        <v>13.6949600288197</v>
      </c>
      <c r="AJ127">
        <f t="shared" ca="1" si="3"/>
        <v>2.1982279339999518</v>
      </c>
    </row>
    <row r="128" spans="1:36" ht="15">
      <c r="A128" s="31" t="s">
        <v>283</v>
      </c>
      <c r="B128">
        <v>3.40</v>
      </c>
      <c r="C128" t="s">
        <v>731</v>
      </c>
      <c r="D128" t="s">
        <v>272</v>
      </c>
      <c r="E128" s="114">
        <f>MATCH(F128,IND!$D$29:$D$137,0)</f>
        <v>12</v>
      </c>
      <c r="F128" t="str">
        <f t="shared" si="2"/>
        <v>INMBRI</v>
      </c>
      <c r="G128" s="12">
        <f ca="1">OFFSET(IND!P$28,$E128,0)</f>
        <v>9.6111784369999995</v>
      </c>
      <c r="H128" s="12">
        <f ca="1">OFFSET(IND!Q$28,$E128,0)</f>
        <v>9.734944643332172</v>
      </c>
      <c r="I128" s="12">
        <f ca="1">OFFSET(IND!R$28,$E128,0)</f>
        <v>9.724495141821734</v>
      </c>
      <c r="J128" s="177">
        <f ca="1">OFFSET(IND!S$28,$E128,0)</f>
        <v>9.0791372679742341</v>
      </c>
      <c r="K128" s="12">
        <f ca="1">OFFSET(IND!T$28,$E128,0)</f>
        <v>9.63179631394061</v>
      </c>
      <c r="L128" s="12">
        <f ca="1">OFFSET(IND!U$28,$E128,0)</f>
        <v>9.9942418013294017</v>
      </c>
      <c r="M128" s="12">
        <f ca="1">OFFSET(IND!V$28,$E128,0)</f>
        <v>9.9836868042657851</v>
      </c>
      <c r="N128" s="12">
        <f ca="1">OFFSET(IND!W$28,$E128,0)</f>
        <v>10.038259819196247</v>
      </c>
      <c r="O128" s="177">
        <f ca="1">OFFSET(IND!X$28,$E128,0)</f>
        <v>10.269047606394192</v>
      </c>
      <c r="P128" s="12">
        <f ca="1">OFFSET(IND!Y$28,$E128,0)</f>
        <v>10.664282313271606</v>
      </c>
      <c r="Q128" s="12">
        <f ca="1">OFFSET(IND!Z$28,$E128,0)</f>
        <v>10.825151355830164</v>
      </c>
      <c r="R128" s="12">
        <f ca="1">OFFSET(IND!AA$28,$E128,0)</f>
        <v>11.017222314924675</v>
      </c>
      <c r="S128" s="12">
        <f ca="1">OFFSET(IND!AB$28,$E128,0)</f>
        <v>11.292923341296941</v>
      </c>
      <c r="T128" s="12">
        <f ca="1">OFFSET(IND!AC$28,$E128,0)</f>
        <v>11.662630921344636</v>
      </c>
      <c r="U128" s="12">
        <f ca="1">OFFSET(IND!AD$28,$E128,0)</f>
        <v>12.042484558240345</v>
      </c>
      <c r="V128" s="12">
        <f ca="1">OFFSET(IND!AE$28,$E128,0)</f>
        <v>12.43055897159719</v>
      </c>
      <c r="W128" s="12">
        <f ca="1">OFFSET(IND!AF$28,$E128,0)</f>
        <v>12.821999635058123</v>
      </c>
      <c r="X128" s="12">
        <f ca="1">OFFSET(IND!AG$28,$E128,0)</f>
        <v>13.240871929542738</v>
      </c>
      <c r="Y128" s="12">
        <f ca="1">OFFSET(IND!AH$28,$E128,0)</f>
        <v>13.786110927671693</v>
      </c>
      <c r="Z128" s="12">
        <f ca="1">OFFSET(IND!AI$28,$E128,0)</f>
        <v>14.227587401449785</v>
      </c>
      <c r="AA128" s="12">
        <f ca="1">OFFSET(IND!AJ$28,$E128,0)</f>
        <v>14.671939636251366</v>
      </c>
      <c r="AB128" s="12">
        <f ca="1">OFFSET(IND!AK$28,$E128,0)</f>
        <v>15.131474003111279</v>
      </c>
      <c r="AC128" s="12">
        <f ca="1">OFFSET(IND!AL$28,$E128,0)</f>
        <v>15.599403878770765</v>
      </c>
      <c r="AD128" s="12">
        <f ca="1">OFFSET(IND!AM$28,$E128,0)</f>
        <v>16.047068713270509</v>
      </c>
      <c r="AE128" s="12">
        <f ca="1">OFFSET(IND!AN$28,$E128,0)</f>
        <v>18.477133656544787</v>
      </c>
      <c r="AF128" s="12">
        <f ca="1">OFFSET(IND!AO$28,$E128,0)</f>
        <v>18.430266077139347</v>
      </c>
      <c r="AG128" s="12">
        <f ca="1">OFFSET(IND!AP$28,$E128,0)</f>
        <v>21.833059873855333</v>
      </c>
      <c r="AH128" s="12">
        <f ca="1">OFFSET(IND!AQ$28,$E128,0)</f>
        <v>24.448237722092969</v>
      </c>
      <c r="AJ128">
        <f t="shared" ca="1" si="3"/>
        <v>2.5437294586036381</v>
      </c>
    </row>
    <row r="129" spans="1:36" ht="15">
      <c r="A129" s="31" t="s">
        <v>277</v>
      </c>
      <c r="B129">
        <v>10</v>
      </c>
      <c r="C129" t="s">
        <v>731</v>
      </c>
      <c r="D129" t="s">
        <v>272</v>
      </c>
      <c r="E129" s="114">
        <f>MATCH(F129,IND!$D$29:$D$137,0)</f>
        <v>9</v>
      </c>
      <c r="F129" t="str">
        <f t="shared" si="2"/>
        <v>INMCEM</v>
      </c>
      <c r="G129" s="12">
        <f ca="1">OFFSET(IND!P$28,$E129,0)</f>
        <v>14.7599608803003</v>
      </c>
      <c r="H129" s="12">
        <f ca="1">OFFSET(IND!Q$28,$E129,0)</f>
        <v>14.950029598277014</v>
      </c>
      <c r="I129" s="12">
        <f ca="1">OFFSET(IND!R$28,$E129,0)</f>
        <v>14.933982218184793</v>
      </c>
      <c r="J129" s="177">
        <f ca="1">OFFSET(IND!S$28,$E129,0)</f>
        <v>13.942901152088583</v>
      </c>
      <c r="K129" s="12">
        <f ca="1">OFFSET(IND!T$28,$E129,0)</f>
        <v>14.791623912994265</v>
      </c>
      <c r="L129" s="12">
        <f ca="1">OFFSET(IND!U$28,$E129,0)</f>
        <v>15.348234244408502</v>
      </c>
      <c r="M129" s="12">
        <f ca="1">OFFSET(IND!V$28,$E129,0)</f>
        <v>15.332024853981318</v>
      </c>
      <c r="N129" s="12">
        <f ca="1">OFFSET(IND!W$28,$E129,0)</f>
        <v>15.415833054065581</v>
      </c>
      <c r="O129" s="177">
        <f ca="1">OFFSET(IND!X$28,$E129,0)</f>
        <v>15.770255639497885</v>
      </c>
      <c r="P129" s="12">
        <f ca="1">OFFSET(IND!Y$28,$E129,0)</f>
        <v>16.377220628264492</v>
      </c>
      <c r="Q129" s="12">
        <f ca="1">OFFSET(IND!Z$28,$E129,0)</f>
        <v>16.624268458099273</v>
      </c>
      <c r="R129" s="12">
        <f ca="1">OFFSET(IND!AA$28,$E129,0)</f>
        <v>16.919233311895251</v>
      </c>
      <c r="S129" s="12">
        <f ca="1">OFFSET(IND!AB$28,$E129,0)</f>
        <v>17.342629505253566</v>
      </c>
      <c r="T129" s="12">
        <f ca="1">OFFSET(IND!AC$28,$E129,0)</f>
        <v>17.910392288394419</v>
      </c>
      <c r="U129" s="12">
        <f ca="1">OFFSET(IND!AD$28,$E129,0)</f>
        <v>18.493736449318195</v>
      </c>
      <c r="V129" s="12">
        <f ca="1">OFFSET(IND!AE$28,$E129,0)</f>
        <v>19.089705320080355</v>
      </c>
      <c r="W129" s="12">
        <f ca="1">OFFSET(IND!AF$28,$E129,0)</f>
        <v>19.690843767099508</v>
      </c>
      <c r="X129" s="12">
        <f ca="1">OFFSET(IND!AG$28,$E129,0)</f>
        <v>20.3341091815292</v>
      </c>
      <c r="Y129" s="12">
        <f ca="1">OFFSET(IND!AH$28,$E129,0)</f>
        <v>21.17143691772192</v>
      </c>
      <c r="Z129" s="12">
        <f ca="1">OFFSET(IND!AI$28,$E129,0)</f>
        <v>21.849415744694095</v>
      </c>
      <c r="AA129" s="12">
        <f ca="1">OFFSET(IND!AJ$28,$E129,0)</f>
        <v>22.531810900057845</v>
      </c>
      <c r="AB129" s="12">
        <f ca="1">OFFSET(IND!AK$28,$E129,0)</f>
        <v>23.237521372760607</v>
      </c>
      <c r="AC129" s="12">
        <f ca="1">OFFSET(IND!AL$28,$E129,0)</f>
        <v>23.956124893102032</v>
      </c>
      <c r="AD129" s="12">
        <f ca="1">OFFSET(IND!AM$28,$E129,0)</f>
        <v>24.643607233380461</v>
      </c>
      <c r="AE129" s="12">
        <f ca="1">OFFSET(IND!AN$28,$E129,0)</f>
        <v>28.375476715819609</v>
      </c>
      <c r="AF129" s="12">
        <f ca="1">OFFSET(IND!AO$28,$E129,0)</f>
        <v>28.30350181252205</v>
      </c>
      <c r="AG129" s="12">
        <f ca="1">OFFSET(IND!AP$28,$E129,0)</f>
        <v>33.529198500235779</v>
      </c>
      <c r="AH129" s="12">
        <f ca="1">OFFSET(IND!AQ$28,$E129,0)</f>
        <v>37.545347299057156</v>
      </c>
      <c r="AJ129">
        <f t="shared" ca="1" si="3"/>
        <v>2.5437294586036376</v>
      </c>
    </row>
    <row r="130" spans="1:36" ht="15">
      <c r="A130" s="31" t="s">
        <v>697</v>
      </c>
      <c r="C130" t="s">
        <v>731</v>
      </c>
      <c r="D130" t="s">
        <v>272</v>
      </c>
      <c r="E130" s="114">
        <f>MATCH(F130,IND!$D$29:$D$137,0)</f>
        <v>7</v>
      </c>
      <c r="F130" t="str">
        <f t="shared" si="6" ref="F130">A130</f>
        <v>ICPNH3</v>
      </c>
      <c r="G130" s="12">
        <f ca="1">OFFSET(IND!P$28,$E130,0)</f>
        <v>8.4021746293245503</v>
      </c>
      <c r="H130" s="12">
        <f ca="1">OFFSET(IND!Q$28,$E130,0)</f>
        <v>8.441093148891408</v>
      </c>
      <c r="I130" s="12">
        <f ca="1">OFFSET(IND!R$28,$E130,0)</f>
        <v>8.3458050196862974</v>
      </c>
      <c r="J130" s="177">
        <f ca="1">OFFSET(IND!S$28,$E130,0)</f>
        <v>7.9479928968368894</v>
      </c>
      <c r="K130" s="12">
        <f ca="1">OFFSET(IND!T$28,$E130,0)</f>
        <v>8.0130727602523475</v>
      </c>
      <c r="L130" s="12">
        <f ca="1">OFFSET(IND!U$28,$E130,0)</f>
        <v>8.1194004244240787</v>
      </c>
      <c r="M130" s="12">
        <f ca="1">OFFSET(IND!V$28,$E130,0)</f>
        <v>8.2092289682932975</v>
      </c>
      <c r="N130" s="12">
        <f ca="1">OFFSET(IND!W$28,$E130,0)</f>
        <v>8.3018073655462707</v>
      </c>
      <c r="O130" s="177">
        <f ca="1">OFFSET(IND!X$28,$E130,0)</f>
        <v>8.3934691450046603</v>
      </c>
      <c r="P130" s="12">
        <f ca="1">OFFSET(IND!Y$28,$E130,0)</f>
        <v>8.471381657544292</v>
      </c>
      <c r="Q130" s="12">
        <f ca="1">OFFSET(IND!Z$28,$E130,0)</f>
        <v>8.5621268192080962</v>
      </c>
      <c r="R130" s="12">
        <f ca="1">OFFSET(IND!AA$28,$E130,0)</f>
        <v>8.585042264072694</v>
      </c>
      <c r="S130" s="12">
        <f ca="1">OFFSET(IND!AB$28,$E130,0)</f>
        <v>8.6317897715964733</v>
      </c>
      <c r="T130" s="12">
        <f ca="1">OFFSET(IND!AC$28,$E130,0)</f>
        <v>8.7170352264927757</v>
      </c>
      <c r="U130" s="12">
        <f ca="1">OFFSET(IND!AD$28,$E130,0)</f>
        <v>7.6500921135971298</v>
      </c>
      <c r="V130" s="12">
        <f ca="1">OFFSET(IND!AE$28,$E130,0)</f>
        <v>7.0634567250634417</v>
      </c>
      <c r="W130" s="12">
        <f ca="1">OFFSET(IND!AF$28,$E130,0)</f>
        <v>7.0497074581446828</v>
      </c>
      <c r="X130" s="12">
        <f ca="1">OFFSET(IND!AG$28,$E130,0)</f>
        <v>7.1771173315918437</v>
      </c>
      <c r="Y130" s="12">
        <f ca="1">OFFSET(IND!AH$28,$E130,0)</f>
        <v>7.3347755922602733</v>
      </c>
      <c r="Z130" s="12">
        <f ca="1">OFFSET(IND!AI$28,$E130,0)</f>
        <v>7.5089329732312118</v>
      </c>
      <c r="AA130" s="12">
        <f ca="1">OFFSET(IND!AJ$28,$E130,0)</f>
        <v>7.6995894745046609</v>
      </c>
      <c r="AB130" s="12">
        <f ca="1">OFFSET(IND!AK$28,$E130,0)</f>
        <v>7.8893293579835255</v>
      </c>
      <c r="AC130" s="12">
        <f ca="1">OFFSET(IND!AL$28,$E130,0)</f>
        <v>8.0891520372028136</v>
      </c>
      <c r="AD130" s="12">
        <f ca="1">OFFSET(IND!AM$28,$E130,0)</f>
        <v>8.2990575121625252</v>
      </c>
      <c r="AE130" s="12">
        <f ca="1">OFFSET(IND!AN$28,$E130,0)</f>
        <v>9.8105602554313549</v>
      </c>
      <c r="AF130" s="12">
        <f ca="1">OFFSET(IND!AO$28,$E130,0)</f>
        <v>15.101278165769559</v>
      </c>
      <c r="AG130" s="12">
        <f ca="1">OFFSET(IND!AP$28,$E130,0)</f>
        <v>21.947621071808697</v>
      </c>
      <c r="AH130" s="12">
        <f ca="1">OFFSET(IND!AQ$28,$E130,0)</f>
        <v>24.473330000422781</v>
      </c>
      <c r="AJ130">
        <f t="shared" ca="1" si="3"/>
        <v>2.9127376042635511</v>
      </c>
    </row>
    <row r="131" spans="1:36" ht="15">
      <c r="A131" s="31" t="s">
        <v>282</v>
      </c>
      <c r="B131">
        <v>0.635</v>
      </c>
      <c r="C131" t="s">
        <v>731</v>
      </c>
      <c r="D131" t="s">
        <v>272</v>
      </c>
      <c r="E131" s="114">
        <f>MATCH(F131,IND!$D$29:$D$137,0)</f>
        <v>11</v>
      </c>
      <c r="F131" t="str">
        <f t="shared" si="2"/>
        <v>INMGLA</v>
      </c>
      <c r="G131" s="12">
        <f ca="1">OFFSET(IND!P$28,$E131,0)</f>
        <v>1.1624356</v>
      </c>
      <c r="H131" s="12">
        <f ca="1">OFFSET(IND!Q$28,$E131,0)</f>
        <v>1.1774046535099847</v>
      </c>
      <c r="I131" s="12">
        <f ca="1">OFFSET(IND!R$28,$E131,0)</f>
        <v>1.1761408259119843</v>
      </c>
      <c r="J131" s="177">
        <f ca="1">OFFSET(IND!S$28,$E131,0)</f>
        <v>1.098087237351745</v>
      </c>
      <c r="K131" s="12">
        <f ca="1">OFFSET(IND!T$28,$E131,0)</f>
        <v>1.1649292540622243</v>
      </c>
      <c r="L131" s="12">
        <f ca="1">OFFSET(IND!U$28,$E131,0)</f>
        <v>1.2087656618827403</v>
      </c>
      <c r="M131" s="12">
        <f ca="1">OFFSET(IND!V$28,$E131,0)</f>
        <v>1.2074890749974725</v>
      </c>
      <c r="N131" s="12">
        <f ca="1">OFFSET(IND!W$28,$E131,0)</f>
        <v>1.2140894742898511</v>
      </c>
      <c r="O131" s="177">
        <f ca="1">OFFSET(IND!X$28,$E131,0)</f>
        <v>1.2420023823315267</v>
      </c>
      <c r="P131" s="12">
        <f ca="1">OFFSET(IND!Y$28,$E131,0)</f>
        <v>1.2898045219589829</v>
      </c>
      <c r="Q131" s="12">
        <f ca="1">OFFSET(IND!Z$28,$E131,0)</f>
        <v>1.3092610228692241</v>
      </c>
      <c r="R131" s="12">
        <f ca="1">OFFSET(IND!AA$28,$E131,0)</f>
        <v>1.3324912773110815</v>
      </c>
      <c r="S131" s="12">
        <f ca="1">OFFSET(IND!AB$28,$E131,0)</f>
        <v>1.3658362713835976</v>
      </c>
      <c r="T131" s="12">
        <f ca="1">OFFSET(IND!AC$28,$E131,0)</f>
        <v>1.410551001783654</v>
      </c>
      <c r="U131" s="12">
        <f ca="1">OFFSET(IND!AD$28,$E131,0)</f>
        <v>1.4564928593000224</v>
      </c>
      <c r="V131" s="12">
        <f ca="1">OFFSET(IND!AE$28,$E131,0)</f>
        <v>1.503428988567842</v>
      </c>
      <c r="W131" s="12">
        <f ca="1">OFFSET(IND!AF$28,$E131,0)</f>
        <v>1.5507722530257055</v>
      </c>
      <c r="X131" s="12">
        <f ca="1">OFFSET(IND!AG$28,$E131,0)</f>
        <v>1.6014332692740505</v>
      </c>
      <c r="Y131" s="12">
        <f ca="1">OFFSET(IND!AH$28,$E131,0)</f>
        <v>1.6673778593248898</v>
      </c>
      <c r="Z131" s="12">
        <f ca="1">OFFSET(IND!AI$28,$E131,0)</f>
        <v>1.7207727653757969</v>
      </c>
      <c r="AA131" s="12">
        <f ca="1">OFFSET(IND!AJ$28,$E131,0)</f>
        <v>1.7745154838216886</v>
      </c>
      <c r="AB131" s="12">
        <f ca="1">OFFSET(IND!AK$28,$E131,0)</f>
        <v>1.8300944235909267</v>
      </c>
      <c r="AC131" s="12">
        <f ca="1">OFFSET(IND!AL$28,$E131,0)</f>
        <v>1.8866887683256126</v>
      </c>
      <c r="AD131" s="12">
        <f ca="1">OFFSET(IND!AM$28,$E131,0)</f>
        <v>1.940832133148318</v>
      </c>
      <c r="AE131" s="12">
        <f ca="1">OFFSET(IND!AN$28,$E131,0)</f>
        <v>2.2347392766781304</v>
      </c>
      <c r="AF131" s="12">
        <f ca="1">OFFSET(IND!AO$28,$E131,0)</f>
        <v>2.2290708206044219</v>
      </c>
      <c r="AG131" s="12">
        <f ca="1">OFFSET(IND!AP$28,$E131,0)</f>
        <v>2.6406258317500155</v>
      </c>
      <c r="AH131" s="12">
        <f ca="1">OFFSET(IND!AQ$28,$E131,0)</f>
        <v>2.9569216794495938</v>
      </c>
      <c r="AJ131">
        <f t="shared" ca="1" si="3"/>
        <v>2.5437294586036368</v>
      </c>
    </row>
    <row r="132" spans="1:36" ht="15">
      <c r="A132" s="31" t="s">
        <v>281</v>
      </c>
      <c r="B132">
        <v>1.53</v>
      </c>
      <c r="C132" t="s">
        <v>731</v>
      </c>
      <c r="D132" t="s">
        <v>272</v>
      </c>
      <c r="E132" s="114">
        <f>MATCH(F132,IND!$D$29:$D$137,0)</f>
        <v>10</v>
      </c>
      <c r="F132" t="str">
        <f t="shared" si="2"/>
        <v>INMLIM</v>
      </c>
      <c r="G132" s="12">
        <f ca="1">OFFSET(IND!P$28,$E132,0)</f>
        <v>1.3591716472036699</v>
      </c>
      <c r="H132" s="12">
        <f ca="1">OFFSET(IND!Q$28,$E132,0)</f>
        <v>1.3766741334629049</v>
      </c>
      <c r="I132" s="12">
        <f ca="1">OFFSET(IND!R$28,$E132,0)</f>
        <v>1.3751964097609162</v>
      </c>
      <c r="J132" s="177">
        <f ca="1">OFFSET(IND!S$28,$E132,0)</f>
        <v>1.2839326661749679</v>
      </c>
      <c r="K132" s="12">
        <f ca="1">OFFSET(IND!T$28,$E132,0)</f>
        <v>1.3620873389626884</v>
      </c>
      <c r="L132" s="12">
        <f ca="1">OFFSET(IND!U$28,$E132,0)</f>
        <v>1.413342825825705</v>
      </c>
      <c r="M132" s="12">
        <f ca="1">OFFSET(IND!V$28,$E132,0)</f>
        <v>1.4118501833948915</v>
      </c>
      <c r="N132" s="12">
        <f ca="1">OFFSET(IND!W$28,$E132,0)</f>
        <v>1.4195676651877962</v>
      </c>
      <c r="O132" s="177">
        <f ca="1">OFFSET(IND!X$28,$E132,0)</f>
        <v>1.4522046845643954</v>
      </c>
      <c r="P132" s="12">
        <f ca="1">OFFSET(IND!Y$28,$E132,0)</f>
        <v>1.5080970822656614</v>
      </c>
      <c r="Q132" s="12">
        <f ca="1">OFFSET(IND!Z$28,$E132,0)</f>
        <v>1.5308464925478245</v>
      </c>
      <c r="R132" s="12">
        <f ca="1">OFFSET(IND!AA$28,$E132,0)</f>
        <v>1.5580083440901376</v>
      </c>
      <c r="S132" s="12">
        <f ca="1">OFFSET(IND!AB$28,$E132,0)</f>
        <v>1.596996801187923</v>
      </c>
      <c r="T132" s="12">
        <f ca="1">OFFSET(IND!AC$28,$E132,0)</f>
        <v>1.6492792620589707</v>
      </c>
      <c r="U132" s="12">
        <f ca="1">OFFSET(IND!AD$28,$E132,0)</f>
        <v>1.7029965347888483</v>
      </c>
      <c r="V132" s="12">
        <f ca="1">OFFSET(IND!AE$28,$E132,0)</f>
        <v>1.7578763544797684</v>
      </c>
      <c r="W132" s="12">
        <f ca="1">OFFSET(IND!AF$28,$E132,0)</f>
        <v>1.8132322148278113</v>
      </c>
      <c r="X132" s="12">
        <f ca="1">OFFSET(IND!AG$28,$E132,0)</f>
        <v>1.8724673388237341</v>
      </c>
      <c r="Y132" s="12">
        <f ca="1">OFFSET(IND!AH$28,$E132,0)</f>
        <v>1.9495727002593006</v>
      </c>
      <c r="Z132" s="12">
        <f ca="1">OFFSET(IND!AI$28,$E132,0)</f>
        <v>2.0120044103768304</v>
      </c>
      <c r="AA132" s="12">
        <f ca="1">OFFSET(IND!AJ$28,$E132,0)</f>
        <v>2.0748427982886475</v>
      </c>
      <c r="AB132" s="12">
        <f ca="1">OFFSET(IND!AK$28,$E132,0)</f>
        <v>2.1398281782236639</v>
      </c>
      <c r="AC132" s="12">
        <f ca="1">OFFSET(IND!AL$28,$E132,0)</f>
        <v>2.2060008150178705</v>
      </c>
      <c r="AD132" s="12">
        <f ca="1">OFFSET(IND!AM$28,$E132,0)</f>
        <v>2.269307656576427</v>
      </c>
      <c r="AE132" s="12">
        <f ca="1">OFFSET(IND!AN$28,$E132,0)</f>
        <v>2.6129570220951197</v>
      </c>
      <c r="AF132" s="12">
        <f ca="1">OFFSET(IND!AO$28,$E132,0)</f>
        <v>2.6063292099575666</v>
      </c>
      <c r="AG132" s="12">
        <f ca="1">OFFSET(IND!AP$28,$E132,0)</f>
        <v>3.0875377194127847</v>
      </c>
      <c r="AH132" s="12">
        <f ca="1">OFFSET(IND!AQ$28,$E132,0)</f>
        <v>3.4573649582908073</v>
      </c>
      <c r="AJ132">
        <f t="shared" ca="1" si="3"/>
        <v>2.543729458603639</v>
      </c>
    </row>
    <row r="133" spans="1:36" ht="15">
      <c r="A133" s="31" t="s">
        <v>369</v>
      </c>
      <c r="B133">
        <v>7.8658203618</v>
      </c>
      <c r="C133" t="s">
        <v>731</v>
      </c>
      <c r="D133" t="s">
        <v>272</v>
      </c>
      <c r="E133" s="114">
        <f>MATCH(F133,IND!$D$29:$D$137,0)</f>
        <v>108</v>
      </c>
      <c r="F133" t="str">
        <f>A133</f>
        <v>IOTR</v>
      </c>
      <c r="G133" s="12">
        <f ca="1">OFFSET(IND!P$28,$E133,0)</f>
        <v>4.2000000000000002</v>
      </c>
      <c r="H133" s="12">
        <f ca="1">OFFSET(IND!Q$28,$E133,0)</f>
        <v>4.2483911250736304</v>
      </c>
      <c r="I133" s="12">
        <f ca="1">OFFSET(IND!R$28,$E133,0)</f>
        <v>4.2438389946986064</v>
      </c>
      <c r="J133" s="177">
        <f ca="1">OFFSET(IND!S$28,$E133,0)</f>
        <v>3.9366011074382827</v>
      </c>
      <c r="K133" s="12">
        <f ca="1">OFFSET(IND!T$28,$E133,0)</f>
        <v>4.3073231518541446</v>
      </c>
      <c r="L133" s="12">
        <f ca="1">OFFSET(IND!U$28,$E133,0)</f>
        <v>4.4406050256092158</v>
      </c>
      <c r="M133" s="12">
        <f ca="1">OFFSET(IND!V$28,$E133,0)</f>
        <v>4.4028710075418429</v>
      </c>
      <c r="N133" s="12">
        <f ca="1">OFFSET(IND!W$28,$E133,0)</f>
        <v>4.3903799931059337</v>
      </c>
      <c r="O133" s="177">
        <f ca="1">OFFSET(IND!X$28,$E133,0)</f>
        <v>4.5045219625025261</v>
      </c>
      <c r="P133" s="12">
        <f ca="1">OFFSET(IND!Y$28,$E133,0)</f>
        <v>4.7332091883574794</v>
      </c>
      <c r="Q133" s="12">
        <f ca="1">OFFSET(IND!Z$28,$E133,0)</f>
        <v>4.785271747140956</v>
      </c>
      <c r="R133" s="12">
        <f ca="1">OFFSET(IND!AA$28,$E133,0)</f>
        <v>4.860895598089277</v>
      </c>
      <c r="S133" s="12">
        <f ca="1">OFFSET(IND!AB$28,$E133,0)</f>
        <v>4.9720295776160439</v>
      </c>
      <c r="T133" s="12">
        <f ca="1">OFFSET(IND!AC$28,$E133,0)</f>
        <v>5.14462115515785</v>
      </c>
      <c r="U133" s="12">
        <f ca="1">OFFSET(IND!AD$28,$E133,0)</f>
        <v>5.3079695521673322</v>
      </c>
      <c r="V133" s="12">
        <f ca="1">OFFSET(IND!AE$28,$E133,0)</f>
        <v>5.4757590313496847</v>
      </c>
      <c r="W133" s="12">
        <f ca="1">OFFSET(IND!AF$28,$E133,0)</f>
        <v>5.6436545667295333</v>
      </c>
      <c r="X133" s="12">
        <f ca="1">OFFSET(IND!AG$28,$E133,0)</f>
        <v>5.82673831169829</v>
      </c>
      <c r="Y133" s="12">
        <f ca="1">OFFSET(IND!AH$28,$E133,0)</f>
        <v>6.0290870295307997</v>
      </c>
      <c r="Z133" s="12">
        <f ca="1">OFFSET(IND!AI$28,$E133,0)</f>
        <v>6.212670982587845</v>
      </c>
      <c r="AA133" s="12">
        <f ca="1">OFFSET(IND!AJ$28,$E133,0)</f>
        <v>6.4028907009217395</v>
      </c>
      <c r="AB133" s="12">
        <f ca="1">OFFSET(IND!AK$28,$E133,0)</f>
        <v>6.6027520926155256</v>
      </c>
      <c r="AC133" s="12">
        <f ca="1">OFFSET(IND!AL$28,$E133,0)</f>
        <v>6.7977378943865814</v>
      </c>
      <c r="AD133" s="12">
        <f ca="1">OFFSET(IND!AM$28,$E133,0)</f>
        <v>6.9611726329239731</v>
      </c>
      <c r="AE133" s="12">
        <f ca="1">OFFSET(IND!AN$28,$E133,0)</f>
        <v>7.9531695745793183</v>
      </c>
      <c r="AF133" s="12">
        <f ca="1">OFFSET(IND!AO$28,$E133,0)</f>
        <v>9.2769370139885918</v>
      </c>
      <c r="AG133" s="12">
        <f ca="1">OFFSET(IND!AP$28,$E133,0)</f>
        <v>11.064694489005634</v>
      </c>
      <c r="AH133" s="12">
        <f ca="1">OFFSET(IND!AQ$28,$E133,0)</f>
        <v>12.390030657749209</v>
      </c>
      <c r="AJ133">
        <f t="shared" ca="1" si="3"/>
        <v>2.9500072994640973</v>
      </c>
    </row>
    <row r="134" spans="1:36" ht="15">
      <c r="A134" s="31" t="s">
        <v>284</v>
      </c>
      <c r="C134" t="s">
        <v>731</v>
      </c>
      <c r="D134" t="s">
        <v>272</v>
      </c>
      <c r="E134" s="114">
        <f>MATCH(F134,IND!$D$29:$D$137,0)</f>
        <v>14</v>
      </c>
      <c r="F134" t="str">
        <f>A134</f>
        <v>IPPPAP</v>
      </c>
      <c r="G134" s="12">
        <f ca="1">OFFSET(IND!P$28,$E134,0)</f>
        <v>2.1800600000000001</v>
      </c>
      <c r="H134" s="12">
        <f ca="1">OFFSET(IND!Q$28,$E134,0)</f>
        <v>2.2166294765726118</v>
      </c>
      <c r="I134" s="12">
        <f ca="1">OFFSET(IND!R$28,$E134,0)</f>
        <v>2.2151621827595136</v>
      </c>
      <c r="J134" s="177">
        <f ca="1">OFFSET(IND!S$28,$E134,0)</f>
        <v>2.1156043318489735</v>
      </c>
      <c r="K134" s="12">
        <f ca="1">OFFSET(IND!T$28,$E134,0)</f>
        <v>2.1747452847842568</v>
      </c>
      <c r="L134" s="12">
        <f ca="1">OFFSET(IND!U$28,$E134,0)</f>
        <v>2.3610662342957105</v>
      </c>
      <c r="M134" s="12">
        <f ca="1">OFFSET(IND!V$28,$E134,0)</f>
        <v>2.3695997108488203</v>
      </c>
      <c r="N134" s="12">
        <f ca="1">OFFSET(IND!W$28,$E134,0)</f>
        <v>2.4063481669831117</v>
      </c>
      <c r="O134" s="177">
        <f ca="1">OFFSET(IND!X$28,$E134,0)</f>
        <v>2.4328289190523895</v>
      </c>
      <c r="P134" s="12">
        <f ca="1">OFFSET(IND!Y$28,$E134,0)</f>
        <v>2.464204077806996</v>
      </c>
      <c r="Q134" s="12">
        <f ca="1">OFFSET(IND!Z$28,$E134,0)</f>
        <v>2.50498474142884</v>
      </c>
      <c r="R134" s="12">
        <f ca="1">OFFSET(IND!AA$28,$E134,0)</f>
        <v>2.5559327555616838</v>
      </c>
      <c r="S134" s="12">
        <f ca="1">OFFSET(IND!AB$28,$E134,0)</f>
        <v>2.6135881572306636</v>
      </c>
      <c r="T134" s="12">
        <f ca="1">OFFSET(IND!AC$28,$E134,0)</f>
        <v>2.6929340387353027</v>
      </c>
      <c r="U134" s="12">
        <f ca="1">OFFSET(IND!AD$28,$E134,0)</f>
        <v>2.7814267526827603</v>
      </c>
      <c r="V134" s="12">
        <f ca="1">OFFSET(IND!AE$28,$E134,0)</f>
        <v>2.8722613484239008</v>
      </c>
      <c r="W134" s="12">
        <f ca="1">OFFSET(IND!AF$28,$E134,0)</f>
        <v>2.966257164364559</v>
      </c>
      <c r="X134" s="12">
        <f ca="1">OFFSET(IND!AG$28,$E134,0)</f>
        <v>3.0656846947559147</v>
      </c>
      <c r="Y134" s="12">
        <f ca="1">OFFSET(IND!AH$28,$E134,0)</f>
        <v>3.1894065383237011</v>
      </c>
      <c r="Z134" s="12">
        <f ca="1">OFFSET(IND!AI$28,$E134,0)</f>
        <v>3.2739211799878394</v>
      </c>
      <c r="AA134" s="12">
        <f ca="1">OFFSET(IND!AJ$28,$E134,0)</f>
        <v>3.3612781835461645</v>
      </c>
      <c r="AB134" s="12">
        <f ca="1">OFFSET(IND!AK$28,$E134,0)</f>
        <v>3.4533401521843157</v>
      </c>
      <c r="AC134" s="12">
        <f ca="1">OFFSET(IND!AL$28,$E134,0)</f>
        <v>3.5509652224699866</v>
      </c>
      <c r="AD134" s="12">
        <f ca="1">OFFSET(IND!AM$28,$E134,0)</f>
        <v>3.6526162640729312</v>
      </c>
      <c r="AE134" s="12">
        <f ca="1">OFFSET(IND!AN$28,$E134,0)</f>
        <v>4.195904357102302</v>
      </c>
      <c r="AF134" s="12">
        <f ca="1">OFFSET(IND!AO$28,$E134,0)</f>
        <v>4.8383932639556262</v>
      </c>
      <c r="AG134" s="12">
        <f ca="1">OFFSET(IND!AP$28,$E134,0)</f>
        <v>5.5754313626332346</v>
      </c>
      <c r="AH134" s="12">
        <f ca="1">OFFSET(IND!AQ$28,$E134,0)</f>
        <v>6.2432600901762747</v>
      </c>
      <c r="AJ134">
        <f ca="1" t="shared" si="7" ref="AJ134:AJ138">AH134/G134</f>
        <v>2.8638019550729221</v>
      </c>
    </row>
    <row r="135" spans="1:36" ht="15">
      <c r="A135" s="31" t="s">
        <v>285</v>
      </c>
      <c r="C135" t="s">
        <v>731</v>
      </c>
      <c r="D135" t="s">
        <v>272</v>
      </c>
      <c r="E135" s="114">
        <f>MATCH(F135,IND!$D$29:$D$137,0)</f>
        <v>15</v>
      </c>
      <c r="F135" t="str">
        <f>A135</f>
        <v>IPPPULPD</v>
      </c>
      <c r="G135" s="12">
        <f ca="1">OFFSET(IND!P$28,$E135,0)</f>
        <v>0.65910719806663898</v>
      </c>
      <c r="H135" s="12">
        <f ca="1">OFFSET(IND!Q$28,$E135,0)</f>
        <v>0.67016340993169665</v>
      </c>
      <c r="I135" s="12">
        <f ca="1">OFFSET(IND!R$28,$E135,0)</f>
        <v>0.66971979649266666</v>
      </c>
      <c r="J135" s="177">
        <f ca="1">OFFSET(IND!S$28,$E135,0)</f>
        <v>0.63962003035816473</v>
      </c>
      <c r="K135" s="12">
        <f ca="1">OFFSET(IND!T$28,$E135,0)</f>
        <v>0.65750037666980998</v>
      </c>
      <c r="L135" s="12">
        <f ca="1">OFFSET(IND!U$28,$E135,0)</f>
        <v>0.71383161478876533</v>
      </c>
      <c r="M135" s="12">
        <f ca="1">OFFSET(IND!V$28,$E135,0)</f>
        <v>0.71641157856072002</v>
      </c>
      <c r="N135" s="12">
        <f ca="1">OFFSET(IND!W$28,$E135,0)</f>
        <v>0.72752190210958922</v>
      </c>
      <c r="O135" s="177">
        <f ca="1">OFFSET(IND!X$28,$E135,0)</f>
        <v>0.73552794519972386</v>
      </c>
      <c r="P135" s="12">
        <f ca="1">OFFSET(IND!Y$28,$E135,0)</f>
        <v>0.74501373594660458</v>
      </c>
      <c r="Q135" s="12">
        <f ca="1">OFFSET(IND!Z$28,$E135,0)</f>
        <v>0.75734313464897596</v>
      </c>
      <c r="R135" s="12">
        <f ca="1">OFFSET(IND!AA$28,$E135,0)</f>
        <v>0.77274647347550274</v>
      </c>
      <c r="S135" s="12">
        <f ca="1">OFFSET(IND!AB$28,$E135,0)</f>
        <v>0.79017768649140507</v>
      </c>
      <c r="T135" s="12">
        <f ca="1">OFFSET(IND!AC$28,$E135,0)</f>
        <v>0.8141666783708259</v>
      </c>
      <c r="U135" s="12">
        <f ca="1">OFFSET(IND!AD$28,$E135,0)</f>
        <v>0.84092107262567284</v>
      </c>
      <c r="V135" s="12">
        <f ca="1">OFFSET(IND!AE$28,$E135,0)</f>
        <v>0.86838349837838547</v>
      </c>
      <c r="W135" s="12">
        <f ca="1">OFFSET(IND!AF$28,$E135,0)</f>
        <v>0.89680166983909515</v>
      </c>
      <c r="X135" s="12">
        <f ca="1">OFFSET(IND!AG$28,$E135,0)</f>
        <v>0.92686203559367619</v>
      </c>
      <c r="Y135" s="12">
        <f ca="1">OFFSET(IND!AH$28,$E135,0)</f>
        <v>0.9642674086813906</v>
      </c>
      <c r="Z135" s="12">
        <f ca="1">OFFSET(IND!AI$28,$E135,0)</f>
        <v>0.98981909471886509</v>
      </c>
      <c r="AA135" s="12">
        <f ca="1">OFFSET(IND!AJ$28,$E135,0)</f>
        <v>1.0162301246202554</v>
      </c>
      <c r="AB135" s="12">
        <f ca="1">OFFSET(IND!AK$28,$E135,0)</f>
        <v>1.0440636274585215</v>
      </c>
      <c r="AC135" s="12">
        <f ca="1">OFFSET(IND!AL$28,$E135,0)</f>
        <v>1.0735790474639559</v>
      </c>
      <c r="AD135" s="12">
        <f ca="1">OFFSET(IND!AM$28,$E135,0)</f>
        <v>1.1043116572139042</v>
      </c>
      <c r="AE135" s="12">
        <f ca="1">OFFSET(IND!AN$28,$E135,0)</f>
        <v>1.2685663532954599</v>
      </c>
      <c r="AF135" s="12">
        <f ca="1">OFFSET(IND!AO$28,$E135,0)</f>
        <v>1.4628128709073569</v>
      </c>
      <c r="AG135" s="12">
        <f ca="1">OFFSET(IND!AP$28,$E135,0)</f>
        <v>1.685644864562468</v>
      </c>
      <c r="AH135" s="12">
        <f ca="1">OFFSET(IND!AQ$28,$E135,0)</f>
        <v>1.8875524824258763</v>
      </c>
      <c r="AJ135">
        <f t="shared" ca="1" si="7"/>
        <v>2.8638019550729217</v>
      </c>
    </row>
    <row r="136" spans="1:36" ht="15">
      <c r="A136" s="31" t="s">
        <v>688</v>
      </c>
      <c r="C136" t="s">
        <v>731</v>
      </c>
      <c r="D136" t="s">
        <v>272</v>
      </c>
      <c r="E136" s="114">
        <f>MATCH(F136,IND!$D$29:$D$137,0)</f>
        <v>3</v>
      </c>
      <c r="F136" t="str">
        <f>A136</f>
        <v>IFACR</v>
      </c>
      <c r="G136" s="12">
        <f ca="1">OFFSET(IND!P$28,$E136,0)</f>
        <v>3.484</v>
      </c>
      <c r="H136" s="12">
        <f ca="1">OFFSET(IND!Q$28,$E136,0)</f>
        <v>3.4912421940520733</v>
      </c>
      <c r="I136" s="12">
        <f ca="1">OFFSET(IND!R$28,$E136,0)</f>
        <v>3.4188882732612411</v>
      </c>
      <c r="J136" s="177">
        <f ca="1">OFFSET(IND!S$28,$E136,0)</f>
        <v>3.0190002546077959</v>
      </c>
      <c r="K136" s="12">
        <f ca="1">OFFSET(IND!T$28,$E136,0)</f>
        <v>3.2922273361973229</v>
      </c>
      <c r="L136" s="12">
        <f ca="1">OFFSET(IND!U$28,$E136,0)</f>
        <v>3.4912872693784704</v>
      </c>
      <c r="M136" s="12">
        <f ca="1">OFFSET(IND!V$28,$E136,0)</f>
        <v>3.3692303999151214</v>
      </c>
      <c r="N136" s="12">
        <f ca="1">OFFSET(IND!W$28,$E136,0)</f>
        <v>3.3122627361484405</v>
      </c>
      <c r="O136" s="177">
        <f ca="1">OFFSET(IND!X$28,$E136,0)</f>
        <v>3.2552950723817595</v>
      </c>
      <c r="P136" s="12">
        <f ca="1">OFFSET(IND!Y$28,$E136,0)</f>
        <v>3.2552950723817604</v>
      </c>
      <c r="Q136" s="12">
        <f ca="1">OFFSET(IND!Z$28,$E136,0)</f>
        <v>3.2552950723817604</v>
      </c>
      <c r="R136" s="12">
        <f ca="1">OFFSET(IND!AA$28,$E136,0)</f>
        <v>3.2552950723817604</v>
      </c>
      <c r="S136" s="12">
        <f ca="1">OFFSET(IND!AB$28,$E136,0)</f>
        <v>3.2552950723817604</v>
      </c>
      <c r="T136" s="12">
        <f ca="1">OFFSET(IND!AC$28,$E136,0)</f>
        <v>3.2552950723817604</v>
      </c>
      <c r="U136" s="12">
        <f ca="1">OFFSET(IND!AD$28,$E136,0)</f>
        <v>3.3654270158541792</v>
      </c>
      <c r="V136" s="12">
        <f ca="1">OFFSET(IND!AE$28,$E136,0)</f>
        <v>3.4756342398247195</v>
      </c>
      <c r="W136" s="12">
        <f ca="1">OFFSET(IND!AF$28,$E136,0)</f>
        <v>3.591339315815727</v>
      </c>
      <c r="X136" s="12">
        <f ca="1">OFFSET(IND!AG$28,$E136,0)</f>
        <v>3.6769063835597038</v>
      </c>
      <c r="Y136" s="12">
        <f ca="1">OFFSET(IND!AH$28,$E136,0)</f>
        <v>3.83647682412616</v>
      </c>
      <c r="Z136" s="12">
        <f ca="1">OFFSET(IND!AI$28,$E136,0)</f>
        <v>3.942177692533094</v>
      </c>
      <c r="AA136" s="12">
        <f ca="1">OFFSET(IND!AJ$28,$E136,0)</f>
        <v>4.0629002344773832</v>
      </c>
      <c r="AB136" s="12">
        <f ca="1">OFFSET(IND!AK$28,$E136,0)</f>
        <v>4.1878466426415679</v>
      </c>
      <c r="AC136" s="12">
        <f ca="1">OFFSET(IND!AL$28,$E136,0)</f>
        <v>4.3369731118502743</v>
      </c>
      <c r="AD136" s="12">
        <f ca="1">OFFSET(IND!AM$28,$E136,0)</f>
        <v>4.4889629385245797</v>
      </c>
      <c r="AE136" s="12">
        <f ca="1">OFFSET(IND!AN$28,$E136,0)</f>
        <v>5.1890253671256987</v>
      </c>
      <c r="AF136" s="12">
        <f ca="1">OFFSET(IND!AO$28,$E136,0)</f>
        <v>5.8303329339628895</v>
      </c>
      <c r="AG136" s="12">
        <f ca="1">OFFSET(IND!AP$28,$E136,0)</f>
        <v>6.6838515574770705</v>
      </c>
      <c r="AH136" s="12">
        <f ca="1">OFFSET(IND!AQ$28,$E136,0)</f>
        <v>7.0652575911217808</v>
      </c>
      <c r="AJ136">
        <f t="shared" ca="1" si="7"/>
        <v>2.027915496877664</v>
      </c>
    </row>
    <row r="137" spans="1:36" ht="15">
      <c r="A137" s="31" t="s">
        <v>689</v>
      </c>
      <c r="C137" t="s">
        <v>731</v>
      </c>
      <c r="D137" t="s">
        <v>272</v>
      </c>
      <c r="E137" s="114">
        <f>MATCH(F137,IND!$D$29:$D$137,0)</f>
        <v>4</v>
      </c>
      <c r="F137" t="str">
        <f t="shared" si="8" ref="F137:F138">A137</f>
        <v>IFAMN</v>
      </c>
      <c r="G137" s="12">
        <f ca="1">OFFSET(IND!P$28,$E137,0)</f>
        <v>0.4587</v>
      </c>
      <c r="H137" s="12">
        <f ca="1">OFFSET(IND!Q$28,$E137,0)</f>
        <v>0.45965350011816469</v>
      </c>
      <c r="I137" s="12">
        <f ca="1">OFFSET(IND!R$28,$E137,0)</f>
        <v>0.45012745434699519</v>
      </c>
      <c r="J137" s="177">
        <f ca="1">OFFSET(IND!S$28,$E137,0)</f>
        <v>0.39747859264885071</v>
      </c>
      <c r="K137" s="12">
        <f ca="1">OFFSET(IND!T$28,$E137,0)</f>
        <v>0.40509476676119183</v>
      </c>
      <c r="L137" s="12">
        <f ca="1">OFFSET(IND!U$28,$E137,0)</f>
        <v>0.42958825672068418</v>
      </c>
      <c r="M137" s="12">
        <f ca="1">OFFSET(IND!V$28,$E137,0)</f>
        <v>0.41456967081587004</v>
      </c>
      <c r="N137" s="12">
        <f ca="1">OFFSET(IND!W$28,$E137,0)</f>
        <v>0.40756003870062585</v>
      </c>
      <c r="O137" s="177">
        <f ca="1">OFFSET(IND!X$28,$E137,0)</f>
        <v>0.40055040658538166</v>
      </c>
      <c r="P137" s="12">
        <f ca="1">OFFSET(IND!Y$28,$E137,0)</f>
        <v>0.40055040658538177</v>
      </c>
      <c r="Q137" s="12">
        <f ca="1">OFFSET(IND!Z$28,$E137,0)</f>
        <v>0.40055040658538177</v>
      </c>
      <c r="R137" s="12">
        <f ca="1">OFFSET(IND!AA$28,$E137,0)</f>
        <v>0.40055040658538177</v>
      </c>
      <c r="S137" s="12">
        <f ca="1">OFFSET(IND!AB$28,$E137,0)</f>
        <v>0.40055040658538177</v>
      </c>
      <c r="T137" s="12">
        <f ca="1">OFFSET(IND!AC$28,$E137,0)</f>
        <v>0.40055040658538177</v>
      </c>
      <c r="U137" s="12">
        <f ca="1">OFFSET(IND!AD$28,$E137,0)</f>
        <v>0.41410168035782041</v>
      </c>
      <c r="V137" s="12">
        <f ca="1">OFFSET(IND!AE$28,$E137,0)</f>
        <v>0.4276622170798412</v>
      </c>
      <c r="W137" s="12">
        <f ca="1">OFFSET(IND!AF$28,$E137,0)</f>
        <v>0.44189924143606379</v>
      </c>
      <c r="X137" s="12">
        <f ca="1">OFFSET(IND!AG$28,$E137,0)</f>
        <v>0.45242791027040452</v>
      </c>
      <c r="Y137" s="12">
        <f ca="1">OFFSET(IND!AH$28,$E137,0)</f>
        <v>0.47206238377487175</v>
      </c>
      <c r="Z137" s="12">
        <f ca="1">OFFSET(IND!AI$28,$E137,0)</f>
        <v>0.48506843234356517</v>
      </c>
      <c r="AA137" s="12">
        <f ca="1">OFFSET(IND!AJ$28,$E137,0)</f>
        <v>0.49992283484306771</v>
      </c>
      <c r="AB137" s="12">
        <f ca="1">OFFSET(IND!AK$28,$E137,0)</f>
        <v>0.51529696636685907</v>
      </c>
      <c r="AC137" s="12">
        <f ca="1">OFFSET(IND!AL$28,$E137,0)</f>
        <v>0.53364635299572949</v>
      </c>
      <c r="AD137" s="12">
        <f ca="1">OFFSET(IND!AM$28,$E137,0)</f>
        <v>0.55234806375238044</v>
      </c>
      <c r="AE137" s="12">
        <f ca="1">OFFSET(IND!AN$28,$E137,0)</f>
        <v>0.63848780966676966</v>
      </c>
      <c r="AF137" s="12">
        <f ca="1">OFFSET(IND!AO$28,$E137,0)</f>
        <v>0.71739801624751232</v>
      </c>
      <c r="AG137" s="12">
        <f ca="1">OFFSET(IND!AP$28,$E137,0)</f>
        <v>0.82241990338066961</v>
      </c>
      <c r="AH137" s="12">
        <f ca="1">OFFSET(IND!AQ$28,$E137,0)</f>
        <v>0.86935031627830262</v>
      </c>
      <c r="AJ137">
        <f t="shared" ca="1" si="7"/>
        <v>1.8952481279230491</v>
      </c>
    </row>
    <row r="138" spans="1:36" ht="15">
      <c r="A138" s="31" t="s">
        <v>691</v>
      </c>
      <c r="C138" t="s">
        <v>731</v>
      </c>
      <c r="D138" t="s">
        <v>272</v>
      </c>
      <c r="E138" s="114">
        <f>MATCH(F138,IND!$D$29:$D$137,0)</f>
        <v>2</v>
      </c>
      <c r="F138" t="str">
        <f t="shared" si="8"/>
        <v>IPGMD</v>
      </c>
      <c r="G138" s="12">
        <f ca="1">OFFSET(IND!P$28,$E138,0)</f>
        <v>31</v>
      </c>
      <c r="H138" s="12">
        <f ca="1">OFFSET(IND!Q$28,$E138,0)</f>
        <v>30.822038664165198</v>
      </c>
      <c r="I138" s="12">
        <f ca="1">OFFSET(IND!R$28,$E138,0)</f>
        <v>30.425949170614501</v>
      </c>
      <c r="J138" s="177">
        <f ca="1">OFFSET(IND!S$28,$E138,0)</f>
        <v>23.066289237134917</v>
      </c>
      <c r="K138" s="12">
        <f ca="1">OFFSET(IND!T$28,$E138,0)</f>
        <v>38.103924581750761</v>
      </c>
      <c r="L138" s="12">
        <f ca="1">OFFSET(IND!U$28,$E138,0)</f>
        <v>29.343918134257699</v>
      </c>
      <c r="M138" s="12">
        <f ca="1">OFFSET(IND!V$28,$E138,0)</f>
        <v>31.094021686430043</v>
      </c>
      <c r="N138" s="12">
        <f ca="1">OFFSET(IND!W$28,$E138,0)</f>
        <v>31.667485306841986</v>
      </c>
      <c r="O138" s="177">
        <f ca="1">OFFSET(IND!X$28,$E138,0)</f>
        <v>32.02659042078281</v>
      </c>
      <c r="P138" s="12">
        <f ca="1">OFFSET(IND!Y$28,$E138,0)</f>
        <v>32.904983816514765</v>
      </c>
      <c r="Q138" s="12">
        <f ca="1">OFFSET(IND!Z$28,$E138,0)</f>
        <v>34.273761423368647</v>
      </c>
      <c r="R138" s="12">
        <f ca="1">OFFSET(IND!AA$28,$E138,0)</f>
        <v>35.607468396165402</v>
      </c>
      <c r="S138" s="12">
        <f ca="1">OFFSET(IND!AB$28,$E138,0)</f>
        <v>37.27532524324716</v>
      </c>
      <c r="T138" s="12">
        <f ca="1">OFFSET(IND!AC$28,$E138,0)</f>
        <v>38.924192084258266</v>
      </c>
      <c r="U138" s="12">
        <f ca="1">OFFSET(IND!AD$28,$E138,0)</f>
        <v>40.720449954919118</v>
      </c>
      <c r="V138" s="12">
        <f ca="1">OFFSET(IND!AE$28,$E138,0)</f>
        <v>42.566587508897427</v>
      </c>
      <c r="W138" s="12">
        <f ca="1">OFFSET(IND!AF$28,$E138,0)</f>
        <v>44.508902441396181</v>
      </c>
      <c r="X138" s="12">
        <f ca="1">OFFSET(IND!AG$28,$E138,0)</f>
        <v>46.65796547379243</v>
      </c>
      <c r="Y138" s="12">
        <f ca="1">OFFSET(IND!AH$28,$E138,0)</f>
        <v>49.772278060249882</v>
      </c>
      <c r="Z138" s="12">
        <f ca="1">OFFSET(IND!AI$28,$E138,0)</f>
        <v>52.203868168268698</v>
      </c>
      <c r="AA138" s="12">
        <f ca="1">OFFSET(IND!AJ$28,$E138,0)</f>
        <v>54.569095363677313</v>
      </c>
      <c r="AB138" s="12">
        <f ca="1">OFFSET(IND!AK$28,$E138,0)</f>
        <v>56.905884171622006</v>
      </c>
      <c r="AC138" s="12">
        <f ca="1">OFFSET(IND!AL$28,$E138,0)</f>
        <v>59.184194996861613</v>
      </c>
      <c r="AD138" s="12">
        <f ca="1">OFFSET(IND!AM$28,$E138,0)</f>
        <v>61.415098273882201</v>
      </c>
      <c r="AE138" s="12">
        <f ca="1">OFFSET(IND!AN$28,$E138,0)</f>
        <v>71.243855294995228</v>
      </c>
      <c r="AF138" s="12">
        <f ca="1">OFFSET(IND!AO$28,$E138,0)</f>
        <v>81.672110103513361</v>
      </c>
      <c r="AG138" s="12">
        <f ca="1">OFFSET(IND!AP$28,$E138,0)</f>
        <v>101.82920563521931</v>
      </c>
      <c r="AH138" s="12">
        <f ca="1">OFFSET(IND!AQ$28,$E138,0)</f>
        <v>122.08621746483338</v>
      </c>
      <c r="AJ138">
        <f t="shared" ca="1" si="7"/>
        <v>3.9382650795107543</v>
      </c>
    </row>
    <row r="139" spans="5:34" ht="15">
      <c r="E139" s="114"/>
      <c r="G139" s="12"/>
      <c r="H139" s="12"/>
      <c r="I139" s="12"/>
      <c r="J139" s="177"/>
      <c r="K139" s="12"/>
      <c r="L139" s="12"/>
      <c r="M139" s="12"/>
      <c r="N139" s="12"/>
      <c r="O139" s="177"/>
      <c r="P139" s="12"/>
      <c r="Q139" s="12"/>
      <c r="R139" s="12"/>
      <c r="S139" s="12"/>
      <c r="T139" s="12"/>
      <c r="U139" s="12"/>
      <c r="V139" s="12"/>
      <c r="W139" s="12"/>
      <c r="X139" s="12"/>
      <c r="Y139" s="12"/>
      <c r="Z139" s="12"/>
      <c r="AA139" s="12"/>
      <c r="AB139" s="12"/>
      <c r="AC139" s="12"/>
      <c r="AD139" s="12"/>
      <c r="AE139" s="12"/>
      <c r="AF139" s="12"/>
      <c r="AG139" s="12"/>
      <c r="AH139" s="12"/>
    </row>
    <row r="140" spans="5:34" ht="15">
      <c r="E140" s="114"/>
      <c r="G140" s="12"/>
      <c r="H140" s="12"/>
      <c r="I140" s="12"/>
      <c r="J140" s="177"/>
      <c r="K140" s="12"/>
      <c r="L140" s="12"/>
      <c r="M140" s="12"/>
      <c r="N140" s="12"/>
      <c r="O140" s="177"/>
      <c r="P140" s="12"/>
      <c r="Q140" s="12"/>
      <c r="R140" s="12"/>
      <c r="S140" s="12"/>
      <c r="T140" s="12"/>
      <c r="U140" s="12"/>
      <c r="V140" s="12"/>
      <c r="W140" s="12"/>
      <c r="X140" s="12"/>
      <c r="Y140" s="12"/>
      <c r="Z140" s="12"/>
      <c r="AA140" s="12"/>
      <c r="AB140" s="12"/>
      <c r="AC140" s="12"/>
      <c r="AD140" s="12"/>
      <c r="AE140" s="12"/>
      <c r="AF140" s="12"/>
      <c r="AG140" s="12"/>
      <c r="AH140" s="12"/>
    </row>
    <row r="141" spans="5:34" ht="15">
      <c r="E141" s="114"/>
      <c r="G141" s="12"/>
      <c r="H141" s="12"/>
      <c r="I141" s="12"/>
      <c r="J141" s="177"/>
      <c r="K141" s="12"/>
      <c r="L141" s="12"/>
      <c r="M141" s="12"/>
      <c r="N141" s="12"/>
      <c r="O141" s="177"/>
      <c r="P141" s="12"/>
      <c r="Q141" s="12"/>
      <c r="R141" s="12"/>
      <c r="S141" s="12"/>
      <c r="T141" s="12"/>
      <c r="U141" s="12"/>
      <c r="V141" s="12"/>
      <c r="W141" s="12"/>
      <c r="X141" s="12"/>
      <c r="Y141" s="12"/>
      <c r="Z141" s="12"/>
      <c r="AA141" s="12"/>
      <c r="AB141" s="12"/>
      <c r="AC141" s="12"/>
      <c r="AD141" s="12"/>
      <c r="AE141" s="12"/>
      <c r="AF141" s="12"/>
      <c r="AG141" s="12"/>
      <c r="AH141" s="12"/>
    </row>
    <row r="142" spans="5:34" ht="15">
      <c r="E142" s="114"/>
      <c r="G142" s="12"/>
      <c r="H142" s="12"/>
      <c r="I142" s="12"/>
      <c r="J142" s="177"/>
      <c r="K142" s="12"/>
      <c r="L142" s="12"/>
      <c r="M142" s="12"/>
      <c r="N142" s="12"/>
      <c r="O142" s="177"/>
      <c r="P142" s="12"/>
      <c r="Q142" s="12"/>
      <c r="R142" s="12"/>
      <c r="S142" s="12"/>
      <c r="T142" s="12"/>
      <c r="U142" s="12"/>
      <c r="V142" s="12"/>
      <c r="W142" s="12"/>
      <c r="X142" s="12"/>
      <c r="Y142" s="12"/>
      <c r="Z142" s="12"/>
      <c r="AA142" s="12"/>
      <c r="AB142" s="12"/>
      <c r="AC142" s="12"/>
      <c r="AD142" s="12"/>
      <c r="AE142" s="12"/>
      <c r="AF142" s="12"/>
      <c r="AG142" s="12"/>
      <c r="AH142" s="12"/>
    </row>
    <row r="143" spans="5:34" ht="15">
      <c r="E143" s="114"/>
      <c r="G143" s="12"/>
      <c r="H143" s="12"/>
      <c r="I143" s="12"/>
      <c r="J143" s="177"/>
      <c r="K143" s="12"/>
      <c r="L143" s="12"/>
      <c r="M143" s="12"/>
      <c r="N143" s="12"/>
      <c r="O143" s="177"/>
      <c r="P143" s="12"/>
      <c r="Q143" s="12"/>
      <c r="R143" s="12"/>
      <c r="S143" s="12"/>
      <c r="T143" s="12"/>
      <c r="U143" s="12"/>
      <c r="V143" s="12"/>
      <c r="W143" s="12"/>
      <c r="X143" s="12"/>
      <c r="Y143" s="12"/>
      <c r="Z143" s="12"/>
      <c r="AA143" s="12"/>
      <c r="AB143" s="12"/>
      <c r="AC143" s="12"/>
      <c r="AD143" s="12"/>
      <c r="AE143" s="12"/>
      <c r="AF143" s="12"/>
      <c r="AG143" s="12"/>
      <c r="AH143" s="12"/>
    </row>
    <row r="144" spans="5:34" ht="15">
      <c r="E144" s="114"/>
      <c r="G144" s="12"/>
      <c r="H144" s="12"/>
      <c r="I144" s="12"/>
      <c r="J144" s="177"/>
      <c r="K144" s="12"/>
      <c r="L144" s="12"/>
      <c r="M144" s="12"/>
      <c r="N144" s="12"/>
      <c r="O144" s="177"/>
      <c r="P144" s="12"/>
      <c r="Q144" s="12"/>
      <c r="R144" s="12"/>
      <c r="S144" s="12"/>
      <c r="T144" s="12"/>
      <c r="U144" s="12"/>
      <c r="V144" s="12"/>
      <c r="W144" s="12"/>
      <c r="X144" s="12"/>
      <c r="Y144" s="12"/>
      <c r="Z144" s="12"/>
      <c r="AA144" s="12"/>
      <c r="AB144" s="12"/>
      <c r="AC144" s="12"/>
      <c r="AD144" s="12"/>
      <c r="AE144" s="12"/>
      <c r="AF144" s="12"/>
      <c r="AG144" s="12"/>
      <c r="AH144" s="12"/>
    </row>
    <row r="145" spans="5:34" ht="15">
      <c r="E145" s="114"/>
      <c r="G145" s="12"/>
      <c r="H145" s="12"/>
      <c r="I145" s="12"/>
      <c r="J145" s="177"/>
      <c r="K145" s="12"/>
      <c r="L145" s="12"/>
      <c r="M145" s="12"/>
      <c r="N145" s="12"/>
      <c r="O145" s="177"/>
      <c r="P145" s="12"/>
      <c r="Q145" s="12"/>
      <c r="R145" s="12"/>
      <c r="S145" s="12"/>
      <c r="T145" s="12"/>
      <c r="U145" s="12"/>
      <c r="V145" s="12"/>
      <c r="W145" s="12"/>
      <c r="X145" s="12"/>
      <c r="Y145" s="12"/>
      <c r="Z145" s="12"/>
      <c r="AA145" s="12"/>
      <c r="AB145" s="12"/>
      <c r="AC145" s="12"/>
      <c r="AD145" s="12"/>
      <c r="AE145" s="12"/>
      <c r="AF145" s="12"/>
      <c r="AG145" s="12"/>
      <c r="AH145" s="12"/>
    </row>
    <row r="146" spans="5:34" ht="15">
      <c r="E146" s="114"/>
      <c r="G146" s="12"/>
      <c r="H146" s="12"/>
      <c r="I146" s="12"/>
      <c r="J146" s="177"/>
      <c r="K146" s="12"/>
      <c r="L146" s="12"/>
      <c r="M146" s="12"/>
      <c r="N146" s="12"/>
      <c r="O146" s="177"/>
      <c r="P146" s="12"/>
      <c r="Q146" s="12"/>
      <c r="R146" s="12"/>
      <c r="S146" s="12"/>
      <c r="T146" s="12"/>
      <c r="U146" s="12"/>
      <c r="V146" s="12"/>
      <c r="W146" s="12"/>
      <c r="X146" s="12"/>
      <c r="Y146" s="12"/>
      <c r="Z146" s="12"/>
      <c r="AA146" s="12"/>
      <c r="AB146" s="12"/>
      <c r="AC146" s="12"/>
      <c r="AD146" s="12"/>
      <c r="AE146" s="12"/>
      <c r="AF146" s="12"/>
      <c r="AG146" s="12"/>
      <c r="AH146" s="12"/>
    </row>
    <row r="147" spans="5:34" ht="15">
      <c r="E147" s="114"/>
      <c r="G147" s="12"/>
      <c r="H147" s="12"/>
      <c r="I147" s="12"/>
      <c r="J147" s="177"/>
      <c r="K147" s="12"/>
      <c r="L147" s="12"/>
      <c r="M147" s="12"/>
      <c r="N147" s="12"/>
      <c r="O147" s="177"/>
      <c r="P147" s="12"/>
      <c r="Q147" s="12"/>
      <c r="R147" s="12"/>
      <c r="S147" s="12"/>
      <c r="T147" s="12"/>
      <c r="U147" s="12"/>
      <c r="V147" s="12"/>
      <c r="W147" s="12"/>
      <c r="X147" s="12"/>
      <c r="Y147" s="12"/>
      <c r="Z147" s="12"/>
      <c r="AA147" s="12"/>
      <c r="AB147" s="12"/>
      <c r="AC147" s="12"/>
      <c r="AD147" s="12"/>
      <c r="AE147" s="12"/>
      <c r="AF147" s="12"/>
      <c r="AG147" s="12"/>
      <c r="AH147"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09996986389"/>
  </sheetPr>
  <dimension ref="A1:AQ26"/>
  <sheetViews>
    <sheetView workbookViewId="0" topLeftCell="A1">
      <selection pane="topLeft" activeCell="J22" sqref="J22:J26"/>
    </sheetView>
  </sheetViews>
  <sheetFormatPr defaultColWidth="9.14428571428571" defaultRowHeight="15"/>
  <cols>
    <col min="2" max="2" width="13.1428571428571" customWidth="1"/>
    <col min="3" max="3" width="25.4285714285714" customWidth="1"/>
    <col min="4" max="4" width="21.8571428571429" customWidth="1"/>
  </cols>
  <sheetData>
    <row r="1" spans="1:2" ht="15">
      <c r="A1" t="str">
        <f>IF(AGR,"TS DATA","")</f>
        <v>TS DATA</v>
      </c>
      <c r="B1" t="s">
        <v>17</v>
      </c>
    </row>
    <row r="2" spans="1:3" ht="15.75" thickBot="1">
      <c r="A2" t="s">
        <v>16</v>
      </c>
      <c r="B2" s="4" t="s">
        <v>185</v>
      </c>
      <c r="C2" s="4"/>
    </row>
    <row r="3" spans="1:1" ht="15">
      <c r="A3" t="s">
        <v>16</v>
      </c>
    </row>
    <row r="4" spans="1:37" ht="15.75" thickBot="1">
      <c r="A4" t="s">
        <v>16</v>
      </c>
      <c r="B4" s="4" t="s">
        <v>11</v>
      </c>
      <c r="C4" s="4"/>
      <c r="D4" s="47"/>
      <c r="E4" s="15"/>
      <c r="F4" s="15"/>
      <c r="G4" s="15"/>
      <c r="H4" s="15"/>
      <c r="I4" s="15"/>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 ht="15">
      <c r="A5" t="s">
        <v>16</v>
      </c>
      <c r="B5" t="s">
        <v>9</v>
      </c>
      <c r="C5" t="s">
        <v>10</v>
      </c>
      <c r="D5" t="s">
        <v>264</v>
      </c>
    </row>
    <row r="6" spans="1:42" ht="15">
      <c r="A6" t="s">
        <v>16</v>
      </c>
      <c r="B6" s="23" t="s">
        <v>126</v>
      </c>
      <c r="C6" t="s">
        <v>1</v>
      </c>
      <c r="D6">
        <f>MATCH(B6,Drivers!A7:A25,0)</f>
        <v>1</v>
      </c>
      <c r="J6" s="111" cm="1">
        <f t="array" ref="J6">INDEX(Drivers!$C$7:$AG$25,$D$6,MATCH(J$4,Drivers!$C$5:$AG$5,0))</f>
        <v>106.45368114150588</v>
      </c>
      <c r="K6" s="111" cm="1">
        <f t="array" ref="K6">INDEX(Drivers!$C$7:$AG$25,$D$6,MATCH(K$4,Drivers!$C$5:$AG$5,0))</f>
        <v>104.83293209544796</v>
      </c>
      <c r="L6" s="111" cm="1">
        <f t="array" ref="L6">INDEX(Drivers!$C$7:$AG$25,$D$6,MATCH(L$4,Drivers!$C$5:$AG$5,0))</f>
        <v>103.19</v>
      </c>
      <c r="M6" s="111" cm="1">
        <f t="array" ref="M6">INDEX(Drivers!$C$7:$AG$25,$D$6,MATCH(M$4,Drivers!$C$5:$AG$5,0))</f>
        <v>101.98</v>
      </c>
      <c r="N6" s="111" cm="1">
        <f t="array" ref="N6">INDEX(Drivers!$C$7:$AG$25,$D$6,MATCH(N$4,Drivers!$C$5:$AG$5,0))</f>
        <v>108.90793233022519</v>
      </c>
      <c r="O6" s="111" cm="1">
        <f t="array" ref="O6">INDEX(Drivers!$C$7:$AG$25,$D$6,MATCH(O$4,Drivers!$C$5:$AG$5,0))</f>
        <v>105.34181795440921</v>
      </c>
      <c r="P6" s="111" cm="1">
        <f t="array" ref="P6">INDEX(Drivers!$C$7:$AG$25,$D$6,MATCH(P$4,Drivers!$C$5:$AG$5,0))</f>
        <v>103.0278987597445</v>
      </c>
      <c r="Q6" s="111" cm="1">
        <f t="array" ref="Q6">INDEX(Drivers!$C$7:$AG$25,$D$6,MATCH(Q$4,Drivers!$C$5:$AG$5,0))</f>
        <v>102.08977859536785</v>
      </c>
      <c r="R6" s="111" cm="1">
        <f t="array" ref="R6">INDEX(Drivers!$C$7:$AG$25,$D$6,MATCH(R$4,Drivers!$C$5:$AG$5,0))</f>
        <v>104.02932601624302</v>
      </c>
      <c r="S6" s="111" cm="1">
        <f t="array" ref="S6">INDEX(Drivers!$C$7:$AG$25,$D$6,MATCH(S$4,Drivers!$C$5:$AG$5,0))</f>
        <v>105.05502858452884</v>
      </c>
      <c r="T6" s="111" cm="1">
        <f t="array" ref="T6">INDEX(Drivers!$C$7:$AG$25,$D$6,MATCH(T$4,Drivers!$C$5:$AG$5,0))</f>
        <v>106.6463424631479</v>
      </c>
      <c r="U6" s="111" cm="1">
        <f t="array" ref="U6">INDEX(Drivers!$C$7:$AG$25,$D$6,MATCH(U$4,Drivers!$C$5:$AG$5,0))</f>
        <v>108.50131133348475</v>
      </c>
      <c r="V6" s="111" cm="1">
        <f t="array" ref="V6">INDEX(Drivers!$C$7:$AG$25,$D$6,MATCH(V$4,Drivers!$C$5:$AG$5,0))</f>
        <v>110.15971969214554</v>
      </c>
      <c r="W6" s="111" cm="1">
        <f t="array" ref="W6">INDEX(Drivers!$C$7:$AG$25,$D$6,MATCH(W$4,Drivers!$C$5:$AG$5,0))</f>
        <v>112.84428016818234</v>
      </c>
      <c r="X6" s="111" cm="1">
        <f t="array" ref="X6">INDEX(Drivers!$C$7:$AG$25,$D$6,MATCH(X$4,Drivers!$C$5:$AG$5,0))</f>
        <v>115.438778591024</v>
      </c>
      <c r="Y6" s="111" cm="1">
        <f t="array" ref="Y6">INDEX(Drivers!$C$7:$AG$25,$D$6,MATCH(Y$4,Drivers!$C$5:$AG$5,0))</f>
        <v>117.94705085001384</v>
      </c>
      <c r="Z6" s="111" cm="1">
        <f t="array" ref="Z6">INDEX(Drivers!$C$7:$AG$25,$D$6,MATCH(Z$4,Drivers!$C$5:$AG$5,0))</f>
        <v>120.20048102939873</v>
      </c>
      <c r="AA6" s="111" cm="1">
        <f t="array" ref="AA6">INDEX(Drivers!$C$7:$AG$25,$D$6,MATCH(AA$4,Drivers!$C$5:$AG$5,0))</f>
        <v>122.55614176299642</v>
      </c>
      <c r="AB6" s="111" cm="1">
        <f t="array" ref="AB6">INDEX(Drivers!$C$7:$AG$25,$D$6,MATCH(AB$4,Drivers!$C$5:$AG$5,0))</f>
        <v>126.42387237405461</v>
      </c>
      <c r="AC6" s="111" cm="1">
        <f t="array" ref="AC6">INDEX(Drivers!$C$7:$AG$25,$D$6,MATCH(AC$4,Drivers!$C$5:$AG$5,0))</f>
        <v>128.82930447043134</v>
      </c>
      <c r="AD6" s="111" cm="1">
        <f t="array" ref="AD6">INDEX(Drivers!$C$7:$AG$25,$D$6,MATCH(AD$4,Drivers!$C$5:$AG$5,0))</f>
        <v>131.1863105072681</v>
      </c>
      <c r="AE6" s="111" cm="1">
        <f t="array" ref="AE6">INDEX(Drivers!$C$7:$AG$25,$D$6,MATCH(AE$4,Drivers!$C$5:$AG$5,0))</f>
        <v>133.50154862187097</v>
      </c>
      <c r="AF6" s="111" cm="1">
        <f t="array" ref="AF6">INDEX(Drivers!$C$7:$AG$25,$D$6,MATCH(AF$4,Drivers!$C$5:$AG$5,0))</f>
        <v>135.89728061629887</v>
      </c>
      <c r="AG6" s="111" cm="1">
        <f t="array" ref="AG6">INDEX(Drivers!$C$7:$AG$25,$D$6,MATCH(AG$4,Drivers!$C$5:$AG$5,0))</f>
        <v>138.28101726667424</v>
      </c>
      <c r="AH6" s="111" cm="1">
        <f t="array" ref="AH6">INDEX(Drivers!$C$7:$AG$25,$D$6,MATCH(AH$4,Drivers!$C$5:$AG$5,0))</f>
        <v>151.62529788424214</v>
      </c>
      <c r="AI6" s="111" cm="1">
        <f t="array" ref="AI6">INDEX(Drivers!$C$7:$AG$25,$D$6,MATCH(AI$4,Drivers!$C$5:$AG$5,0))</f>
        <v>168.05941740930876</v>
      </c>
      <c r="AJ6" s="111" cm="1">
        <f t="array" ref="AJ6">INDEX(Drivers!$C$7:$AK$25,$D$6,MATCH(AJ$4,Drivers!$C$5:$AK$5,0))</f>
        <v>211.20966912741378</v>
      </c>
      <c r="AK6" s="111" cm="1">
        <f t="array" ref="AK6">INDEX(Drivers!$C$7:$AK$25,$D$6,MATCH(AK$4,Drivers!$C$5:$AK$5,0))</f>
        <v>230.13380505706454</v>
      </c>
      <c r="AL6" s="111"/>
      <c r="AM6" s="22"/>
      <c r="AN6" s="22"/>
      <c r="AO6" s="22"/>
      <c r="AP6" s="22"/>
    </row>
    <row r="7" spans="1:2" ht="15">
      <c r="A7" t="s">
        <v>16</v>
      </c>
      <c r="B7" s="23"/>
    </row>
    <row r="8" spans="1:7" ht="15.75" thickBot="1">
      <c r="A8" t="s">
        <v>16</v>
      </c>
      <c r="B8" s="4" t="s">
        <v>12</v>
      </c>
      <c r="C8" s="4"/>
      <c r="E8">
        <v>2020</v>
      </c>
      <c r="F8">
        <v>2030</v>
      </c>
      <c r="G8">
        <v>2050</v>
      </c>
    </row>
    <row r="9" spans="1:37" ht="15">
      <c r="A9" t="s">
        <v>16</v>
      </c>
      <c r="B9" s="23" t="str">
        <f>B6</f>
        <v>AGR</v>
      </c>
      <c r="C9" t="str">
        <f>C6</f>
        <v>Agriculture</v>
      </c>
      <c r="E9">
        <v>1</v>
      </c>
      <c r="F9">
        <v>1</v>
      </c>
      <c r="G9">
        <v>1</v>
      </c>
      <c r="J9">
        <v>1</v>
      </c>
      <c r="K9">
        <f t="shared" si="0" ref="K9:AK9">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1" ht="15">
      <c r="A10" t="s">
        <v>16</v>
      </c>
    </row>
    <row r="11" spans="1:1" ht="15">
      <c r="A11" t="s">
        <v>16</v>
      </c>
    </row>
    <row r="12" spans="1:1" ht="15">
      <c r="A12" t="s">
        <v>16</v>
      </c>
    </row>
    <row r="13" spans="1:1" ht="15">
      <c r="A13" t="s">
        <v>16</v>
      </c>
    </row>
    <row r="14" spans="1:1" ht="15">
      <c r="A14" t="s">
        <v>16</v>
      </c>
    </row>
    <row r="15" spans="1:1" ht="15">
      <c r="A15" t="s">
        <v>16</v>
      </c>
    </row>
    <row r="16" spans="1:2" ht="15">
      <c r="A16" t="s">
        <v>16</v>
      </c>
      <c r="B16" s="23"/>
    </row>
    <row r="17" spans="1:2" ht="15">
      <c r="A17" t="s">
        <v>16</v>
      </c>
      <c r="B17" s="23"/>
    </row>
    <row r="18" spans="1:2" ht="15">
      <c r="A18" t="s">
        <v>16</v>
      </c>
      <c r="B18" s="19"/>
    </row>
    <row r="19" spans="1:2" ht="15">
      <c r="A19" t="s">
        <v>16</v>
      </c>
      <c r="B19" s="19"/>
    </row>
    <row r="20" spans="1:1" ht="15">
      <c r="A20" t="s">
        <v>16</v>
      </c>
    </row>
    <row r="21" spans="1:37" ht="15.75" thickBot="1">
      <c r="A21" t="s">
        <v>16</v>
      </c>
      <c r="C21" s="6" t="s">
        <v>269</v>
      </c>
      <c r="D21" s="16"/>
      <c r="E21" s="16"/>
      <c r="F21" s="16"/>
      <c r="G21" s="16"/>
      <c r="H21" s="16"/>
      <c r="I21" s="17"/>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ht="15">
      <c r="A22" t="str">
        <f>IF('[3]TS BYDem'!$A10="*","*","")</f>
        <v/>
      </c>
      <c r="B22" t="str">
        <f>[3]AGR!$B28</f>
        <v>AH</v>
      </c>
      <c r="C22" t="s">
        <v>735</v>
      </c>
      <c r="D22" s="20" t="s">
        <v>289</v>
      </c>
      <c r="E22" s="21"/>
      <c r="F22" s="21"/>
      <c r="G22" s="21"/>
      <c r="H22" s="21"/>
      <c r="I22" s="20"/>
      <c r="J22" s="9">
        <f>SUMIF('BY-DMD'!$H$5:$H$9,D22,'BY-DMD'!$I$5:$I$9)</f>
        <v>2.5043970166379799</v>
      </c>
      <c r="K22" s="9">
        <f>K$6/J$6*J22*K$9</f>
        <v>2.4662677661307026</v>
      </c>
      <c r="L22" s="9">
        <f t="shared" si="1" ref="L22:AK22">L$6/K$6*K22*L$9</f>
        <v>2.4276166439312807</v>
      </c>
      <c r="M22" s="9">
        <f t="shared" si="1"/>
        <v>2.3991505509071809</v>
      </c>
      <c r="N22" s="9">
        <f t="shared" si="1"/>
        <v>2.5621349857640885</v>
      </c>
      <c r="O22" s="9">
        <f t="shared" si="1"/>
        <v>2.4782396605107353</v>
      </c>
      <c r="P22" s="9">
        <f t="shared" si="1"/>
        <v>2.4238030993160451</v>
      </c>
      <c r="Q22" s="9">
        <f t="shared" si="1"/>
        <v>2.4017331688475081</v>
      </c>
      <c r="R22" s="9">
        <f t="shared" si="1"/>
        <v>2.4473623732336942</v>
      </c>
      <c r="S22" s="9">
        <f t="shared" si="1"/>
        <v>2.4714927407740928</v>
      </c>
      <c r="T22" s="9">
        <f t="shared" si="1"/>
        <v>2.5089295084594738</v>
      </c>
      <c r="U22" s="9">
        <f t="shared" si="1"/>
        <v>2.5525689435171746</v>
      </c>
      <c r="V22" s="9">
        <f t="shared" si="1"/>
        <v>2.5915841555912098</v>
      </c>
      <c r="W22" s="9">
        <f t="shared" si="1"/>
        <v>2.6547403111611971</v>
      </c>
      <c r="X22" s="9">
        <f t="shared" si="1"/>
        <v>2.7157776941822638</v>
      </c>
      <c r="Y22" s="9">
        <f t="shared" si="1"/>
        <v>2.7747865466237291</v>
      </c>
      <c r="Z22" s="9">
        <f t="shared" si="1"/>
        <v>2.82780006159041</v>
      </c>
      <c r="AA22" s="9">
        <f t="shared" si="1"/>
        <v>2.883218621570419</v>
      </c>
      <c r="AB22" s="9">
        <f t="shared" si="1"/>
        <v>2.9742096788981383</v>
      </c>
      <c r="AC22" s="9">
        <f t="shared" si="1"/>
        <v>3.0307991448639355</v>
      </c>
      <c r="AD22" s="9">
        <f t="shared" si="1"/>
        <v>3.0862493540399352</v>
      </c>
      <c r="AE22" s="9">
        <f t="shared" si="1"/>
        <v>3.140716943745081</v>
      </c>
      <c r="AF22" s="9">
        <f t="shared" si="1"/>
        <v>3.1970782080543341</v>
      </c>
      <c r="AG22" s="9">
        <f t="shared" si="1"/>
        <v>3.2531572735374259</v>
      </c>
      <c r="AH22" s="9">
        <f t="shared" si="1"/>
        <v>3.5670907722145979</v>
      </c>
      <c r="AI22" s="9">
        <f t="shared" si="1"/>
        <v>3.9537148839251097</v>
      </c>
      <c r="AJ22" s="9">
        <f t="shared" si="1"/>
        <v>4.9688546189837011</v>
      </c>
      <c r="AK22" s="9">
        <f t="shared" si="1"/>
        <v>5.4140581014416727</v>
      </c>
      <c r="AL22" s="9"/>
      <c r="AM22" s="9"/>
      <c r="AN22" s="9"/>
      <c r="AO22" s="9"/>
      <c r="AP22" s="9"/>
      <c r="AQ22" s="9"/>
    </row>
    <row r="23" spans="1:43" ht="15">
      <c r="A23" t="str">
        <f>IF('[3]TS BYDem'!$A11="*","*","")</f>
        <v/>
      </c>
      <c r="B23" t="str">
        <f>[3]AGR!$B29</f>
        <v>AP</v>
      </c>
      <c r="C23" t="s">
        <v>736</v>
      </c>
      <c r="D23" s="20" t="s">
        <v>292</v>
      </c>
      <c r="E23" s="21"/>
      <c r="F23" s="21"/>
      <c r="G23" s="21"/>
      <c r="H23" s="21"/>
      <c r="I23" s="20"/>
      <c r="J23" s="9">
        <f>SUMIF('BY-DMD'!$H$5:$H$9,D23,'BY-DMD'!$I$5:$I$9)</f>
        <v>4.6040183871857696</v>
      </c>
      <c r="K23" s="9">
        <f>K$6/J$6*J23*K$9</f>
        <v>4.5339225640160148</v>
      </c>
      <c r="L23" s="9">
        <f t="shared" si="2" ref="L23:AK23">L$6/K$6*K23*L$9</f>
        <v>4.4628673454906425</v>
      </c>
      <c r="M23" s="9">
        <f t="shared" si="2"/>
        <v>4.4105360198966537</v>
      </c>
      <c r="N23" s="9">
        <f t="shared" si="2"/>
        <v>4.7101623690422185</v>
      </c>
      <c r="O23" s="9">
        <f t="shared" si="2"/>
        <v>4.55593138349988</v>
      </c>
      <c r="P23" s="9">
        <f t="shared" si="2"/>
        <v>4.4558566241823776</v>
      </c>
      <c r="Q23" s="9">
        <f t="shared" si="2"/>
        <v>4.4152838375970216</v>
      </c>
      <c r="R23" s="9">
        <f t="shared" si="2"/>
        <v>4.4991673810571866</v>
      </c>
      <c r="S23" s="9">
        <f t="shared" si="2"/>
        <v>4.5435280216055798</v>
      </c>
      <c r="T23" s="9">
        <f t="shared" si="2"/>
        <v>4.6123508023528919</v>
      </c>
      <c r="U23" s="9">
        <f t="shared" si="2"/>
        <v>4.6925764055928179</v>
      </c>
      <c r="V23" s="9">
        <f t="shared" si="2"/>
        <v>4.7643009574811401</v>
      </c>
      <c r="W23" s="9">
        <f t="shared" si="2"/>
        <v>4.880405592479681</v>
      </c>
      <c r="X23" s="9">
        <f t="shared" si="2"/>
        <v>4.9926151310902736</v>
      </c>
      <c r="Y23" s="9">
        <f t="shared" si="2"/>
        <v>5.1010954718039647</v>
      </c>
      <c r="Z23" s="9">
        <f t="shared" si="2"/>
        <v>5.1985541399202546</v>
      </c>
      <c r="AA23" s="9">
        <f t="shared" si="2"/>
        <v>5.3004341802829611</v>
      </c>
      <c r="AB23" s="9">
        <f t="shared" si="2"/>
        <v>5.4677097752557895</v>
      </c>
      <c r="AC23" s="9">
        <f t="shared" si="2"/>
        <v>5.5717423787514262</v>
      </c>
      <c r="AD23" s="9">
        <f t="shared" si="2"/>
        <v>5.6736806021734925</v>
      </c>
      <c r="AE23" s="9">
        <f t="shared" si="2"/>
        <v>5.7738124034981988</v>
      </c>
      <c r="AF23" s="9">
        <f t="shared" si="2"/>
        <v>5.8774254869993072</v>
      </c>
      <c r="AG23" s="9">
        <f t="shared" si="2"/>
        <v>5.9805197835126274</v>
      </c>
      <c r="AH23" s="9">
        <f t="shared" si="2"/>
        <v>6.5576469684841117</v>
      </c>
      <c r="AI23" s="9">
        <f t="shared" si="2"/>
        <v>7.268406687258314</v>
      </c>
      <c r="AJ23" s="9">
        <f t="shared" si="2"/>
        <v>9.1346131931448564</v>
      </c>
      <c r="AK23" s="9">
        <f t="shared" si="2"/>
        <v>9.9530637046485353</v>
      </c>
      <c r="AL23" s="9"/>
      <c r="AM23" s="9"/>
      <c r="AN23" s="9"/>
      <c r="AO23" s="9"/>
      <c r="AP23" s="9"/>
      <c r="AQ23" s="9"/>
    </row>
    <row r="24" spans="1:43" ht="15">
      <c r="A24" t="str">
        <f>IF('[3]TS BYDem'!$A12="*","*","")</f>
        <v/>
      </c>
      <c r="B24" t="str">
        <f>[3]AGR!$B30</f>
        <v>AT</v>
      </c>
      <c r="C24" t="s">
        <v>737</v>
      </c>
      <c r="D24" s="20" t="s">
        <v>293</v>
      </c>
      <c r="E24" s="21"/>
      <c r="F24" s="21"/>
      <c r="G24" s="21"/>
      <c r="H24" s="21"/>
      <c r="I24" s="20"/>
      <c r="J24" s="9">
        <f>SUMIF('BY-DMD'!$H$5:$H$9,D24,'BY-DMD'!$I$5:$I$9)</f>
        <v>7.9249894633578597</v>
      </c>
      <c r="K24" s="9">
        <f>K$6/J$6*J24*K$9</f>
        <v>7.8043321129024763</v>
      </c>
      <c r="L24" s="9">
        <f t="shared" si="3" ref="L24:AK24">L$6/K$6*K24*L$9</f>
        <v>7.6820233359224668</v>
      </c>
      <c r="M24" s="9">
        <f t="shared" si="3"/>
        <v>7.5919443724912608</v>
      </c>
      <c r="N24" s="9">
        <f t="shared" si="3"/>
        <v>8.10769723449806</v>
      </c>
      <c r="O24" s="9">
        <f t="shared" si="3"/>
        <v>7.8422163366049791</v>
      </c>
      <c r="P24" s="9">
        <f t="shared" si="3"/>
        <v>7.6699556403083111</v>
      </c>
      <c r="Q24" s="9">
        <f t="shared" si="3"/>
        <v>7.6001168866050364</v>
      </c>
      <c r="R24" s="9">
        <f t="shared" si="3"/>
        <v>7.7445073173472725</v>
      </c>
      <c r="S24" s="9">
        <f t="shared" si="3"/>
        <v>7.8208661802728203</v>
      </c>
      <c r="T24" s="9">
        <f t="shared" si="3"/>
        <v>7.9393322171981904</v>
      </c>
      <c r="U24" s="9">
        <f t="shared" si="3"/>
        <v>8.0774261618569501</v>
      </c>
      <c r="V24" s="9">
        <f t="shared" si="3"/>
        <v>8.2008870758187786</v>
      </c>
      <c r="W24" s="9">
        <f t="shared" si="3"/>
        <v>8.4007403195789276</v>
      </c>
      <c r="X24" s="9">
        <f t="shared" si="3"/>
        <v>8.5938888555735371</v>
      </c>
      <c r="Y24" s="9">
        <f t="shared" si="3"/>
        <v>8.7806182482124253</v>
      </c>
      <c r="Z24" s="9">
        <f t="shared" si="3"/>
        <v>8.9483758140996876</v>
      </c>
      <c r="AA24" s="9">
        <f t="shared" si="3"/>
        <v>9.1237439769741293</v>
      </c>
      <c r="AB24" s="9">
        <f t="shared" si="3"/>
        <v>9.4116788234826156</v>
      </c>
      <c r="AC24" s="9">
        <f t="shared" si="3"/>
        <v>9.5907522365782913</v>
      </c>
      <c r="AD24" s="9">
        <f t="shared" si="3"/>
        <v>9.7662205511232099</v>
      </c>
      <c r="AE24" s="9">
        <f t="shared" si="3"/>
        <v>9.9385794349743222</v>
      </c>
      <c r="AF24" s="9">
        <f t="shared" si="3"/>
        <v>10.116930719864438</v>
      </c>
      <c r="AG24" s="9">
        <f t="shared" si="3"/>
        <v>10.29438900627666</v>
      </c>
      <c r="AH24" s="9">
        <f t="shared" si="3"/>
        <v>11.287809639140837</v>
      </c>
      <c r="AI24" s="9">
        <f t="shared" si="3"/>
        <v>12.511254640564431</v>
      </c>
      <c r="AJ24" s="9">
        <f t="shared" si="3"/>
        <v>15.723593439376438</v>
      </c>
      <c r="AK24" s="9">
        <f t="shared" si="3"/>
        <v>17.132408768611306</v>
      </c>
      <c r="AL24" s="9"/>
      <c r="AM24" s="9"/>
      <c r="AN24" s="9"/>
      <c r="AO24" s="9"/>
      <c r="AP24" s="9"/>
      <c r="AQ24" s="9"/>
    </row>
    <row r="25" spans="1:43" ht="15">
      <c r="A25" t="str">
        <f>IF('[3]TS BYDem'!$A13="*","*","")</f>
        <v/>
      </c>
      <c r="B25" t="str">
        <f>[3]AGR!$B31</f>
        <v>AI</v>
      </c>
      <c r="C25" t="s">
        <v>738</v>
      </c>
      <c r="D25" s="20" t="s">
        <v>290</v>
      </c>
      <c r="E25" s="21"/>
      <c r="F25" s="21"/>
      <c r="G25" s="21"/>
      <c r="H25" s="21"/>
      <c r="I25" s="20"/>
      <c r="J25" s="9">
        <f>SUMIF('BY-DMD'!$H$5:$H$9,D25,'BY-DMD'!$I$5:$I$9)</f>
        <v>5.7709645233647997</v>
      </c>
      <c r="K25" s="9">
        <f>K$6/J$6*J25*K$9</f>
        <v>5.6831020357008502</v>
      </c>
      <c r="L25" s="9">
        <f t="shared" si="4" ref="L25:AK25">L$6/K$6*K25*L$9</f>
        <v>5.5940369819097624</v>
      </c>
      <c r="M25" s="9">
        <f t="shared" si="4"/>
        <v>5.5284416262734526</v>
      </c>
      <c r="N25" s="9">
        <f t="shared" si="4"/>
        <v>5.9040120271208991</v>
      </c>
      <c r="O25" s="9">
        <f t="shared" si="4"/>
        <v>5.7106892661941169</v>
      </c>
      <c r="P25" s="9">
        <f t="shared" si="4"/>
        <v>5.5852493054604686</v>
      </c>
      <c r="Q25" s="9">
        <f t="shared" si="4"/>
        <v>5.5343928378473448</v>
      </c>
      <c r="R25" s="9">
        <f t="shared" si="4"/>
        <v>5.639537716232299</v>
      </c>
      <c r="S25" s="9">
        <f t="shared" si="4"/>
        <v>5.6951421168469976</v>
      </c>
      <c r="T25" s="9">
        <f t="shared" si="4"/>
        <v>5.7814088935387442</v>
      </c>
      <c r="U25" s="9">
        <f t="shared" si="4"/>
        <v>5.8819686809305045</v>
      </c>
      <c r="V25" s="9">
        <f t="shared" si="4"/>
        <v>5.9718727190103253</v>
      </c>
      <c r="W25" s="9">
        <f t="shared" si="4"/>
        <v>6.1174055282275281</v>
      </c>
      <c r="X25" s="9">
        <f t="shared" si="4"/>
        <v>6.2580559800821929</v>
      </c>
      <c r="Y25" s="9">
        <f t="shared" si="4"/>
        <v>6.3940320221161837</v>
      </c>
      <c r="Z25" s="9">
        <f t="shared" si="4"/>
        <v>6.5161928105610976</v>
      </c>
      <c r="AA25" s="9">
        <f t="shared" si="4"/>
        <v>6.6438956234361646</v>
      </c>
      <c r="AB25" s="9">
        <f t="shared" si="4"/>
        <v>6.8535693134674078</v>
      </c>
      <c r="AC25" s="9">
        <f t="shared" si="4"/>
        <v>6.9839702835672632</v>
      </c>
      <c r="AD25" s="9">
        <f t="shared" si="4"/>
        <v>7.1117460267269621</v>
      </c>
      <c r="AE25" s="9">
        <f t="shared" si="4"/>
        <v>7.2372574874791233</v>
      </c>
      <c r="AF25" s="9">
        <f t="shared" si="4"/>
        <v>7.3671326049863826</v>
      </c>
      <c r="AG25" s="9">
        <f t="shared" si="4"/>
        <v>7.4963574424447943</v>
      </c>
      <c r="AH25" s="9">
        <f t="shared" si="4"/>
        <v>8.2197647422961033</v>
      </c>
      <c r="AI25" s="9">
        <f t="shared" si="4"/>
        <v>9.1106754156980596</v>
      </c>
      <c r="AJ25" s="9">
        <f t="shared" si="4"/>
        <v>11.449895339041356</v>
      </c>
      <c r="AK25" s="9">
        <f t="shared" si="4"/>
        <v>12.47579238566558</v>
      </c>
      <c r="AL25" s="9"/>
      <c r="AM25" s="9"/>
      <c r="AN25" s="9"/>
      <c r="AO25" s="9"/>
      <c r="AP25" s="9"/>
      <c r="AQ25" s="9"/>
    </row>
    <row r="26" spans="1:43" ht="15">
      <c r="A26" t="str">
        <f>IF('[3]TS BYDem'!$A14="*","*","")</f>
        <v/>
      </c>
      <c r="B26" t="str">
        <f>[3]AGR!$B32</f>
        <v>AO</v>
      </c>
      <c r="C26" t="s">
        <v>739</v>
      </c>
      <c r="D26" s="20" t="s">
        <v>291</v>
      </c>
      <c r="E26" s="21"/>
      <c r="F26" s="21"/>
      <c r="G26" s="21"/>
      <c r="H26" s="21"/>
      <c r="I26" s="20"/>
      <c r="J26" s="9">
        <f>SUMIF('BY-DMD'!$H$5:$H$9,D26,'BY-DMD'!$I$5:$I$9)</f>
        <v>10.1217912486754</v>
      </c>
      <c r="K26" s="9">
        <f>K$6/J$6*J26*K$9</f>
        <v>9.9676877612733854</v>
      </c>
      <c r="L26" s="9">
        <f t="shared" si="5" ref="L26:AK26">L$6/K$6*K26*L$9</f>
        <v>9.8114750730172791</v>
      </c>
      <c r="M26" s="9">
        <f t="shared" si="5"/>
        <v>9.6964262810960573</v>
      </c>
      <c r="N26" s="9">
        <f t="shared" si="5"/>
        <v>10.355145491926127</v>
      </c>
      <c r="O26" s="9">
        <f t="shared" si="5"/>
        <v>10.016073466479407</v>
      </c>
      <c r="P26" s="9">
        <f t="shared" si="5"/>
        <v>9.7960622202401488</v>
      </c>
      <c r="Q26" s="9">
        <f t="shared" si="5"/>
        <v>9.7068642106628982</v>
      </c>
      <c r="R26" s="9">
        <f t="shared" si="5"/>
        <v>9.8912795723534863</v>
      </c>
      <c r="S26" s="9">
        <f t="shared" si="5"/>
        <v>9.9888050610739647</v>
      </c>
      <c r="T26" s="9">
        <f t="shared" si="5"/>
        <v>10.140109804299252</v>
      </c>
      <c r="U26" s="9">
        <f t="shared" si="5"/>
        <v>10.316483298170102</v>
      </c>
      <c r="V26" s="9">
        <f t="shared" si="5"/>
        <v>10.474167495009755</v>
      </c>
      <c r="W26" s="9">
        <f t="shared" si="5"/>
        <v>10.729419924437437</v>
      </c>
      <c r="X26" s="9">
        <f t="shared" si="5"/>
        <v>10.976109105585742</v>
      </c>
      <c r="Y26" s="9">
        <f t="shared" si="5"/>
        <v>11.214599761128135</v>
      </c>
      <c r="Z26" s="9">
        <f t="shared" si="5"/>
        <v>11.428859612216609</v>
      </c>
      <c r="AA26" s="9">
        <f t="shared" si="5"/>
        <v>11.652839712693199</v>
      </c>
      <c r="AB26" s="9">
        <f t="shared" si="5"/>
        <v>12.020589906312185</v>
      </c>
      <c r="AC26" s="9">
        <f t="shared" si="5"/>
        <v>12.249302349896213</v>
      </c>
      <c r="AD26" s="9">
        <f t="shared" si="5"/>
        <v>12.473410364019433</v>
      </c>
      <c r="AE26" s="9">
        <f t="shared" si="5"/>
        <v>12.693547015337638</v>
      </c>
      <c r="AF26" s="9">
        <f t="shared" si="5"/>
        <v>12.921337157259909</v>
      </c>
      <c r="AG26" s="9">
        <f t="shared" si="5"/>
        <v>13.147986762122741</v>
      </c>
      <c r="AH26" s="9">
        <f t="shared" si="5"/>
        <v>14.416782930807837</v>
      </c>
      <c r="AI26" s="9">
        <f t="shared" si="5"/>
        <v>15.979366069359806</v>
      </c>
      <c r="AJ26" s="9">
        <f t="shared" si="5"/>
        <v>20.082163037347094</v>
      </c>
      <c r="AK26" s="9">
        <f t="shared" si="5"/>
        <v>21.881501034751484</v>
      </c>
      <c r="AL26" s="9"/>
      <c r="AM26" s="9"/>
      <c r="AN26" s="9"/>
      <c r="AO26" s="9"/>
      <c r="AP26" s="9"/>
      <c r="AQ26" s="9"/>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09996986389"/>
  </sheetPr>
  <dimension ref="A1:AW136"/>
  <sheetViews>
    <sheetView zoomScale="80" zoomScaleNormal="80" workbookViewId="0" topLeftCell="D1">
      <selection pane="topLeft" activeCell="AS13" sqref="AS13"/>
    </sheetView>
  </sheetViews>
  <sheetFormatPr defaultColWidth="8.85428571428571" defaultRowHeight="15"/>
  <cols>
    <col min="2" max="2" width="11.8571428571429" customWidth="1"/>
    <col min="3" max="3" width="34.8571428571429" customWidth="1"/>
    <col min="5" max="5" width="6.42857142857143" customWidth="1"/>
    <col min="6" max="6" width="9.71428571428571" customWidth="1"/>
    <col min="7" max="9" width="6.42857142857143" customWidth="1"/>
    <col min="10" max="10" width="9.14285714285714" customWidth="1"/>
    <col min="11" max="11" width="8.85714285714286" style="8" customWidth="1"/>
    <col min="12" max="12" width="8.42857142857143" customWidth="1"/>
    <col min="13" max="13" width="8.28571428571429" customWidth="1"/>
    <col min="14" max="15" width="6.42857142857143" customWidth="1"/>
    <col min="16" max="16" width="7.14285714285714" customWidth="1"/>
    <col min="17" max="30" width="6.42857142857143" customWidth="1"/>
    <col min="31" max="47" width="6.14285714285714" customWidth="1"/>
    <col min="48" max="48" width="10.4285714285714" customWidth="1"/>
    <col min="49" max="49" width="6.14285714285714" customWidth="1"/>
  </cols>
  <sheetData>
    <row r="1" spans="1:7" ht="15">
      <c r="A1" t="s">
        <v>588</v>
      </c>
      <c r="B1" t="s">
        <v>17</v>
      </c>
      <c r="G1" t="s">
        <v>267</v>
      </c>
    </row>
    <row r="2" spans="1:9" ht="15.75" thickBot="1">
      <c r="A2" t="s">
        <v>16</v>
      </c>
      <c r="B2" s="4" t="s">
        <v>185</v>
      </c>
      <c r="C2" s="4"/>
      <c r="G2" t="s">
        <v>266</v>
      </c>
      <c r="I2">
        <v>1</v>
      </c>
    </row>
    <row r="3" spans="1:49" ht="15">
      <c r="A3" t="s">
        <v>16</v>
      </c>
      <c r="G3" t="s">
        <v>268</v>
      </c>
      <c r="I3">
        <v>0</v>
      </c>
      <c r="K3" s="8">
        <v>2012</v>
      </c>
      <c r="L3" s="8">
        <v>2013</v>
      </c>
      <c r="M3" s="8">
        <v>2014</v>
      </c>
      <c r="N3" s="8">
        <v>2015</v>
      </c>
      <c r="O3" s="8">
        <v>2016</v>
      </c>
      <c r="P3" s="8">
        <v>2017</v>
      </c>
      <c r="Q3" s="8">
        <v>2018</v>
      </c>
      <c r="R3" s="8">
        <v>2019</v>
      </c>
      <c r="S3" s="8">
        <v>2020</v>
      </c>
      <c r="T3" s="8">
        <v>2021</v>
      </c>
      <c r="U3" s="8">
        <v>2022</v>
      </c>
      <c r="V3" s="8">
        <v>2023</v>
      </c>
      <c r="W3" s="8">
        <v>2024</v>
      </c>
      <c r="X3" s="8">
        <v>2025</v>
      </c>
      <c r="Y3" s="8">
        <v>2026</v>
      </c>
      <c r="Z3" s="8">
        <v>2027</v>
      </c>
      <c r="AA3" s="8">
        <v>2028</v>
      </c>
      <c r="AB3" s="8">
        <v>2029</v>
      </c>
      <c r="AC3" s="8">
        <v>2030</v>
      </c>
      <c r="AD3" s="8">
        <v>2031</v>
      </c>
      <c r="AE3" s="8">
        <v>2032</v>
      </c>
      <c r="AF3" s="8">
        <v>2033</v>
      </c>
      <c r="AG3" s="8">
        <v>2034</v>
      </c>
      <c r="AH3" s="8">
        <v>2035</v>
      </c>
      <c r="AI3" s="8">
        <v>2036</v>
      </c>
      <c r="AJ3" s="8">
        <v>2037</v>
      </c>
      <c r="AK3" s="8">
        <v>2038</v>
      </c>
      <c r="AL3" s="8">
        <v>2039</v>
      </c>
      <c r="AM3" s="8">
        <v>2040</v>
      </c>
      <c r="AN3" s="8">
        <v>2045</v>
      </c>
      <c r="AO3" s="8">
        <v>2050</v>
      </c>
      <c r="AP3" s="8">
        <v>2060</v>
      </c>
      <c r="AQ3" s="8">
        <v>2070</v>
      </c>
      <c r="AR3" s="8"/>
      <c r="AS3" s="8"/>
      <c r="AT3" s="8"/>
      <c r="AU3" s="8"/>
      <c r="AV3" s="8"/>
      <c r="AW3" s="8"/>
    </row>
    <row r="4" spans="1:43" ht="15">
      <c r="A4" t="s">
        <v>16</v>
      </c>
      <c r="D4">
        <v>2012</v>
      </c>
      <c r="E4">
        <v>2020</v>
      </c>
      <c r="F4">
        <v>2030</v>
      </c>
      <c r="G4">
        <v>2050</v>
      </c>
      <c r="H4">
        <v>2070</v>
      </c>
      <c r="I4">
        <v>1</v>
      </c>
      <c r="J4" t="s">
        <v>376</v>
      </c>
      <c r="K4">
        <f t="shared" si="0" ref="K4:T5">MATCH(K$3,$D$4:$G$4,$I4)</f>
        <v>1</v>
      </c>
      <c r="L4">
        <f t="shared" si="0"/>
        <v>1</v>
      </c>
      <c r="M4">
        <f t="shared" si="0"/>
        <v>1</v>
      </c>
      <c r="N4">
        <f t="shared" si="0"/>
        <v>1</v>
      </c>
      <c r="O4">
        <f t="shared" si="0"/>
        <v>1</v>
      </c>
      <c r="P4">
        <f t="shared" si="0"/>
        <v>1</v>
      </c>
      <c r="Q4">
        <f t="shared" si="0"/>
        <v>1</v>
      </c>
      <c r="R4">
        <f t="shared" si="0"/>
        <v>1</v>
      </c>
      <c r="S4">
        <f t="shared" si="0"/>
        <v>2</v>
      </c>
      <c r="T4">
        <f t="shared" si="0"/>
        <v>2</v>
      </c>
      <c r="U4">
        <f t="shared" si="1" ref="U4:AD5">MATCH(U$3,$D$4:$G$4,$I4)</f>
        <v>2</v>
      </c>
      <c r="V4">
        <f t="shared" si="1"/>
        <v>2</v>
      </c>
      <c r="W4">
        <f t="shared" si="1"/>
        <v>2</v>
      </c>
      <c r="X4">
        <f t="shared" si="1"/>
        <v>2</v>
      </c>
      <c r="Y4">
        <f t="shared" si="1"/>
        <v>2</v>
      </c>
      <c r="Z4">
        <f t="shared" si="1"/>
        <v>2</v>
      </c>
      <c r="AA4">
        <f t="shared" si="1"/>
        <v>2</v>
      </c>
      <c r="AB4">
        <f t="shared" si="1"/>
        <v>2</v>
      </c>
      <c r="AC4">
        <f t="shared" si="1"/>
        <v>3</v>
      </c>
      <c r="AD4">
        <f t="shared" si="1"/>
        <v>3</v>
      </c>
      <c r="AE4">
        <f t="shared" si="2" ref="AE4:AP5">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3" ht="15">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377</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3" ht="15">
      <c r="A6" t="s">
        <v>16</v>
      </c>
      <c r="D6">
        <v>0</v>
      </c>
      <c r="E6">
        <v>1</v>
      </c>
      <c r="F6">
        <v>2</v>
      </c>
      <c r="G6">
        <v>3</v>
      </c>
      <c r="H6">
        <v>4</v>
      </c>
      <c r="I6">
        <v>-1</v>
      </c>
      <c r="J6" t="s">
        <v>375</v>
      </c>
      <c r="K6">
        <f t="shared" si="3" ref="K6:AP6">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ht="15">
      <c r="A7" t="s">
        <v>16</v>
      </c>
      <c r="J7" t="s">
        <v>378</v>
      </c>
      <c r="K7" s="8">
        <f>IF(ISNA(K4),-1,IF(ISNA(K6),99,IF(ISNA(K5),K4,0)))</f>
        <v>0</v>
      </c>
      <c r="L7" s="8">
        <f t="shared" si="4" ref="L7:AQ7">IF(ISNA(L4),-1,IF(ISNA(L6),99,IF(ISNA(L5),L4,0)))</f>
        <v>1</v>
      </c>
      <c r="M7" s="8">
        <f t="shared" si="4"/>
        <v>1</v>
      </c>
      <c r="N7" s="8">
        <f t="shared" si="4"/>
        <v>1</v>
      </c>
      <c r="O7" s="8">
        <f t="shared" si="4"/>
        <v>1</v>
      </c>
      <c r="P7" s="8">
        <f t="shared" si="4"/>
        <v>1</v>
      </c>
      <c r="Q7" s="8">
        <f t="shared" si="4"/>
        <v>1</v>
      </c>
      <c r="R7" s="8">
        <f t="shared" si="4"/>
        <v>1</v>
      </c>
      <c r="S7" s="8">
        <f t="shared" si="4"/>
        <v>0</v>
      </c>
      <c r="T7" s="8">
        <f t="shared" si="4"/>
        <v>2</v>
      </c>
      <c r="U7" s="8">
        <f t="shared" si="4"/>
        <v>2</v>
      </c>
      <c r="V7" s="8">
        <f t="shared" si="4"/>
        <v>2</v>
      </c>
      <c r="W7" s="8">
        <f t="shared" si="4"/>
        <v>2</v>
      </c>
      <c r="X7" s="8">
        <f t="shared" si="4"/>
        <v>2</v>
      </c>
      <c r="Y7" s="8">
        <f t="shared" si="4"/>
        <v>2</v>
      </c>
      <c r="Z7" s="8">
        <f t="shared" si="4"/>
        <v>2</v>
      </c>
      <c r="AA7" s="8">
        <f t="shared" si="4"/>
        <v>2</v>
      </c>
      <c r="AB7" s="8">
        <f t="shared" si="4"/>
        <v>2</v>
      </c>
      <c r="AC7" s="8">
        <f t="shared" si="4"/>
        <v>0</v>
      </c>
      <c r="AD7" s="8">
        <f t="shared" si="4"/>
        <v>3</v>
      </c>
      <c r="AE7" s="8">
        <f t="shared" si="4"/>
        <v>3</v>
      </c>
      <c r="AF7" s="8">
        <f t="shared" si="4"/>
        <v>3</v>
      </c>
      <c r="AG7" s="8">
        <f t="shared" si="4"/>
        <v>3</v>
      </c>
      <c r="AH7" s="8">
        <f t="shared" si="4"/>
        <v>3</v>
      </c>
      <c r="AI7" s="8">
        <f t="shared" si="4"/>
        <v>3</v>
      </c>
      <c r="AJ7" s="8">
        <f t="shared" si="4"/>
        <v>3</v>
      </c>
      <c r="AK7" s="8">
        <f t="shared" si="4"/>
        <v>3</v>
      </c>
      <c r="AL7" s="8">
        <f t="shared" si="4"/>
        <v>3</v>
      </c>
      <c r="AM7" s="8">
        <f t="shared" si="4"/>
        <v>3</v>
      </c>
      <c r="AN7" s="8">
        <f t="shared" si="4"/>
        <v>3</v>
      </c>
      <c r="AO7" s="8">
        <f t="shared" si="4"/>
        <v>0</v>
      </c>
      <c r="AP7" s="8">
        <f>IF(ISNA(AP4),-1,IF(ISNA(AP6),99,IF(ISNA(AP5),AP4,0)))</f>
        <v>4</v>
      </c>
      <c r="AQ7" s="8">
        <f t="shared" si="4"/>
        <v>0</v>
      </c>
      <c r="AR7" s="8"/>
      <c r="AS7" s="8"/>
      <c r="AT7" s="8"/>
      <c r="AU7" s="8"/>
      <c r="AV7" s="8"/>
      <c r="AW7" s="8"/>
    </row>
    <row r="8" spans="1:6" ht="15.75" thickBot="1">
      <c r="A8" t="s">
        <v>16</v>
      </c>
      <c r="B8" s="15" t="s">
        <v>695</v>
      </c>
      <c r="C8" s="15"/>
      <c r="D8" s="15"/>
      <c r="E8" s="15"/>
      <c r="F8" s="15"/>
    </row>
    <row r="9" spans="1:43" ht="15">
      <c r="A9" t="s">
        <v>16</v>
      </c>
      <c r="B9" t="s">
        <v>9</v>
      </c>
      <c r="C9" t="s">
        <v>10</v>
      </c>
      <c r="D9" t="s">
        <v>265</v>
      </c>
      <c r="E9" t="s">
        <v>264</v>
      </c>
      <c r="K9" s="8">
        <f>MATCH(K3,Drivers!$C$5:$AG$5,0)</f>
        <v>1</v>
      </c>
      <c r="L9" s="8">
        <f>MATCH(L3,Drivers!$C$5:$AG$5,0)</f>
        <v>2</v>
      </c>
      <c r="M9" s="8">
        <f>MATCH(M3,Drivers!$C$5:$AG$5,0)</f>
        <v>3</v>
      </c>
      <c r="N9" s="8">
        <f>MATCH(N3,Drivers!$C$5:$AG$5,0)</f>
        <v>4</v>
      </c>
      <c r="O9" s="8">
        <f>MATCH(O3,Drivers!$C$5:$AG$5,0)</f>
        <v>5</v>
      </c>
      <c r="P9" s="8">
        <f>MATCH(P3,Drivers!$C$5:$AG$5,0)</f>
        <v>6</v>
      </c>
      <c r="Q9" s="8">
        <f>MATCH(Q3,Drivers!$C$5:$AG$5,0)</f>
        <v>7</v>
      </c>
      <c r="R9" s="8">
        <f>MATCH(R3,Drivers!$C$5:$AG$5,0)</f>
        <v>8</v>
      </c>
      <c r="S9" s="8">
        <f>MATCH(S3,Drivers!$C$5:$AG$5,0)</f>
        <v>9</v>
      </c>
      <c r="T9" s="8">
        <f>MATCH(T3,Drivers!$C$5:$AG$5,0)</f>
        <v>10</v>
      </c>
      <c r="U9" s="8">
        <f>MATCH(U3,Drivers!$C$5:$AG$5,0)</f>
        <v>11</v>
      </c>
      <c r="V9" s="8">
        <f>MATCH(V3,Drivers!$C$5:$AG$5,0)</f>
        <v>12</v>
      </c>
      <c r="W9" s="8">
        <f>MATCH(W3,Drivers!$C$5:$AG$5,0)</f>
        <v>13</v>
      </c>
      <c r="X9" s="8">
        <f>MATCH(X3,Drivers!$C$5:$AG$5,0)</f>
        <v>14</v>
      </c>
      <c r="Y9" s="8">
        <f>MATCH(Y3,Drivers!$C$5:$AG$5,0)</f>
        <v>15</v>
      </c>
      <c r="Z9" s="8">
        <f>MATCH(Z3,Drivers!$C$5:$AG$5,0)</f>
        <v>16</v>
      </c>
      <c r="AA9" s="8">
        <f>MATCH(AA3,Drivers!$C$5:$AG$5,0)</f>
        <v>17</v>
      </c>
      <c r="AB9" s="8">
        <f>MATCH(AB3,Drivers!$C$5:$AG$5,0)</f>
        <v>18</v>
      </c>
      <c r="AC9" s="8">
        <f>MATCH(AC3,Drivers!$C$5:$AG$5,0)</f>
        <v>19</v>
      </c>
      <c r="AD9" s="8">
        <f>MATCH(AD3,Drivers!$C$5:$AG$5,0)</f>
        <v>20</v>
      </c>
      <c r="AE9" s="8">
        <f>MATCH(AE3,Drivers!$C$5:$AG$5,0)</f>
        <v>21</v>
      </c>
      <c r="AF9" s="8">
        <f>MATCH(AF3,Drivers!$C$5:$AG$5,0)</f>
        <v>22</v>
      </c>
      <c r="AG9" s="8">
        <f>MATCH(AG3,Drivers!$C$5:$AG$5,0)</f>
        <v>23</v>
      </c>
      <c r="AH9" s="8">
        <f>MATCH(AH3,Drivers!$C$5:$AG$5,0)</f>
        <v>24</v>
      </c>
      <c r="AI9" s="8">
        <f>MATCH(AI3,Drivers!$C$5:$AG$5,0)</f>
        <v>25</v>
      </c>
      <c r="AJ9" s="8">
        <f>MATCH(AJ3,Drivers!$C$5:$AG$5,0)</f>
        <v>26</v>
      </c>
      <c r="AK9" s="8">
        <f>MATCH(AK3,Drivers!$C$5:$AG$5,0)</f>
        <v>27</v>
      </c>
      <c r="AL9" s="8">
        <f>MATCH(AL3,Drivers!$C$5:$AG$5,0)</f>
        <v>28</v>
      </c>
      <c r="AM9" s="8">
        <f>MATCH(AM3,Drivers!$C$5:$AG$5,0)</f>
        <v>29</v>
      </c>
      <c r="AN9" s="8">
        <f>MATCH(AN3,Drivers!$C$5:$AG$5,0)</f>
        <v>30</v>
      </c>
      <c r="AO9" s="8">
        <f>MATCH(AO3,Drivers!$C$5:$AG$5,0)</f>
        <v>31</v>
      </c>
      <c r="AP9">
        <f>AO9+1</f>
        <v>32</v>
      </c>
      <c r="AQ9">
        <f>AP9+1</f>
        <v>33</v>
      </c>
    </row>
    <row r="10" spans="1:43" ht="15">
      <c r="A10" t="s">
        <v>16</v>
      </c>
      <c r="B10" s="9" t="str">
        <f>[4]IND!B10</f>
        <v>MI</v>
      </c>
      <c r="C10" s="9" t="str">
        <f>[4]IND!A10</f>
        <v>Mining</v>
      </c>
      <c r="D10">
        <f>[4]IND!M10</f>
        <v>1</v>
      </c>
      <c r="F10" s="9"/>
      <c r="G10">
        <f>MATCH(B10,Drivers!$A$7:$A$25,0)</f>
        <v>10</v>
      </c>
      <c r="I10" s="9"/>
      <c r="J10" s="9"/>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198.05000000000001</v>
      </c>
      <c r="S10" cm="1">
        <f t="array" ref="S10">INDEX(Drivers!$C$7:$AG$25,$G10,S$9)</f>
        <v>190.12</v>
      </c>
      <c r="T10" cm="1">
        <f t="array" ref="T10">INDEX(Drivers!$C$7:$AG$25,$G10,T$9)</f>
        <v>210.28525240864684</v>
      </c>
      <c r="U10" cm="1">
        <f t="array" ref="U10">INDEX(Drivers!$C$7:$AG$25,$G10,U$9)</f>
        <v>198.24156999666963</v>
      </c>
      <c r="V10" cm="1">
        <f t="array" ref="V10">INDEX(Drivers!$C$7:$AG$25,$G10,V$9)</f>
        <v>200.46834281278001</v>
      </c>
      <c r="W10" cm="1">
        <f t="array" ref="W10">INDEX(Drivers!$C$7:$AG$25,$G10,W$9)</f>
        <v>201.11159825433035</v>
      </c>
      <c r="X10" cm="1">
        <f t="array" ref="X10">INDEX(Drivers!$C$7:$AG$25,$G10,X$9)</f>
        <v>203.46454625928473</v>
      </c>
      <c r="Y10" cm="1">
        <f t="array" ref="Y10">INDEX(Drivers!$C$7:$AG$25,$G10,Y$9)</f>
        <v>207.29156374067969</v>
      </c>
      <c r="Z10" cm="1">
        <f t="array" ref="Z10">INDEX(Drivers!$C$7:$AG$25,$G10,Z$9)</f>
        <v>209.77969535062272</v>
      </c>
      <c r="AA10" cm="1">
        <f t="array" ref="AA10">INDEX(Drivers!$C$7:$AG$25,$G10,AA$9)</f>
        <v>212.40974773669166</v>
      </c>
      <c r="AB10" cm="1">
        <f t="array" ref="AB10">INDEX(Drivers!$C$7:$AG$25,$G10,AB$9)</f>
        <v>216.34147613945393</v>
      </c>
      <c r="AC10" cm="1">
        <f t="array" ref="AC10">INDEX(Drivers!$C$7:$AG$25,$G10,AC$9)</f>
        <v>220.79411954142256</v>
      </c>
      <c r="AD10" cm="1">
        <f t="array" ref="AD10">INDEX(Drivers!$C$7:$AG$25,$G10,AD$9)</f>
        <v>226.10945355525601</v>
      </c>
      <c r="AE10" cm="1">
        <f t="array" ref="AE10">INDEX(Drivers!$C$7:$AG$25,$G10,AE$9)</f>
        <v>231.62618895913758</v>
      </c>
      <c r="AF10" cm="1">
        <f t="array" ref="AF10">INDEX(Drivers!$C$7:$AG$25,$G10,AF$9)</f>
        <v>237.46032213050532</v>
      </c>
      <c r="AG10" cm="1">
        <f t="array" ref="AG10">INDEX(Drivers!$C$7:$AG$25,$G10,AG$9)</f>
        <v>243.77464311464647</v>
      </c>
      <c r="AH10" cm="1">
        <f t="array" ref="AH10">INDEX(Drivers!$C$7:$AG$25,$G10,AH$9)</f>
        <v>252.16615255880671</v>
      </c>
      <c r="AI10" cm="1">
        <f t="array" ref="AI10">INDEX(Drivers!$C$7:$AG$25,$G10,AI$9)</f>
        <v>258.01669132632696</v>
      </c>
      <c r="AJ10" cm="1">
        <f t="array" ref="AJ10">INDEX(Drivers!$C$7:$AG$25,$G10,AJ$9)</f>
        <v>263.88837536832852</v>
      </c>
      <c r="AK10" cm="1">
        <f t="array" ref="AK10">INDEX(Drivers!$C$7:$AG$25,$G10,AK$9)</f>
        <v>270.0196209967088</v>
      </c>
      <c r="AL10" cm="1">
        <f t="array" ref="AL10">INDEX(Drivers!$C$7:$AG$25,$G10,AL$9)</f>
        <v>276.38273483829408</v>
      </c>
      <c r="AM10" cm="1">
        <f t="array" ref="AM10">INDEX(Drivers!$C$7:$AG$25,$G10,AM$9)</f>
        <v>283.54072046365877</v>
      </c>
      <c r="AN10" cm="1">
        <f t="array" ref="AN10">INDEX(Drivers!$C$7:$AG$25,$G10,AN$9)</f>
        <v>317.76774950005682</v>
      </c>
      <c r="AO10" cm="1">
        <f t="array" ref="AO10">INDEX(Drivers!$C$7:$AK$25,$G10,AO$9)</f>
        <v>366.5808054229426</v>
      </c>
      <c r="AP10" cm="1">
        <f t="array" ref="AP10">INDEX(Drivers!$C$7:$AK$25,$G10,AP$9)</f>
        <v>421.60010042477307</v>
      </c>
      <c r="AQ10" cm="1">
        <f t="array" ref="AQ10">INDEX(Drivers!$C$7:$AK$25,$G10,AQ$9)</f>
        <v>470.3851281511445</v>
      </c>
    </row>
    <row r="11" spans="1:43" ht="15">
      <c r="A11" t="s">
        <v>16</v>
      </c>
      <c r="B11" s="9" t="s">
        <v>699</v>
      </c>
      <c r="C11" s="9" t="s">
        <v>690</v>
      </c>
      <c r="D11">
        <f>[4]IND!M11</f>
        <v>0</v>
      </c>
      <c r="F11" s="9"/>
      <c r="G11">
        <f>MATCH(B11,Drivers!$A$7:$A$25,0)</f>
        <v>11</v>
      </c>
      <c r="I11" s="9"/>
      <c r="J11" s="9"/>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97.689999999999998</v>
      </c>
      <c r="S11" cm="1">
        <f t="array" ref="S11">INDEX(Drivers!$C$7:$AG$25,$G11,S$9)</f>
        <v>74.060000000000002</v>
      </c>
      <c r="T11" cm="1">
        <f t="array" ref="T11">INDEX(Drivers!$C$7:$AG$25,$G11,T$9)</f>
        <v>114.33834598426481</v>
      </c>
      <c r="U11" cm="1">
        <f t="array" ref="U11">INDEX(Drivers!$C$7:$AG$25,$G11,U$9)</f>
        <v>89.516268870262792</v>
      </c>
      <c r="V11" cm="1">
        <f t="array" ref="V11">INDEX(Drivers!$C$7:$AG$25,$G11,V$9)</f>
        <v>96.458948093263288</v>
      </c>
      <c r="W11" cm="1">
        <f t="array" ref="W11">INDEX(Drivers!$C$7:$AG$25,$G11,W$9)</f>
        <v>99.927525703949954</v>
      </c>
      <c r="X11" cm="1">
        <f t="array" ref="X11">INDEX(Drivers!$C$7:$AG$25,$G11,X$9)</f>
        <v>102.82925277571825</v>
      </c>
      <c r="Y11" cm="1">
        <f t="array" ref="Y11">INDEX(Drivers!$C$7:$AG$25,$G11,Y$9)</f>
        <v>105.64955101351093</v>
      </c>
      <c r="Z11" cm="1">
        <f t="array" ref="Z11">INDEX(Drivers!$C$7:$AG$25,$G11,Z$9)</f>
        <v>110.04434848272838</v>
      </c>
      <c r="AA11" cm="1">
        <f t="array" ref="AA11">INDEX(Drivers!$C$7:$AG$25,$G11,AA$9)</f>
        <v>114.32654304770023</v>
      </c>
      <c r="AB11" cm="1">
        <f t="array" ref="AB11">INDEX(Drivers!$C$7:$AG$25,$G11,AB$9)</f>
        <v>119.68160804428473</v>
      </c>
      <c r="AC11" cm="1">
        <f t="array" ref="AC11">INDEX(Drivers!$C$7:$AG$25,$G11,AC$9)</f>
        <v>124.97570095146492</v>
      </c>
      <c r="AD11" cm="1">
        <f t="array" ref="AD11">INDEX(Drivers!$C$7:$AG$25,$G11,AD$9)</f>
        <v>130.74302904370845</v>
      </c>
      <c r="AE11" cm="1">
        <f t="array" ref="AE11">INDEX(Drivers!$C$7:$AG$25,$G11,AE$9)</f>
        <v>136.67050813850437</v>
      </c>
      <c r="AF11" cm="1">
        <f t="array" ref="AF11">INDEX(Drivers!$C$7:$AG$25,$G11,AF$9)</f>
        <v>142.90678838375831</v>
      </c>
      <c r="AG11" cm="1">
        <f t="array" ref="AG11">INDEX(Drivers!$C$7:$AG$25,$G11,AG$9)</f>
        <v>149.80688430048826</v>
      </c>
      <c r="AH11" cm="1">
        <f t="array" ref="AH11">INDEX(Drivers!$C$7:$AG$25,$G11,AH$9)</f>
        <v>159.80615153336927</v>
      </c>
      <c r="AI11" cm="1">
        <f t="array" ref="AI11">INDEX(Drivers!$C$7:$AG$25,$G11,AI$9)</f>
        <v>167.61337017822842</v>
      </c>
      <c r="AJ11" cm="1">
        <f t="array" ref="AJ11">INDEX(Drivers!$C$7:$AG$25,$G11,AJ$9)</f>
        <v>175.20751435508865</v>
      </c>
      <c r="AK11" cm="1">
        <f t="array" ref="AK11">INDEX(Drivers!$C$7:$AG$25,$G11,AK$9)</f>
        <v>182.71035008810142</v>
      </c>
      <c r="AL11" cm="1">
        <f t="array" ref="AL11">INDEX(Drivers!$C$7:$AG$25,$G11,AL$9)</f>
        <v>190.02542786166896</v>
      </c>
      <c r="AM11" cm="1">
        <f t="array" ref="AM11">INDEX(Drivers!$C$7:$AG$25,$G11,AM$9)</f>
        <v>197.18829203100194</v>
      </c>
      <c r="AN11" cm="1">
        <f t="array" ref="AN11">INDEX(Drivers!$C$7:$AG$25,$G11,AN$9)</f>
        <v>228.7459360672928</v>
      </c>
      <c r="AO11" cm="1">
        <f t="array" ref="AO11">INDEX(Drivers!$C$7:$AK$25,$G11,AO$9)</f>
        <v>262.22841533298606</v>
      </c>
      <c r="AP11">
        <f>FORECAST(AP$3,$AM11:$AO11,$AM$3:$AO$3)</f>
        <v>326.94773276332489</v>
      </c>
      <c r="AQ11">
        <f>FORECAST(AQ$3,$AM11:$AO11,$AM$3:$AO$3)</f>
        <v>391.98785606525416</v>
      </c>
    </row>
    <row r="12" spans="1:45" ht="15">
      <c r="A12" t="s">
        <v>16</v>
      </c>
      <c r="B12" s="9" t="s">
        <v>684</v>
      </c>
      <c r="C12" s="9" t="s">
        <v>686</v>
      </c>
      <c r="D12">
        <f>[4]IND!M11</f>
        <v>0</v>
      </c>
      <c r="F12" s="9" t="s">
        <v>688</v>
      </c>
      <c r="I12" s="9"/>
      <c r="J12" s="9"/>
      <c r="K12">
        <f>K14</f>
        <v>117.12281075206418</v>
      </c>
      <c r="L12">
        <f t="shared" si="5" ref="L12:AO12">L14</f>
        <v>119.07275947417872</v>
      </c>
      <c r="M12">
        <f t="shared" si="5"/>
        <v>120.12173328694826</v>
      </c>
      <c r="N12">
        <f t="shared" si="5"/>
        <v>120.67779367214723</v>
      </c>
      <c r="O12">
        <f t="shared" si="5"/>
        <v>119.95882677975034</v>
      </c>
      <c r="P12">
        <f t="shared" si="5"/>
        <v>120.88915701956363</v>
      </c>
      <c r="Q12">
        <f t="shared" si="5"/>
        <v>121.14044942310186</v>
      </c>
      <c r="R12">
        <f t="shared" si="5"/>
        <v>118.6298855621765</v>
      </c>
      <c r="S12">
        <f t="shared" si="5"/>
        <v>104.75441900728599</v>
      </c>
      <c r="T12">
        <f t="shared" si="5"/>
        <v>106.76164130542233</v>
      </c>
      <c r="U12">
        <f t="shared" si="5"/>
        <v>115.09930020324944</v>
      </c>
      <c r="V12">
        <f t="shared" si="5"/>
        <v>112.95346646101328</v>
      </c>
      <c r="W12" s="183">
        <f>V12</f>
        <v>112.95346646101328</v>
      </c>
      <c r="X12" s="183">
        <f t="shared" si="6" ref="X12:AD12">W12</f>
        <v>112.95346646101328</v>
      </c>
      <c r="Y12" s="183">
        <f t="shared" si="6"/>
        <v>112.95346646101328</v>
      </c>
      <c r="Z12" s="183">
        <f t="shared" si="6"/>
        <v>112.95346646101328</v>
      </c>
      <c r="AA12" s="183">
        <f t="shared" si="6"/>
        <v>112.95346646101328</v>
      </c>
      <c r="AB12" s="183">
        <f t="shared" si="6"/>
        <v>112.95346646101328</v>
      </c>
      <c r="AC12" s="183">
        <f t="shared" si="6"/>
        <v>112.95346646101328</v>
      </c>
      <c r="AD12" s="183">
        <f>AD14/AC14*AC12</f>
        <v>116.77486652051584</v>
      </c>
      <c r="AE12" s="183">
        <f t="shared" si="7" ref="AE12:AQ12">AE14/AD14*AD12</f>
        <v>120.59887869137258</v>
      </c>
      <c r="AF12" s="183">
        <f t="shared" si="7"/>
        <v>124.6136574225544</v>
      </c>
      <c r="AG12" s="183">
        <f t="shared" si="7"/>
        <v>127.58269608162594</v>
      </c>
      <c r="AH12" s="183">
        <f t="shared" si="7"/>
        <v>133.11953191552928</v>
      </c>
      <c r="AI12" s="183">
        <f t="shared" si="7"/>
        <v>136.78718084720268</v>
      </c>
      <c r="AJ12" s="183">
        <f t="shared" si="7"/>
        <v>140.97605752025206</v>
      </c>
      <c r="AK12" s="183">
        <f t="shared" si="7"/>
        <v>145.3114955098016</v>
      </c>
      <c r="AL12" s="183">
        <f t="shared" si="7"/>
        <v>150.48594245352845</v>
      </c>
      <c r="AM12" s="183">
        <f t="shared" si="7"/>
        <v>155.75974326357621</v>
      </c>
      <c r="AN12" s="183">
        <f t="shared" si="7"/>
        <v>180.05077565584307</v>
      </c>
      <c r="AO12" s="183">
        <f t="shared" si="7"/>
        <v>202.30310950923442</v>
      </c>
      <c r="AP12" s="183">
        <f t="shared" si="7"/>
        <v>231.91882331438012</v>
      </c>
      <c r="AQ12" s="183">
        <f t="shared" si="7"/>
        <v>245.15299492445024</v>
      </c>
      <c r="AS12" t="s">
        <v>802</v>
      </c>
    </row>
    <row r="13" spans="1:43" ht="15">
      <c r="A13" t="s">
        <v>16</v>
      </c>
      <c r="B13" s="9" t="s">
        <v>685</v>
      </c>
      <c r="C13" s="9" t="s">
        <v>687</v>
      </c>
      <c r="D13">
        <f>[4]IND!M12</f>
        <v>0</v>
      </c>
      <c r="F13" s="9" t="s">
        <v>689</v>
      </c>
      <c r="I13" s="9"/>
      <c r="J13" s="9"/>
      <c r="K13">
        <f>K14</f>
        <v>117.12281075206418</v>
      </c>
      <c r="L13">
        <f t="shared" si="8" ref="L13:AQ13">L14</f>
        <v>119.07275947417872</v>
      </c>
      <c r="M13">
        <f t="shared" si="8"/>
        <v>120.12173328694826</v>
      </c>
      <c r="N13">
        <f t="shared" si="8"/>
        <v>120.67779367214723</v>
      </c>
      <c r="O13">
        <f t="shared" si="8"/>
        <v>119.95882677975034</v>
      </c>
      <c r="P13">
        <f t="shared" si="8"/>
        <v>120.88915701956363</v>
      </c>
      <c r="Q13">
        <f t="shared" si="8"/>
        <v>121.14044942310186</v>
      </c>
      <c r="R13">
        <f t="shared" si="8"/>
        <v>118.6298855621765</v>
      </c>
      <c r="S13">
        <f t="shared" si="8"/>
        <v>104.75441900728599</v>
      </c>
      <c r="T13">
        <f t="shared" si="8"/>
        <v>106.76164130542233</v>
      </c>
      <c r="U13">
        <f t="shared" si="8"/>
        <v>115.09930020324944</v>
      </c>
      <c r="V13">
        <f>V12</f>
        <v>112.95346646101328</v>
      </c>
      <c r="W13" s="183">
        <f t="shared" si="9" ref="W13:AD13">W12</f>
        <v>112.95346646101328</v>
      </c>
      <c r="X13" s="183">
        <f t="shared" si="9"/>
        <v>112.95346646101328</v>
      </c>
      <c r="Y13" s="183">
        <f t="shared" si="9"/>
        <v>112.95346646101328</v>
      </c>
      <c r="Z13" s="183">
        <f t="shared" si="9"/>
        <v>112.95346646101328</v>
      </c>
      <c r="AA13" s="183">
        <f t="shared" si="9"/>
        <v>112.95346646101328</v>
      </c>
      <c r="AB13" s="183">
        <f t="shared" si="9"/>
        <v>112.95346646101328</v>
      </c>
      <c r="AC13" s="183">
        <f t="shared" si="9"/>
        <v>112.95346646101328</v>
      </c>
      <c r="AD13" s="183">
        <f t="shared" si="9"/>
        <v>116.77486652051584</v>
      </c>
      <c r="AE13" s="183">
        <f t="shared" si="10" ref="AE13">AE12</f>
        <v>120.59887869137258</v>
      </c>
      <c r="AF13" s="183">
        <f t="shared" si="11" ref="AF13">AF12</f>
        <v>124.6136574225544</v>
      </c>
      <c r="AG13" s="183">
        <f t="shared" si="12" ref="AG13">AG12</f>
        <v>127.58269608162594</v>
      </c>
      <c r="AH13" s="183">
        <f t="shared" si="13" ref="AH13">AH12</f>
        <v>133.11953191552928</v>
      </c>
      <c r="AI13" s="183">
        <f t="shared" si="14" ref="AI13">AI12</f>
        <v>136.78718084720268</v>
      </c>
      <c r="AJ13" s="183">
        <f t="shared" si="15" ref="AJ13">AJ12</f>
        <v>140.97605752025206</v>
      </c>
      <c r="AK13" s="183">
        <f t="shared" si="16" ref="AK13">AK12</f>
        <v>145.3114955098016</v>
      </c>
      <c r="AL13" s="183">
        <f t="shared" si="17" ref="AL13">AL12</f>
        <v>150.48594245352845</v>
      </c>
      <c r="AM13" s="183">
        <f t="shared" si="18" ref="AM13">AM12</f>
        <v>155.75974326357621</v>
      </c>
      <c r="AN13" s="183">
        <f t="shared" si="19" ref="AN13">AN12</f>
        <v>180.05077565584307</v>
      </c>
      <c r="AO13" s="183">
        <f t="shared" si="20" ref="AO13">AO12</f>
        <v>202.30310950923442</v>
      </c>
      <c r="AP13" s="183">
        <f t="shared" si="21" ref="AP13">AP12</f>
        <v>231.91882331438012</v>
      </c>
      <c r="AQ13" s="183">
        <f t="shared" si="22" ref="AQ13">AQ12</f>
        <v>245.15299492445024</v>
      </c>
    </row>
    <row r="14" spans="1:43" ht="15">
      <c r="A14" t="s">
        <v>16</v>
      </c>
      <c r="B14" s="9" t="str">
        <f>[4]IND!B12</f>
        <v>IS</v>
      </c>
      <c r="C14" s="9" t="str">
        <f>[4]IND!A12</f>
        <v>Iron &amp; Steel</v>
      </c>
      <c r="D14">
        <f>[4]IND!M12</f>
        <v>0</v>
      </c>
      <c r="F14" s="9" t="s">
        <v>276</v>
      </c>
      <c r="G14">
        <f>MATCH(B14,Drivers!$A$88:$A$104,0)</f>
        <v>1</v>
      </c>
      <c r="I14" s="9"/>
      <c r="J14" s="9"/>
      <c r="K14" s="183" cm="1">
        <f t="array" ref="K14">INDEX(Drivers!$C$88:$AG$104,$G14,K$9)</f>
        <v>117.12281075206418</v>
      </c>
      <c r="L14" s="183" cm="1">
        <f t="array" ref="L14">INDEX(Drivers!$C$88:$AG$104,$G14,L$9)</f>
        <v>119.07275947417872</v>
      </c>
      <c r="M14" s="183" cm="1">
        <f t="array" ref="M14">INDEX(Drivers!$C$88:$AG$104,$G14,M$9)</f>
        <v>120.12173328694826</v>
      </c>
      <c r="N14" s="183" cm="1">
        <f t="array" ref="N14">INDEX(Drivers!$C$88:$AG$104,$G14,N$9)</f>
        <v>120.67779367214723</v>
      </c>
      <c r="O14" s="183" cm="1">
        <f t="array" ref="O14">INDEX(Drivers!$C$88:$AG$104,$G14,O$9)</f>
        <v>119.95882677975034</v>
      </c>
      <c r="P14" s="183" cm="1">
        <f t="array" ref="P14">INDEX(Drivers!$C$88:$AG$104,$G14,P$9)</f>
        <v>120.88915701956363</v>
      </c>
      <c r="Q14" s="183" cm="1">
        <f t="array" ref="Q14">INDEX(Drivers!$C$88:$AG$104,$G14,Q$9)</f>
        <v>121.14044942310186</v>
      </c>
      <c r="R14" s="183" cm="1">
        <f t="array" ref="R14">INDEX(Drivers!$C$88:$AG$104,$G14,R$9)</f>
        <v>118.6298855621765</v>
      </c>
      <c r="S14" s="183" cm="1">
        <f t="array" ref="S14">INDEX(Drivers!$C$88:$AG$104,$G14,S$9)</f>
        <v>104.75441900728599</v>
      </c>
      <c r="T14" s="183" cm="1">
        <f t="array" ref="T14">INDEX(Drivers!$C$88:$AG$104,$G14,T$9)</f>
        <v>106.76164130542233</v>
      </c>
      <c r="U14" s="183" cm="1">
        <f t="array" ref="U14">INDEX(Drivers!$C$88:$AG$104,$G14,U$9)</f>
        <v>115.09930020324944</v>
      </c>
      <c r="V14" s="183" cm="1">
        <f t="array" ref="V14">INDEX(Drivers!$C$88:$AG$104,$G14,V$9)</f>
        <v>112.95346646101328</v>
      </c>
      <c r="W14" s="183" cm="1">
        <f t="array" ref="W14">INDEX(Drivers!$C$88:$AG$104,$G14,W$9)</f>
        <v>113.44525551996605</v>
      </c>
      <c r="X14" s="183" cm="1">
        <f t="array" ref="X14">INDEX(Drivers!$C$88:$AG$104,$G14,X$9)</f>
        <v>116.82731085081521</v>
      </c>
      <c r="Y14" s="183" cm="1">
        <f t="array" ref="Y14">INDEX(Drivers!$C$88:$AG$104,$G14,Y$9)</f>
        <v>122.25026381407469</v>
      </c>
      <c r="Z14" s="183" cm="1">
        <f t="array" ref="Z14">INDEX(Drivers!$C$88:$AG$104,$G14,Z$9)</f>
        <v>123.68843594219095</v>
      </c>
      <c r="AA14" s="183" cm="1">
        <f t="array" ref="AA14">INDEX(Drivers!$C$88:$AG$104,$G14,AA$9)</f>
        <v>125.14200671715895</v>
      </c>
      <c r="AB14" s="183" cm="1">
        <f t="array" ref="AB14">INDEX(Drivers!$C$88:$AG$104,$G14,AB$9)</f>
        <v>128.48073241629191</v>
      </c>
      <c r="AC14" s="183" cm="1">
        <f t="array" ref="AC14">INDEX(Drivers!$C$88:$AG$104,$G14,AC$9)</f>
        <v>132.11829541319594</v>
      </c>
      <c r="AD14" s="183" cm="1">
        <f t="array" ref="AD14">INDEX(Drivers!$C$88:$AG$104,$G14,AD$9)</f>
        <v>136.58807290451026</v>
      </c>
      <c r="AE14" s="183" cm="1">
        <f t="array" ref="AE14">INDEX(Drivers!$C$88:$AG$104,$G14,AE$9)</f>
        <v>141.06090570444286</v>
      </c>
      <c r="AF14" s="183" cm="1">
        <f t="array" ref="AF14">INDEX(Drivers!$C$88:$AG$104,$G14,AF$9)</f>
        <v>145.75687245113829</v>
      </c>
      <c r="AG14" s="183" cm="1">
        <f t="array" ref="AG14">INDEX(Drivers!$C$88:$AG$104,$G14,AG$9)</f>
        <v>149.22966827531786</v>
      </c>
      <c r="AH14" s="183" cm="1">
        <f t="array" ref="AH14">INDEX(Drivers!$C$88:$AG$104,$G14,AH$9)</f>
        <v>155.70593974601681</v>
      </c>
      <c r="AI14" s="183" cm="1">
        <f t="array" ref="AI14">INDEX(Drivers!$C$88:$AG$104,$G14,AI$9)</f>
        <v>159.99587913618126</v>
      </c>
      <c r="AJ14" s="183" cm="1">
        <f t="array" ref="AJ14">INDEX(Drivers!$C$88:$AG$104,$G14,AJ$9)</f>
        <v>164.89548304457838</v>
      </c>
      <c r="AK14" s="183" cm="1">
        <f t="array" ref="AK14">INDEX(Drivers!$C$88:$AG$104,$G14,AK$9)</f>
        <v>169.9665153465981</v>
      </c>
      <c r="AL14" s="183" cm="1">
        <f t="array" ref="AL14">INDEX(Drivers!$C$88:$AG$104,$G14,AL$9)</f>
        <v>176.01891135825284</v>
      </c>
      <c r="AM14" s="183" cm="1">
        <f t="array" ref="AM14">INDEX(Drivers!$C$88:$AG$104,$G14,AM$9)</f>
        <v>182.18751861930343</v>
      </c>
      <c r="AN14" s="183" cm="1">
        <f t="array" ref="AN14">INDEX(Drivers!$C$88:$AG$104,$G14,AN$9)</f>
        <v>210.60001355234505</v>
      </c>
      <c r="AO14" s="183" cm="1">
        <f t="array" ref="AO14">INDEX(Drivers!$C$88:$AK$104,$G14,AO$9)</f>
        <v>236.62790370736002</v>
      </c>
      <c r="AP14" s="183" cm="1">
        <f t="array" ref="AP14">INDEX(Drivers!$C$88:$AK$104,$G14,AP$9)</f>
        <v>271.26851942260618</v>
      </c>
      <c r="AQ14" s="183" cm="1">
        <f t="array" ref="AQ14">INDEX(Drivers!$C$88:$AK$104,$G14,AQ$9)</f>
        <v>286.7481346049492</v>
      </c>
    </row>
    <row r="15" spans="1:43" ht="15">
      <c r="A15" t="s">
        <v>16</v>
      </c>
      <c r="B15" s="9" t="str">
        <f>[4]IND!B14</f>
        <v>CP</v>
      </c>
      <c r="C15" s="9" t="str">
        <f>[4]IND!A14</f>
        <v>Chemicals</v>
      </c>
      <c r="D15">
        <f>[4]IND!M14</f>
        <v>1</v>
      </c>
      <c r="F15" s="9"/>
      <c r="G15">
        <f>MATCH(B15,Drivers!$A$7:$A$25,0)</f>
        <v>3</v>
      </c>
      <c r="I15" s="9"/>
      <c r="J15" s="9"/>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77.700000000000003</v>
      </c>
      <c r="T15" cm="1">
        <f t="array" ref="T15">INDEX(Drivers!$C$7:$AG$25,$G15,T$9)</f>
        <v>79.954836755662825</v>
      </c>
      <c r="U15" cm="1">
        <f t="array" ref="U15">INDEX(Drivers!$C$7:$AG$25,$G15,U$9)</f>
        <v>87.10922109627225</v>
      </c>
      <c r="V15" cm="1">
        <f t="array" ref="V15">INDEX(Drivers!$C$7:$AG$25,$G15,V$9)</f>
        <v>86.230601157318233</v>
      </c>
      <c r="W15" cm="1">
        <f t="array" ref="W15">INDEX(Drivers!$C$7:$AG$25,$G15,W$9)</f>
        <v>86.942048034871036</v>
      </c>
      <c r="X15" cm="1">
        <f t="array" ref="X15">INDEX(Drivers!$C$7:$AG$25,$G15,X$9)</f>
        <v>88.051696533293836</v>
      </c>
      <c r="Y15" cm="1">
        <f t="array" ref="Y15">INDEX(Drivers!$C$7:$AG$25,$G15,Y$9)</f>
        <v>89.089743103937465</v>
      </c>
      <c r="Z15" cm="1">
        <f t="array" ref="Z15">INDEX(Drivers!$C$7:$AG$25,$G15,Z$9)</f>
        <v>90.501262613264259</v>
      </c>
      <c r="AA15" cm="1">
        <f t="array" ref="AA15">INDEX(Drivers!$C$7:$AG$25,$G15,AA$9)</f>
        <v>92.524512869880013</v>
      </c>
      <c r="AB15" cm="1">
        <f t="array" ref="AB15">INDEX(Drivers!$C$7:$AG$25,$G15,AB$9)</f>
        <v>94.555017489107215</v>
      </c>
      <c r="AC15" cm="1">
        <f t="array" ref="AC15">INDEX(Drivers!$C$7:$AG$25,$G15,AC$9)</f>
        <v>97.370246061885936</v>
      </c>
      <c r="AD15" cm="1">
        <f t="array" ref="AD15">INDEX(Drivers!$C$7:$AG$25,$G15,AD$9)</f>
        <v>100.34120480604236</v>
      </c>
      <c r="AE15" cm="1">
        <f t="array" ref="AE15">INDEX(Drivers!$C$7:$AG$25,$G15,AE$9)</f>
        <v>103.35479000417058</v>
      </c>
      <c r="AF15" cm="1">
        <f t="array" ref="AF15">INDEX(Drivers!$C$7:$AG$25,$G15,AF$9)</f>
        <v>106.5663758251315</v>
      </c>
      <c r="AG15" cm="1">
        <f t="array" ref="AG15">INDEX(Drivers!$C$7:$AG$25,$G15,AG$9)</f>
        <v>110.66597123273992</v>
      </c>
      <c r="AH15" cm="1">
        <f t="array" ref="AH15">INDEX(Drivers!$C$7:$AG$25,$G15,AH$9)</f>
        <v>114.9776031810505</v>
      </c>
      <c r="AI15" cm="1">
        <f t="array" ref="AI15">INDEX(Drivers!$C$7:$AG$25,$G15,AI$9)</f>
        <v>117.89596263922971</v>
      </c>
      <c r="AJ15" cm="1">
        <f t="array" ref="AJ15">INDEX(Drivers!$C$7:$AG$25,$G15,AJ$9)</f>
        <v>121.16247158937216</v>
      </c>
      <c r="AK15" cm="1">
        <f t="array" ref="AK15">INDEX(Drivers!$C$7:$AG$25,$G15,AK$9)</f>
        <v>124.59418949623409</v>
      </c>
      <c r="AL15" cm="1">
        <f t="array" ref="AL15">INDEX(Drivers!$C$7:$AG$25,$G15,AL$9)</f>
        <v>126.70812926730011</v>
      </c>
      <c r="AM15" cm="1">
        <f t="array" ref="AM15">INDEX(Drivers!$C$7:$AG$25,$G15,AM$9)</f>
        <v>130.39590265112787</v>
      </c>
      <c r="AN15" cm="1">
        <f t="array" ref="AN15">INDEX(Drivers!$C$7:$AG$25,$G15,AN$9)</f>
        <v>150.26953593639826</v>
      </c>
      <c r="AO15" cm="1">
        <f t="array" ref="AO15">INDEX(Drivers!$C$7:$AK$25,$G15,AO$9)</f>
        <v>170.10242637450975</v>
      </c>
      <c r="AP15" cm="1">
        <f t="array" ref="AP15">INDEX(Drivers!$C$7:$AK$25,$G15,AP$9)</f>
        <v>197.06374567745283</v>
      </c>
      <c r="AQ15" cm="1">
        <f t="array" ref="AQ15">INDEX(Drivers!$C$7:$AK$25,$G15,AQ$9)</f>
        <v>220.66816692504625</v>
      </c>
    </row>
    <row r="16" spans="1:43" ht="15">
      <c r="A16" t="s">
        <v>16</v>
      </c>
      <c r="B16" s="9" t="s">
        <v>692</v>
      </c>
      <c r="C16" s="9" t="s">
        <v>696</v>
      </c>
      <c r="D16">
        <v>0</v>
      </c>
      <c r="F16" s="9" t="s">
        <v>697</v>
      </c>
      <c r="G16">
        <f>MATCH(B16,Drivers!$A$88:$A$104,0)</f>
        <v>2</v>
      </c>
      <c r="I16" s="9"/>
      <c r="J16" s="9"/>
      <c r="K16" s="183" cm="1">
        <f t="array" ref="K16">INDEX(Drivers!$C$88:$AG$104,$G16,K$9)</f>
        <v>8.9365799535127532</v>
      </c>
      <c r="L16" s="183" cm="1">
        <f t="array" ref="L16">INDEX(Drivers!$C$88:$AG$104,$G16,L$9)</f>
        <v>9.0598644843951579</v>
      </c>
      <c r="M16" s="183" cm="1">
        <f t="array" ref="M16">INDEX(Drivers!$C$88:$AG$104,$G16,M$9)</f>
        <v>9.1538107433496982</v>
      </c>
      <c r="N16" s="183" cm="1">
        <f t="array" ref="N16">INDEX(Drivers!$C$88:$AG$104,$G16,N$9)</f>
        <v>9.1222677109859784</v>
      </c>
      <c r="O16" s="183" cm="1">
        <f t="array" ref="O16">INDEX(Drivers!$C$88:$AG$104,$G16,O$9)</f>
        <v>9.1065639127530105</v>
      </c>
      <c r="P16" s="183" cm="1">
        <f t="array" ref="P16">INDEX(Drivers!$C$88:$AG$104,$G16,P$9)</f>
        <v>9.1664973983391231</v>
      </c>
      <c r="Q16" s="183" cm="1">
        <f t="array" ref="Q16">INDEX(Drivers!$C$88:$AG$104,$G16,Q$9)</f>
        <v>9.2089562288318536</v>
      </c>
      <c r="R16" s="183" cm="1">
        <f t="array" ref="R16">INDEX(Drivers!$C$88:$AG$104,$G16,R$9)</f>
        <v>9.1050000000000004</v>
      </c>
      <c r="S16" s="183" cm="1">
        <f t="array" ref="S16">INDEX(Drivers!$C$88:$AG$104,$G16,S$9)</f>
        <v>8.6709999999999994</v>
      </c>
      <c r="T16" s="183" cm="1">
        <f t="array" ref="T16">INDEX(Drivers!$C$88:$AG$104,$G16,T$9)</f>
        <v>8.7420000000000009</v>
      </c>
      <c r="U16" s="183" cm="1">
        <f t="array" ref="U16">INDEX(Drivers!$C$88:$AG$104,$G16,U$9)</f>
        <v>8.8580000000000005</v>
      </c>
      <c r="V16" s="183" cm="1">
        <f t="array" ref="V16">INDEX(Drivers!$C$88:$AG$104,$G16,V$9)</f>
        <v>8.9559999999999995</v>
      </c>
      <c r="W16" s="183" cm="1">
        <f t="array" ref="W16">INDEX(Drivers!$C$88:$AG$104,$G16,W$9)</f>
        <v>9.0570000000000004</v>
      </c>
      <c r="X16" s="183" cm="1">
        <f t="array" ref="X16">INDEX(Drivers!$C$88:$AG$104,$G16,X$9)</f>
        <v>9.157</v>
      </c>
      <c r="Y16" s="183" cm="1">
        <f t="array" ref="Y16">INDEX(Drivers!$C$88:$AG$104,$G16,Y$9)</f>
        <v>9.2420000000000009</v>
      </c>
      <c r="Z16" s="183" cm="1">
        <f t="array" ref="Z16">INDEX(Drivers!$C$88:$AG$104,$G16,Z$9)</f>
        <v>9.3409999999999993</v>
      </c>
      <c r="AA16" s="183" cm="1">
        <f t="array" ref="AA16">INDEX(Drivers!$C$88:$AG$104,$G16,AA$9)</f>
        <v>9.3659999999999997</v>
      </c>
      <c r="AB16" s="183" cm="1">
        <f t="array" ref="AB16">INDEX(Drivers!$C$88:$AG$104,$G16,AB$9)</f>
        <v>9.4169999999999998</v>
      </c>
      <c r="AC16" s="183" cm="1">
        <f t="array" ref="AC16">INDEX(Drivers!$C$88:$AG$104,$G16,AC$9)</f>
        <v>9.5099999999999998</v>
      </c>
      <c r="AD16" s="183" cm="1">
        <f t="array" ref="AD16">INDEX(Drivers!$C$88:$AG$104,$G16,AD$9)</f>
        <v>8.3460000000000001</v>
      </c>
      <c r="AE16" s="183" cm="1">
        <f t="array" ref="AE16">INDEX(Drivers!$C$88:$AG$104,$G16,AE$9)</f>
        <v>7.7060000000000004</v>
      </c>
      <c r="AF16" s="183" cm="1">
        <f t="array" ref="AF16">INDEX(Drivers!$C$88:$AG$104,$G16,AF$9)</f>
        <v>7.6909999999999998</v>
      </c>
      <c r="AG16" s="183" cm="1">
        <f t="array" ref="AG16">INDEX(Drivers!$C$88:$AG$104,$G16,AG$9)</f>
        <v>7.8300000000000001</v>
      </c>
      <c r="AH16" s="183" cm="1">
        <f t="array" ref="AH16">INDEX(Drivers!$C$88:$AG$104,$G16,AH$9)</f>
        <v>8.0020000000000007</v>
      </c>
      <c r="AI16" s="183" cm="1">
        <f t="array" ref="AI16">INDEX(Drivers!$C$88:$AG$104,$G16,AI$9)</f>
        <v>8.1920000000000002</v>
      </c>
      <c r="AJ16" s="183" cm="1">
        <f t="array" ref="AJ16">INDEX(Drivers!$C$88:$AG$104,$G16,AJ$9)</f>
        <v>8.4000000000000004</v>
      </c>
      <c r="AK16" s="183" cm="1">
        <f t="array" ref="AK16">INDEX(Drivers!$C$88:$AG$104,$G16,AK$9)</f>
        <v>8.6069999999999993</v>
      </c>
      <c r="AL16" s="183" cm="1">
        <f t="array" ref="AL16">INDEX(Drivers!$C$88:$AG$104,$G16,AL$9)</f>
        <v>8.8249999999999993</v>
      </c>
      <c r="AM16" s="183" cm="1">
        <f t="array" ref="AM16">INDEX(Drivers!$C$88:$AG$104,$G16,AM$9)</f>
        <v>9.0540000000000003</v>
      </c>
      <c r="AN16" s="183" cm="1">
        <f t="array" ref="AN16">INDEX(Drivers!$C$88:$AG$104,$G16,AN$9)</f>
        <v>10.702999999999999</v>
      </c>
      <c r="AO16" s="183" cm="1">
        <f t="array" ref="AO16">INDEX(Drivers!$C$88:$AG$104,$G16,AO$9)</f>
        <v>16.475000000000001</v>
      </c>
      <c r="AP16" s="183" cm="1">
        <f t="array" ref="AP16">INDEX(Drivers!$C$88:$AK$104,$G16,AP$9)</f>
        <v>23.944135932656788</v>
      </c>
      <c r="AQ16" s="183" cm="1">
        <f t="array" ref="AQ16">INDEX(Drivers!$C$88:$AK$104,$G16,AQ$9)</f>
        <v>26.699601671526349</v>
      </c>
    </row>
    <row r="17" spans="1:43" ht="15">
      <c r="A17" t="s">
        <v>16</v>
      </c>
      <c r="B17" s="9" t="str">
        <f>[4]IND!B15</f>
        <v>NF</v>
      </c>
      <c r="C17" s="9" t="str">
        <f>[4]IND!A15</f>
        <v>Precious &amp; Non-Ferrous metals</v>
      </c>
      <c r="D17">
        <f>[4]IND!M15</f>
        <v>1</v>
      </c>
      <c r="F17" s="9"/>
      <c r="G17">
        <f>MATCH(B17,Drivers!$A$7:$A$25,0)</f>
        <v>12</v>
      </c>
      <c r="I17" s="9"/>
      <c r="J17" s="9"/>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11.607445782559633</v>
      </c>
      <c r="U17" cm="1">
        <f t="array" ref="U17">INDEX(Drivers!$C$7:$AG$25,$G17,U$9)</f>
        <v>13.378080716261044</v>
      </c>
      <c r="V17" cm="1">
        <f t="array" ref="V17">INDEX(Drivers!$C$7:$AG$25,$G17,V$9)</f>
        <v>12.659978022673142</v>
      </c>
      <c r="W17" cm="1">
        <f t="array" ref="W17">INDEX(Drivers!$C$7:$AG$25,$G17,W$9)</f>
        <v>12.573204091058793</v>
      </c>
      <c r="X17" cm="1">
        <f t="array" ref="X17">INDEX(Drivers!$C$7:$AG$25,$G17,X$9)</f>
        <v>12.63311667866272</v>
      </c>
      <c r="Y17" cm="1">
        <f t="array" ref="Y17">INDEX(Drivers!$C$7:$AG$25,$G17,Y$9)</f>
        <v>12.929633447361994</v>
      </c>
      <c r="Z17" cm="1">
        <f t="array" ref="Z17">INDEX(Drivers!$C$7:$AG$25,$G17,Z$9)</f>
        <v>12.917324323615013</v>
      </c>
      <c r="AA17" cm="1">
        <f t="array" ref="AA17">INDEX(Drivers!$C$7:$AG$25,$G17,AA$9)</f>
        <v>12.911730124076415</v>
      </c>
      <c r="AB17" cm="1">
        <f t="array" ref="AB17">INDEX(Drivers!$C$7:$AG$25,$G17,AB$9)</f>
        <v>13.068570563401574</v>
      </c>
      <c r="AC17" cm="1">
        <f t="array" ref="AC17">INDEX(Drivers!$C$7:$AG$25,$G17,AC$9)</f>
        <v>13.302149418580994</v>
      </c>
      <c r="AD17" cm="1">
        <f t="array" ref="AD17">INDEX(Drivers!$C$7:$AG$25,$G17,AD$9)</f>
        <v>13.584325379189437</v>
      </c>
      <c r="AE17" cm="1">
        <f t="array" ref="AE17">INDEX(Drivers!$C$7:$AG$25,$G17,AE$9)</f>
        <v>13.881987690166961</v>
      </c>
      <c r="AF17" cm="1">
        <f t="array" ref="AF17">INDEX(Drivers!$C$7:$AG$25,$G17,AF$9)</f>
        <v>14.214872562871648</v>
      </c>
      <c r="AG17" cm="1">
        <f t="array" ref="AG17">INDEX(Drivers!$C$7:$AG$25,$G17,AG$9)</f>
        <v>14.525653785759708</v>
      </c>
      <c r="AH17" cm="1">
        <f t="array" ref="AH17">INDEX(Drivers!$C$7:$AG$25,$G17,AH$9)</f>
        <v>15.429942608869467</v>
      </c>
      <c r="AI17" cm="1">
        <f t="array" ref="AI17">INDEX(Drivers!$C$7:$AG$25,$G17,AI$9)</f>
        <v>15.690162283568247</v>
      </c>
      <c r="AJ17" cm="1">
        <f t="array" ref="AJ17">INDEX(Drivers!$C$7:$AG$25,$G17,AJ$9)</f>
        <v>16.053536173266973</v>
      </c>
      <c r="AK17" cm="1">
        <f t="array" ref="AK17">INDEX(Drivers!$C$7:$AG$25,$G17,AK$9)</f>
        <v>16.440227818320505</v>
      </c>
      <c r="AL17" cm="1">
        <f t="array" ref="AL17">INDEX(Drivers!$C$7:$AG$25,$G17,AL$9)</f>
        <v>16.87327915658015</v>
      </c>
      <c r="AM17" cm="1">
        <f t="array" ref="AM17">INDEX(Drivers!$C$7:$AG$25,$G17,AM$9)</f>
        <v>17.326760565570382</v>
      </c>
      <c r="AN17" cm="1">
        <f t="array" ref="AN17">INDEX(Drivers!$C$7:$AG$25,$G17,AN$9)</f>
        <v>19.329719446953234</v>
      </c>
      <c r="AO17" cm="1">
        <f t="array" ref="AO17">INDEX(Drivers!$C$7:$AG$25,$G17,AO$9)</f>
        <v>21.96573564727386</v>
      </c>
      <c r="AP17" cm="1">
        <f t="array" ref="AP17">INDEX(Drivers!$C$7:$AK$25,$G17,AP$9)</f>
        <v>25.428221920854099</v>
      </c>
      <c r="AQ17" cm="1">
        <f t="array" ref="AQ17">INDEX(Drivers!$C$7:$AK$25,$G17,AQ$9)</f>
        <v>28.474030573956355</v>
      </c>
    </row>
    <row r="18" spans="1:43" ht="15">
      <c r="A18" t="s">
        <v>16</v>
      </c>
      <c r="B18" s="9" t="str">
        <f>[4]IND!B16</f>
        <v>NM</v>
      </c>
      <c r="C18" s="9" t="str">
        <f>[4]IND!A16</f>
        <v>N.M.M Products</v>
      </c>
      <c r="D18">
        <f>[4]IND!M16</f>
        <v>0</v>
      </c>
      <c r="F18" s="9" t="s">
        <v>277</v>
      </c>
      <c r="G18">
        <f>MATCH(B18,Drivers!$A$7:$A$25,0)</f>
        <v>13</v>
      </c>
      <c r="I18" s="9"/>
      <c r="J18" s="9"/>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17.629999999999999</v>
      </c>
      <c r="S18" cm="1">
        <f t="array" ref="S18">INDEX(Drivers!$C$7:$AG$25,$G18,S$9)</f>
        <v>16.460000000000001</v>
      </c>
      <c r="T18" cm="1">
        <f t="array" ref="T18">INDEX(Drivers!$C$7:$AG$25,$G18,T$9)</f>
        <v>17.461941883695768</v>
      </c>
      <c r="U18" cm="1">
        <f t="array" ref="U18">INDEX(Drivers!$C$7:$AG$25,$G18,U$9)</f>
        <v>18.119036555395851</v>
      </c>
      <c r="V18" cm="1">
        <f t="array" ref="V18">INDEX(Drivers!$C$7:$AG$25,$G18,V$9)</f>
        <v>18.09990089894092</v>
      </c>
      <c r="W18" cm="1">
        <f t="array" ref="W18">INDEX(Drivers!$C$7:$AG$25,$G18,W$9)</f>
        <v>18.1988389146623</v>
      </c>
      <c r="X18" cm="1">
        <f t="array" ref="X18">INDEX(Drivers!$C$7:$AG$25,$G18,X$9)</f>
        <v>18.617245076520646</v>
      </c>
      <c r="Y18" cm="1">
        <f t="array" ref="Y18">INDEX(Drivers!$C$7:$AG$25,$G18,Y$9)</f>
        <v>19.33378488456496</v>
      </c>
      <c r="Z18" cm="1">
        <f t="array" ref="Z18">INDEX(Drivers!$C$7:$AG$25,$G18,Z$9)</f>
        <v>19.625432027058782</v>
      </c>
      <c r="AA18" cm="1">
        <f t="array" ref="AA18">INDEX(Drivers!$C$7:$AG$25,$G18,AA$9)</f>
        <v>19.97364660883931</v>
      </c>
      <c r="AB18" cm="1">
        <f t="array" ref="AB18">INDEX(Drivers!$C$7:$AG$25,$G18,AB$9)</f>
        <v>20.473478119273125</v>
      </c>
      <c r="AC18" cm="1">
        <f t="array" ref="AC18">INDEX(Drivers!$C$7:$AG$25,$G18,AC$9)</f>
        <v>21.143738584334123</v>
      </c>
      <c r="AD18" cm="1">
        <f t="array" ref="AD18">INDEX(Drivers!$C$7:$AG$25,$G18,AD$9)</f>
        <v>21.832393318673041</v>
      </c>
      <c r="AE18" cm="1">
        <f t="array" ref="AE18">INDEX(Drivers!$C$7:$AG$25,$G18,AE$9)</f>
        <v>22.535951889858616</v>
      </c>
      <c r="AF18" cm="1">
        <f t="array" ref="AF18">INDEX(Drivers!$C$7:$AG$25,$G18,AF$9)</f>
        <v>23.245613296046887</v>
      </c>
      <c r="AG18" cm="1">
        <f t="array" ref="AG18">INDEX(Drivers!$C$7:$AG$25,$G18,AG$9)</f>
        <v>24.005006811500927</v>
      </c>
      <c r="AH18" cm="1">
        <f t="array" ref="AH18">INDEX(Drivers!$C$7:$AG$25,$G18,AH$9)</f>
        <v>24.993496537376064</v>
      </c>
      <c r="AI18" cm="1">
        <f t="array" ref="AI18">INDEX(Drivers!$C$7:$AG$25,$G18,AI$9)</f>
        <v>25.793870245131313</v>
      </c>
      <c r="AJ18" cm="1">
        <f t="array" ref="AJ18">INDEX(Drivers!$C$7:$AG$25,$G18,AJ$9)</f>
        <v>26.599457556894244</v>
      </c>
      <c r="AK18" cm="1">
        <f t="array" ref="AK18">INDEX(Drivers!$C$7:$AG$25,$G18,AK$9)</f>
        <v>27.432569278334473</v>
      </c>
      <c r="AL18" cm="1">
        <f t="array" ref="AL18">INDEX(Drivers!$C$7:$AG$25,$G18,AL$9)</f>
        <v>28.280901617192661</v>
      </c>
      <c r="AM18" cm="1">
        <f t="array" ref="AM18">INDEX(Drivers!$C$7:$AG$25,$G18,AM$9)</f>
        <v>29.09249449858434</v>
      </c>
      <c r="AN18" cm="1">
        <f t="array" ref="AN18">INDEX(Drivers!$C$7:$AG$25,$G18,AN$9)</f>
        <v>33.49807487320723</v>
      </c>
      <c r="AO18" cm="1">
        <f t="array" ref="AO18">INDEX(Drivers!$C$7:$AG$25,$G18,AO$9)</f>
        <v>33.413106408226014</v>
      </c>
      <c r="AP18" cm="1">
        <f t="array" ref="AP18">INDEX(Drivers!$C$7:$AK$25,$G18,AP$9)</f>
        <v>39.582193210285375</v>
      </c>
      <c r="AQ18" cm="1">
        <f t="array" ref="AQ18">INDEX(Drivers!$C$7:$AK$25,$G18,AQ$9)</f>
        <v>44.323373579243054</v>
      </c>
    </row>
    <row r="19" spans="1:43" ht="15">
      <c r="A19" t="s">
        <v>16</v>
      </c>
      <c r="B19" s="9" t="str">
        <f t="shared" si="23" ref="B19:D21">B18</f>
        <v>NM</v>
      </c>
      <c r="C19" s="9" t="str">
        <f t="shared" si="23"/>
        <v>N.M.M Products</v>
      </c>
      <c r="D19">
        <f t="shared" si="23"/>
        <v>0</v>
      </c>
      <c r="F19" s="9" t="s">
        <v>281</v>
      </c>
      <c r="G19">
        <f>MATCH(B19,Drivers!$A$7:$A$25,0)</f>
        <v>13</v>
      </c>
      <c r="I19" s="9"/>
      <c r="J19" s="9"/>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17.629999999999999</v>
      </c>
      <c r="S19" cm="1">
        <f t="array" ref="S19">INDEX(Drivers!$C$7:$AG$25,$G19,S$9)</f>
        <v>16.460000000000001</v>
      </c>
      <c r="T19" cm="1">
        <f t="array" ref="T19">INDEX(Drivers!$C$7:$AG$25,$G19,T$9)</f>
        <v>17.461941883695768</v>
      </c>
      <c r="U19" cm="1">
        <f t="array" ref="U19">INDEX(Drivers!$C$7:$AG$25,$G19,U$9)</f>
        <v>18.119036555395851</v>
      </c>
      <c r="V19" cm="1">
        <f t="array" ref="V19">INDEX(Drivers!$C$7:$AG$25,$G19,V$9)</f>
        <v>18.09990089894092</v>
      </c>
      <c r="W19" cm="1">
        <f t="array" ref="W19">INDEX(Drivers!$C$7:$AG$25,$G19,W$9)</f>
        <v>18.1988389146623</v>
      </c>
      <c r="X19" cm="1">
        <f t="array" ref="X19">INDEX(Drivers!$C$7:$AG$25,$G19,X$9)</f>
        <v>18.617245076520646</v>
      </c>
      <c r="Y19" cm="1">
        <f t="array" ref="Y19">INDEX(Drivers!$C$7:$AG$25,$G19,Y$9)</f>
        <v>19.33378488456496</v>
      </c>
      <c r="Z19" cm="1">
        <f t="array" ref="Z19">INDEX(Drivers!$C$7:$AG$25,$G19,Z$9)</f>
        <v>19.625432027058782</v>
      </c>
      <c r="AA19" cm="1">
        <f t="array" ref="AA19">INDEX(Drivers!$C$7:$AG$25,$G19,AA$9)</f>
        <v>19.97364660883931</v>
      </c>
      <c r="AB19" cm="1">
        <f t="array" ref="AB19">INDEX(Drivers!$C$7:$AG$25,$G19,AB$9)</f>
        <v>20.473478119273125</v>
      </c>
      <c r="AC19" cm="1">
        <f t="array" ref="AC19">INDEX(Drivers!$C$7:$AG$25,$G19,AC$9)</f>
        <v>21.143738584334123</v>
      </c>
      <c r="AD19" cm="1">
        <f t="array" ref="AD19">INDEX(Drivers!$C$7:$AG$25,$G19,AD$9)</f>
        <v>21.832393318673041</v>
      </c>
      <c r="AE19" cm="1">
        <f t="array" ref="AE19">INDEX(Drivers!$C$7:$AG$25,$G19,AE$9)</f>
        <v>22.535951889858616</v>
      </c>
      <c r="AF19" cm="1">
        <f t="array" ref="AF19">INDEX(Drivers!$C$7:$AG$25,$G19,AF$9)</f>
        <v>23.245613296046887</v>
      </c>
      <c r="AG19" cm="1">
        <f t="array" ref="AG19">INDEX(Drivers!$C$7:$AG$25,$G19,AG$9)</f>
        <v>24.005006811500927</v>
      </c>
      <c r="AH19" cm="1">
        <f t="array" ref="AH19">INDEX(Drivers!$C$7:$AG$25,$G19,AH$9)</f>
        <v>24.993496537376064</v>
      </c>
      <c r="AI19" cm="1">
        <f t="array" ref="AI19">INDEX(Drivers!$C$7:$AG$25,$G19,AI$9)</f>
        <v>25.793870245131313</v>
      </c>
      <c r="AJ19" cm="1">
        <f t="array" ref="AJ19">INDEX(Drivers!$C$7:$AG$25,$G19,AJ$9)</f>
        <v>26.599457556894244</v>
      </c>
      <c r="AK19" cm="1">
        <f t="array" ref="AK19">INDEX(Drivers!$C$7:$AG$25,$G19,AK$9)</f>
        <v>27.432569278334473</v>
      </c>
      <c r="AL19" cm="1">
        <f t="array" ref="AL19">INDEX(Drivers!$C$7:$AG$25,$G19,AL$9)</f>
        <v>28.280901617192661</v>
      </c>
      <c r="AM19" cm="1">
        <f t="array" ref="AM19">INDEX(Drivers!$C$7:$AG$25,$G19,AM$9)</f>
        <v>29.09249449858434</v>
      </c>
      <c r="AN19" cm="1">
        <f t="array" ref="AN19">INDEX(Drivers!$C$7:$AG$25,$G19,AN$9)</f>
        <v>33.49807487320723</v>
      </c>
      <c r="AO19" cm="1">
        <f t="array" ref="AO19">INDEX(Drivers!$C$7:$AG$25,$G19,AO$9)</f>
        <v>33.413106408226014</v>
      </c>
      <c r="AP19" cm="1">
        <f t="array" ref="AP19">INDEX(Drivers!$C$7:$AK$25,$G19,AP$9)</f>
        <v>39.582193210285375</v>
      </c>
      <c r="AQ19" cm="1">
        <f t="array" ref="AQ19">INDEX(Drivers!$C$7:$AK$25,$G19,AQ$9)</f>
        <v>44.323373579243054</v>
      </c>
    </row>
    <row r="20" spans="1:43" ht="15">
      <c r="A20" t="s">
        <v>16</v>
      </c>
      <c r="B20" s="9" t="str">
        <f t="shared" si="23"/>
        <v>NM</v>
      </c>
      <c r="C20" s="9" t="str">
        <f t="shared" si="23"/>
        <v>N.M.M Products</v>
      </c>
      <c r="D20">
        <f t="shared" si="23"/>
        <v>0</v>
      </c>
      <c r="F20" s="9" t="s">
        <v>282</v>
      </c>
      <c r="G20">
        <f>MATCH(B20,Drivers!$A$7:$A$25,0)</f>
        <v>13</v>
      </c>
      <c r="I20" s="9"/>
      <c r="J20" s="9"/>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17.629999999999999</v>
      </c>
      <c r="S20" cm="1">
        <f t="array" ref="S20">INDEX(Drivers!$C$7:$AG$25,$G20,S$9)</f>
        <v>16.460000000000001</v>
      </c>
      <c r="T20" cm="1">
        <f t="array" ref="T20">INDEX(Drivers!$C$7:$AG$25,$G20,T$9)</f>
        <v>17.461941883695768</v>
      </c>
      <c r="U20" cm="1">
        <f t="array" ref="U20">INDEX(Drivers!$C$7:$AG$25,$G20,U$9)</f>
        <v>18.119036555395851</v>
      </c>
      <c r="V20" cm="1">
        <f t="array" ref="V20">INDEX(Drivers!$C$7:$AG$25,$G20,V$9)</f>
        <v>18.09990089894092</v>
      </c>
      <c r="W20" cm="1">
        <f t="array" ref="W20">INDEX(Drivers!$C$7:$AG$25,$G20,W$9)</f>
        <v>18.1988389146623</v>
      </c>
      <c r="X20" cm="1">
        <f t="array" ref="X20">INDEX(Drivers!$C$7:$AG$25,$G20,X$9)</f>
        <v>18.617245076520646</v>
      </c>
      <c r="Y20" cm="1">
        <f t="array" ref="Y20">INDEX(Drivers!$C$7:$AG$25,$G20,Y$9)</f>
        <v>19.33378488456496</v>
      </c>
      <c r="Z20" cm="1">
        <f t="array" ref="Z20">INDEX(Drivers!$C$7:$AG$25,$G20,Z$9)</f>
        <v>19.625432027058782</v>
      </c>
      <c r="AA20" cm="1">
        <f t="array" ref="AA20">INDEX(Drivers!$C$7:$AG$25,$G20,AA$9)</f>
        <v>19.97364660883931</v>
      </c>
      <c r="AB20" cm="1">
        <f t="array" ref="AB20">INDEX(Drivers!$C$7:$AG$25,$G20,AB$9)</f>
        <v>20.473478119273125</v>
      </c>
      <c r="AC20" cm="1">
        <f t="array" ref="AC20">INDEX(Drivers!$C$7:$AG$25,$G20,AC$9)</f>
        <v>21.143738584334123</v>
      </c>
      <c r="AD20" cm="1">
        <f t="array" ref="AD20">INDEX(Drivers!$C$7:$AG$25,$G20,AD$9)</f>
        <v>21.832393318673041</v>
      </c>
      <c r="AE20" cm="1">
        <f t="array" ref="AE20">INDEX(Drivers!$C$7:$AG$25,$G20,AE$9)</f>
        <v>22.535951889858616</v>
      </c>
      <c r="AF20" cm="1">
        <f t="array" ref="AF20">INDEX(Drivers!$C$7:$AG$25,$G20,AF$9)</f>
        <v>23.245613296046887</v>
      </c>
      <c r="AG20" cm="1">
        <f t="array" ref="AG20">INDEX(Drivers!$C$7:$AG$25,$G20,AG$9)</f>
        <v>24.005006811500927</v>
      </c>
      <c r="AH20" cm="1">
        <f t="array" ref="AH20">INDEX(Drivers!$C$7:$AG$25,$G20,AH$9)</f>
        <v>24.993496537376064</v>
      </c>
      <c r="AI20" cm="1">
        <f t="array" ref="AI20">INDEX(Drivers!$C$7:$AG$25,$G20,AI$9)</f>
        <v>25.793870245131313</v>
      </c>
      <c r="AJ20" cm="1">
        <f t="array" ref="AJ20">INDEX(Drivers!$C$7:$AG$25,$G20,AJ$9)</f>
        <v>26.599457556894244</v>
      </c>
      <c r="AK20" cm="1">
        <f t="array" ref="AK20">INDEX(Drivers!$C$7:$AG$25,$G20,AK$9)</f>
        <v>27.432569278334473</v>
      </c>
      <c r="AL20" cm="1">
        <f t="array" ref="AL20">INDEX(Drivers!$C$7:$AG$25,$G20,AL$9)</f>
        <v>28.280901617192661</v>
      </c>
      <c r="AM20" cm="1">
        <f t="array" ref="AM20">INDEX(Drivers!$C$7:$AG$25,$G20,AM$9)</f>
        <v>29.09249449858434</v>
      </c>
      <c r="AN20" cm="1">
        <f t="array" ref="AN20">INDEX(Drivers!$C$7:$AG$25,$G20,AN$9)</f>
        <v>33.49807487320723</v>
      </c>
      <c r="AO20" cm="1">
        <f t="array" ref="AO20">INDEX(Drivers!$C$7:$AG$25,$G20,AO$9)</f>
        <v>33.413106408226014</v>
      </c>
      <c r="AP20" cm="1">
        <f t="array" ref="AP20">INDEX(Drivers!$C$7:$AK$25,$G20,AP$9)</f>
        <v>39.582193210285375</v>
      </c>
      <c r="AQ20" cm="1">
        <f t="array" ref="AQ20">INDEX(Drivers!$C$7:$AK$25,$G20,AQ$9)</f>
        <v>44.323373579243054</v>
      </c>
    </row>
    <row r="21" spans="1:43" ht="15">
      <c r="A21" t="s">
        <v>16</v>
      </c>
      <c r="B21" s="9" t="str">
        <f t="shared" si="23"/>
        <v>NM</v>
      </c>
      <c r="C21" s="9" t="str">
        <f t="shared" si="23"/>
        <v>N.M.M Products</v>
      </c>
      <c r="D21">
        <f t="shared" si="23"/>
        <v>0</v>
      </c>
      <c r="F21" s="9" t="s">
        <v>283</v>
      </c>
      <c r="G21">
        <f>MATCH(B21,Drivers!$A$7:$A$25,0)</f>
        <v>13</v>
      </c>
      <c r="I21" s="9"/>
      <c r="J21" s="9"/>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17.629999999999999</v>
      </c>
      <c r="S21" cm="1">
        <f t="array" ref="S21">INDEX(Drivers!$C$7:$AG$25,$G21,S$9)</f>
        <v>16.460000000000001</v>
      </c>
      <c r="T21" cm="1">
        <f t="array" ref="T21">INDEX(Drivers!$C$7:$AG$25,$G21,T$9)</f>
        <v>17.461941883695768</v>
      </c>
      <c r="U21" cm="1">
        <f t="array" ref="U21">INDEX(Drivers!$C$7:$AG$25,$G21,U$9)</f>
        <v>18.119036555395851</v>
      </c>
      <c r="V21" cm="1">
        <f t="array" ref="V21">INDEX(Drivers!$C$7:$AG$25,$G21,V$9)</f>
        <v>18.09990089894092</v>
      </c>
      <c r="W21" cm="1">
        <f t="array" ref="W21">INDEX(Drivers!$C$7:$AG$25,$G21,W$9)</f>
        <v>18.1988389146623</v>
      </c>
      <c r="X21" cm="1">
        <f t="array" ref="X21">INDEX(Drivers!$C$7:$AG$25,$G21,X$9)</f>
        <v>18.617245076520646</v>
      </c>
      <c r="Y21" cm="1">
        <f t="array" ref="Y21">INDEX(Drivers!$C$7:$AG$25,$G21,Y$9)</f>
        <v>19.33378488456496</v>
      </c>
      <c r="Z21" cm="1">
        <f t="array" ref="Z21">INDEX(Drivers!$C$7:$AG$25,$G21,Z$9)</f>
        <v>19.625432027058782</v>
      </c>
      <c r="AA21" cm="1">
        <f t="array" ref="AA21">INDEX(Drivers!$C$7:$AG$25,$G21,AA$9)</f>
        <v>19.97364660883931</v>
      </c>
      <c r="AB21" cm="1">
        <f t="array" ref="AB21">INDEX(Drivers!$C$7:$AG$25,$G21,AB$9)</f>
        <v>20.473478119273125</v>
      </c>
      <c r="AC21" cm="1">
        <f t="array" ref="AC21">INDEX(Drivers!$C$7:$AG$25,$G21,AC$9)</f>
        <v>21.143738584334123</v>
      </c>
      <c r="AD21" cm="1">
        <f t="array" ref="AD21">INDEX(Drivers!$C$7:$AG$25,$G21,AD$9)</f>
        <v>21.832393318673041</v>
      </c>
      <c r="AE21" cm="1">
        <f t="array" ref="AE21">INDEX(Drivers!$C$7:$AG$25,$G21,AE$9)</f>
        <v>22.535951889858616</v>
      </c>
      <c r="AF21" cm="1">
        <f t="array" ref="AF21">INDEX(Drivers!$C$7:$AG$25,$G21,AF$9)</f>
        <v>23.245613296046887</v>
      </c>
      <c r="AG21" cm="1">
        <f t="array" ref="AG21">INDEX(Drivers!$C$7:$AG$25,$G21,AG$9)</f>
        <v>24.005006811500927</v>
      </c>
      <c r="AH21" cm="1">
        <f t="array" ref="AH21">INDEX(Drivers!$C$7:$AG$25,$G21,AH$9)</f>
        <v>24.993496537376064</v>
      </c>
      <c r="AI21" cm="1">
        <f t="array" ref="AI21">INDEX(Drivers!$C$7:$AG$25,$G21,AI$9)</f>
        <v>25.793870245131313</v>
      </c>
      <c r="AJ21" cm="1">
        <f t="array" ref="AJ21">INDEX(Drivers!$C$7:$AG$25,$G21,AJ$9)</f>
        <v>26.599457556894244</v>
      </c>
      <c r="AK21" cm="1">
        <f t="array" ref="AK21">INDEX(Drivers!$C$7:$AG$25,$G21,AK$9)</f>
        <v>27.432569278334473</v>
      </c>
      <c r="AL21" cm="1">
        <f t="array" ref="AL21">INDEX(Drivers!$C$7:$AG$25,$G21,AL$9)</f>
        <v>28.280901617192661</v>
      </c>
      <c r="AM21" cm="1">
        <f t="array" ref="AM21">INDEX(Drivers!$C$7:$AG$25,$G21,AM$9)</f>
        <v>29.09249449858434</v>
      </c>
      <c r="AN21" cm="1">
        <f t="array" ref="AN21">INDEX(Drivers!$C$7:$AG$25,$G21,AN$9)</f>
        <v>33.49807487320723</v>
      </c>
      <c r="AO21" cm="1">
        <f t="array" ref="AO21">INDEX(Drivers!$C$7:$AG$25,$G21,AO$9)</f>
        <v>33.413106408226014</v>
      </c>
      <c r="AP21" cm="1">
        <f t="array" ref="AP21">INDEX(Drivers!$C$7:$AK$25,$G21,AP$9)</f>
        <v>39.582193210285375</v>
      </c>
      <c r="AQ21" cm="1">
        <f t="array" ref="AQ21">INDEX(Drivers!$C$7:$AK$25,$G21,AQ$9)</f>
        <v>44.323373579243054</v>
      </c>
    </row>
    <row r="22" spans="1:43" ht="15">
      <c r="A22" t="s">
        <v>16</v>
      </c>
      <c r="B22" s="9" t="str">
        <f>[4]IND!B17</f>
        <v>FB</v>
      </c>
      <c r="C22" s="9" t="str">
        <f>[4]IND!A17</f>
        <v>Food, Beverage &amp; Tabacco</v>
      </c>
      <c r="D22">
        <f>[4]IND!M17</f>
        <v>1</v>
      </c>
      <c r="F22" s="9"/>
      <c r="G22">
        <f>MATCH(B22,Drivers!$A$7:$A$25,0)</f>
        <v>5</v>
      </c>
      <c r="I22" s="9"/>
      <c r="J22" s="9"/>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155.24000000000001</v>
      </c>
      <c r="S22" cm="1">
        <f t="array" ref="S22">INDEX(Drivers!$C$7:$AG$25,$G22,S$9)</f>
        <v>152.88999999999999</v>
      </c>
      <c r="T22" cm="1">
        <f t="array" ref="T22">INDEX(Drivers!$C$7:$AG$25,$G22,T$9)</f>
        <v>161.47994305451923</v>
      </c>
      <c r="U22" cm="1">
        <f t="array" ref="U22">INDEX(Drivers!$C$7:$AG$25,$G22,U$9)</f>
        <v>170.34371759786086</v>
      </c>
      <c r="V22" cm="1">
        <f t="array" ref="V22">INDEX(Drivers!$C$7:$AG$25,$G22,V$9)</f>
        <v>173.12341457106015</v>
      </c>
      <c r="W22" cm="1">
        <f t="array" ref="W22">INDEX(Drivers!$C$7:$AG$25,$G22,W$9)</f>
        <v>176.32840698200047</v>
      </c>
      <c r="X22" cm="1">
        <f t="array" ref="X22">INDEX(Drivers!$C$7:$AG$25,$G22,X$9)</f>
        <v>177.09708186166219</v>
      </c>
      <c r="Y22" cm="1">
        <f t="array" ref="Y22">INDEX(Drivers!$C$7:$AG$25,$G22,Y$9)</f>
        <v>176.7862303163169</v>
      </c>
      <c r="Z22" cm="1">
        <f t="array" ref="Z22">INDEX(Drivers!$C$7:$AG$25,$G22,Z$9)</f>
        <v>179.3406898621059</v>
      </c>
      <c r="AA22" cm="1">
        <f t="array" ref="AA22">INDEX(Drivers!$C$7:$AG$25,$G22,AA$9)</f>
        <v>182.37090266223754</v>
      </c>
      <c r="AB22" cm="1">
        <f t="array" ref="AB22">INDEX(Drivers!$C$7:$AG$25,$G22,AB$9)</f>
        <v>185.39729323774759</v>
      </c>
      <c r="AC22" cm="1">
        <f t="array" ref="AC22">INDEX(Drivers!$C$7:$AG$25,$G22,AC$9)</f>
        <v>190.41425950751045</v>
      </c>
      <c r="AD22" cm="1">
        <f t="array" ref="AD22">INDEX(Drivers!$C$7:$AG$25,$G22,AD$9)</f>
        <v>195.72791784347467</v>
      </c>
      <c r="AE22" cm="1">
        <f t="array" ref="AE22">INDEX(Drivers!$C$7:$AG$25,$G22,AE$9)</f>
        <v>200.97793474475992</v>
      </c>
      <c r="AF22" cm="1">
        <f t="array" ref="AF22">INDEX(Drivers!$C$7:$AG$25,$G22,AF$9)</f>
        <v>206.18886862836951</v>
      </c>
      <c r="AG22" cm="1">
        <f t="array" ref="AG22">INDEX(Drivers!$C$7:$AG$25,$G22,AG$9)</f>
        <v>211.81036245014377</v>
      </c>
      <c r="AH22" cm="1">
        <f t="array" ref="AH22">INDEX(Drivers!$C$7:$AG$25,$G22,AH$9)</f>
        <v>219.46733540580811</v>
      </c>
      <c r="AI22" cm="1">
        <f t="array" ref="AI22">INDEX(Drivers!$C$7:$AG$25,$G22,AI$9)</f>
        <v>224.12361898931096</v>
      </c>
      <c r="AJ22" cm="1">
        <f t="array" ref="AJ22">INDEX(Drivers!$C$7:$AG$25,$G22,AJ$9)</f>
        <v>228.55384157341112</v>
      </c>
      <c r="AK22" cm="1">
        <f t="array" ref="AK22">INDEX(Drivers!$C$7:$AG$25,$G22,AK$9)</f>
        <v>232.91946178000421</v>
      </c>
      <c r="AL22" cm="1">
        <f t="array" ref="AL22">INDEX(Drivers!$C$7:$AG$25,$G22,AL$9)</f>
        <v>237.58304479744407</v>
      </c>
      <c r="AM22" cm="1">
        <f t="array" ref="AM22">INDEX(Drivers!$C$7:$AG$25,$G22,AM$9)</f>
        <v>242.22934419814229</v>
      </c>
      <c r="AN22" cm="1">
        <f t="array" ref="AN22">INDEX(Drivers!$C$7:$AG$25,$G22,AN$9)</f>
        <v>267.36183449681687</v>
      </c>
      <c r="AO22" cm="1">
        <f t="array" ref="AO22">INDEX(Drivers!$C$7:$AG$25,$G22,AO$9)</f>
        <v>296.57473830496309</v>
      </c>
      <c r="AP22" cm="1">
        <f t="array" ref="AP22">INDEX(Drivers!$C$7:$AK$25,$G22,AP$9)</f>
        <v>332.88469496349677</v>
      </c>
      <c r="AQ22" cm="1">
        <f t="array" ref="AQ22">INDEX(Drivers!$C$7:$AK$25,$G22,AQ$9)</f>
        <v>372.75783621422681</v>
      </c>
    </row>
    <row r="23" spans="1:43" ht="15">
      <c r="A23" t="s">
        <v>16</v>
      </c>
      <c r="B23" s="9" t="str">
        <f>[4]IND!B18</f>
        <v>PP</v>
      </c>
      <c r="C23" s="9" t="str">
        <f>[4]IND!A18</f>
        <v>Pulp &amp; Paper Products</v>
      </c>
      <c r="D23">
        <f>[4]IND!M18</f>
        <v>0</v>
      </c>
      <c r="F23" s="9" t="s">
        <v>284</v>
      </c>
      <c r="G23">
        <f>MATCH(B23,Drivers!$A$7:$A$25,0)</f>
        <v>16</v>
      </c>
      <c r="I23" s="9"/>
      <c r="J23" s="9"/>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24.030000000000001</v>
      </c>
      <c r="S23" cm="1">
        <f t="array" ref="S23">INDEX(Drivers!$C$7:$AG$25,$G23,S$9)</f>
        <v>22.949999999999999</v>
      </c>
      <c r="T23" cm="1">
        <f t="array" ref="T23">INDEX(Drivers!$C$7:$AG$25,$G23,T$9)</f>
        <v>23.5915589387069</v>
      </c>
      <c r="U23" cm="1">
        <f t="array" ref="U23">INDEX(Drivers!$C$7:$AG$25,$G23,U$9)</f>
        <v>25.612761924026326</v>
      </c>
      <c r="V23" cm="1">
        <f t="array" ref="V23">INDEX(Drivers!$C$7:$AG$25,$G23,V$9)</f>
        <v>25.70533277196116</v>
      </c>
      <c r="W23" cm="1">
        <f t="array" ref="W23">INDEX(Drivers!$C$7:$AG$25,$G23,W$9)</f>
        <v>26.103978707586045</v>
      </c>
      <c r="X23" cm="1">
        <f t="array" ref="X23">INDEX(Drivers!$C$7:$AG$25,$G23,X$9)</f>
        <v>26.391240957355965</v>
      </c>
      <c r="Y23" cm="1">
        <f t="array" ref="Y23">INDEX(Drivers!$C$7:$AG$25,$G23,Y$9)</f>
        <v>26.731597555505349</v>
      </c>
      <c r="Z23" cm="1">
        <f t="array" ref="Z23">INDEX(Drivers!$C$7:$AG$25,$G23,Z$9)</f>
        <v>27.17398473350066</v>
      </c>
      <c r="AA23" cm="1">
        <f t="array" ref="AA23">INDEX(Drivers!$C$7:$AG$25,$G23,AA$9)</f>
        <v>27.726666965592173</v>
      </c>
      <c r="AB23" cm="1">
        <f t="array" ref="AB23">INDEX(Drivers!$C$7:$AG$25,$G23,AB$9)</f>
        <v>28.352110697382354</v>
      </c>
      <c r="AC23" cm="1">
        <f t="array" ref="AC23">INDEX(Drivers!$C$7:$AG$25,$G23,AC$9)</f>
        <v>29.212851977364505</v>
      </c>
      <c r="AD23" cm="1">
        <f t="array" ref="AD23">INDEX(Drivers!$C$7:$AG$25,$G23,AD$9)</f>
        <v>30.172817767999469</v>
      </c>
      <c r="AE23" cm="1">
        <f t="array" ref="AE23">INDEX(Drivers!$C$7:$AG$25,$G23,AE$9)</f>
        <v>31.158188208433973</v>
      </c>
      <c r="AF23" cm="1">
        <f t="array" ref="AF23">INDEX(Drivers!$C$7:$AG$25,$G23,AF$9)</f>
        <v>32.177851452341578</v>
      </c>
      <c r="AG23" cm="1">
        <f t="array" ref="AG23">INDEX(Drivers!$C$7:$AG$25,$G23,AG$9)</f>
        <v>33.256437740018221</v>
      </c>
      <c r="AH23" cm="1">
        <f t="array" ref="AH23">INDEX(Drivers!$C$7:$AG$25,$G23,AH$9)</f>
        <v>34.598567866684739</v>
      </c>
      <c r="AI23" cm="1">
        <f t="array" ref="AI23">INDEX(Drivers!$C$7:$AG$25,$G23,AI$9)</f>
        <v>35.515379671705396</v>
      </c>
      <c r="AJ23" cm="1">
        <f t="array" ref="AJ23">INDEX(Drivers!$C$7:$AG$25,$G23,AJ$9)</f>
        <v>36.463025316726075</v>
      </c>
      <c r="AK23" cm="1">
        <f t="array" ref="AK23">INDEX(Drivers!$C$7:$AG$25,$G23,AK$9)</f>
        <v>37.461710254376506</v>
      </c>
      <c r="AL23" cm="1">
        <f t="array" ref="AL23">INDEX(Drivers!$C$7:$AG$25,$G23,AL$9)</f>
        <v>38.520743519400135</v>
      </c>
      <c r="AM23" cm="1">
        <f t="array" ref="AM23">INDEX(Drivers!$C$7:$AG$25,$G23,AM$9)</f>
        <v>39.623450377042417</v>
      </c>
      <c r="AN23" cm="1">
        <f t="array" ref="AN23">INDEX(Drivers!$C$7:$AG$25,$G23,AN$9)</f>
        <v>45.517020146833453</v>
      </c>
      <c r="AO23" cm="1">
        <f t="array" ref="AO23">INDEX(Drivers!$C$7:$AG$25,$G23,AO$9)</f>
        <v>52.486716791100115</v>
      </c>
      <c r="AP23" cm="1">
        <f t="array" ref="AP23">INDEX(Drivers!$C$7:$AK$25,$G23,AP$9)</f>
        <v>60.482079681035167</v>
      </c>
      <c r="AQ23" cm="1">
        <f t="array" ref="AQ23">INDEX(Drivers!$C$7:$AK$25,$G23,AQ$9)</f>
        <v>67.726661792340323</v>
      </c>
    </row>
    <row r="24" spans="1:43" ht="15">
      <c r="A24" t="s">
        <v>16</v>
      </c>
      <c r="B24" s="9" t="str">
        <f>B23</f>
        <v>PP</v>
      </c>
      <c r="C24" s="9" t="str">
        <f>C23</f>
        <v>Pulp &amp; Paper Products</v>
      </c>
      <c r="D24">
        <f>D23</f>
        <v>0</v>
      </c>
      <c r="F24" s="9" t="s">
        <v>285</v>
      </c>
      <c r="G24">
        <f>MATCH(B24,Drivers!$A$7:$A$25,0)</f>
        <v>16</v>
      </c>
      <c r="I24" s="9"/>
      <c r="J24" s="9"/>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24.030000000000001</v>
      </c>
      <c r="S24" cm="1">
        <f t="array" ref="S24">INDEX(Drivers!$C$7:$AG$25,$G24,S$9)</f>
        <v>22.949999999999999</v>
      </c>
      <c r="T24" cm="1">
        <f t="array" ref="T24">INDEX(Drivers!$C$7:$AG$25,$G24,T$9)</f>
        <v>23.5915589387069</v>
      </c>
      <c r="U24" cm="1">
        <f t="array" ref="U24">INDEX(Drivers!$C$7:$AG$25,$G24,U$9)</f>
        <v>25.612761924026326</v>
      </c>
      <c r="V24" cm="1">
        <f t="array" ref="V24">INDEX(Drivers!$C$7:$AG$25,$G24,V$9)</f>
        <v>25.70533277196116</v>
      </c>
      <c r="W24" cm="1">
        <f t="array" ref="W24">INDEX(Drivers!$C$7:$AG$25,$G24,W$9)</f>
        <v>26.103978707586045</v>
      </c>
      <c r="X24" cm="1">
        <f t="array" ref="X24">INDEX(Drivers!$C$7:$AG$25,$G24,X$9)</f>
        <v>26.391240957355965</v>
      </c>
      <c r="Y24" cm="1">
        <f t="array" ref="Y24">INDEX(Drivers!$C$7:$AG$25,$G24,Y$9)</f>
        <v>26.731597555505349</v>
      </c>
      <c r="Z24" cm="1">
        <f t="array" ref="Z24">INDEX(Drivers!$C$7:$AG$25,$G24,Z$9)</f>
        <v>27.17398473350066</v>
      </c>
      <c r="AA24" cm="1">
        <f t="array" ref="AA24">INDEX(Drivers!$C$7:$AG$25,$G24,AA$9)</f>
        <v>27.726666965592173</v>
      </c>
      <c r="AB24" cm="1">
        <f t="array" ref="AB24">INDEX(Drivers!$C$7:$AG$25,$G24,AB$9)</f>
        <v>28.352110697382354</v>
      </c>
      <c r="AC24" cm="1">
        <f t="array" ref="AC24">INDEX(Drivers!$C$7:$AG$25,$G24,AC$9)</f>
        <v>29.212851977364505</v>
      </c>
      <c r="AD24" cm="1">
        <f t="array" ref="AD24">INDEX(Drivers!$C$7:$AG$25,$G24,AD$9)</f>
        <v>30.172817767999469</v>
      </c>
      <c r="AE24" cm="1">
        <f t="array" ref="AE24">INDEX(Drivers!$C$7:$AG$25,$G24,AE$9)</f>
        <v>31.158188208433973</v>
      </c>
      <c r="AF24" cm="1">
        <f t="array" ref="AF24">INDEX(Drivers!$C$7:$AG$25,$G24,AF$9)</f>
        <v>32.177851452341578</v>
      </c>
      <c r="AG24" cm="1">
        <f t="array" ref="AG24">INDEX(Drivers!$C$7:$AG$25,$G24,AG$9)</f>
        <v>33.256437740018221</v>
      </c>
      <c r="AH24" cm="1">
        <f t="array" ref="AH24">INDEX(Drivers!$C$7:$AG$25,$G24,AH$9)</f>
        <v>34.598567866684739</v>
      </c>
      <c r="AI24" cm="1">
        <f t="array" ref="AI24">INDEX(Drivers!$C$7:$AG$25,$G24,AI$9)</f>
        <v>35.515379671705396</v>
      </c>
      <c r="AJ24" cm="1">
        <f t="array" ref="AJ24">INDEX(Drivers!$C$7:$AG$25,$G24,AJ$9)</f>
        <v>36.463025316726075</v>
      </c>
      <c r="AK24" cm="1">
        <f t="array" ref="AK24">INDEX(Drivers!$C$7:$AG$25,$G24,AK$9)</f>
        <v>37.461710254376506</v>
      </c>
      <c r="AL24" cm="1">
        <f t="array" ref="AL24">INDEX(Drivers!$C$7:$AG$25,$G24,AL$9)</f>
        <v>38.520743519400135</v>
      </c>
      <c r="AM24" cm="1">
        <f t="array" ref="AM24">INDEX(Drivers!$C$7:$AG$25,$G24,AM$9)</f>
        <v>39.623450377042417</v>
      </c>
      <c r="AN24" cm="1">
        <f t="array" ref="AN24">INDEX(Drivers!$C$7:$AG$25,$G24,AN$9)</f>
        <v>45.517020146833453</v>
      </c>
      <c r="AO24" cm="1">
        <f t="array" ref="AO24">INDEX(Drivers!$C$7:$AG$25,$G24,AO$9)</f>
        <v>52.486716791100115</v>
      </c>
      <c r="AP24" cm="1">
        <f t="array" ref="AP24">INDEX(Drivers!$C$7:$AK$25,$G24,AP$9)</f>
        <v>60.482079681035167</v>
      </c>
      <c r="AQ24" cm="1">
        <f t="array" ref="AQ24">INDEX(Drivers!$C$7:$AK$25,$G24,AQ$9)</f>
        <v>67.726661792340323</v>
      </c>
    </row>
    <row r="25" spans="1:43" ht="15">
      <c r="A25" t="s">
        <v>16</v>
      </c>
      <c r="B25" s="9" t="str">
        <f>[4]IND!B19</f>
        <v>OT</v>
      </c>
      <c r="C25" s="9" t="str">
        <f>[4]IND!A19</f>
        <v>Other</v>
      </c>
      <c r="D25">
        <f>[4]IND!M19</f>
        <v>1</v>
      </c>
      <c r="F25" s="9"/>
      <c r="G25">
        <f>MATCH(B25,Drivers!$A$7:$A$25,0)</f>
        <v>14</v>
      </c>
      <c r="I25" s="9"/>
      <c r="J25" s="9"/>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359.7662392014679</v>
      </c>
      <c r="U25" cm="1">
        <f t="array" ref="U25">INDEX(Drivers!$C$7:$AG$25,$G25,U$9)</f>
        <v>374.06086746347455</v>
      </c>
      <c r="V25" cm="1">
        <f t="array" ref="V25">INDEX(Drivers!$C$7:$AG$25,$G25,V$9)</f>
        <v>374.07169260935177</v>
      </c>
      <c r="W25" cm="1">
        <f t="array" ref="W25">INDEX(Drivers!$C$7:$AG$25,$G25,W$9)</f>
        <v>376.24597582684999</v>
      </c>
      <c r="X25" cm="1">
        <f t="array" ref="X25">INDEX(Drivers!$C$7:$AG$25,$G25,X$9)</f>
        <v>389.40543560858305</v>
      </c>
      <c r="Y25" cm="1">
        <f t="array" ref="Y25">INDEX(Drivers!$C$7:$AG$25,$G25,Y$9)</f>
        <v>409.17491382258032</v>
      </c>
      <c r="Z25" cm="1">
        <f t="array" ref="Z25">INDEX(Drivers!$C$7:$AG$25,$G25,Z$9)</f>
        <v>413.67560081017666</v>
      </c>
      <c r="AA25" cm="1">
        <f t="array" ref="AA25">INDEX(Drivers!$C$7:$AG$25,$G25,AA$9)</f>
        <v>420.21310664677139</v>
      </c>
      <c r="AB25" cm="1">
        <f t="array" ref="AB25">INDEX(Drivers!$C$7:$AG$25,$G25,AB$9)</f>
        <v>429.82038041939023</v>
      </c>
      <c r="AC25" cm="1">
        <f t="array" ref="AC25">INDEX(Drivers!$C$7:$AG$25,$G25,AC$9)</f>
        <v>444.74052044634698</v>
      </c>
      <c r="AD25" cm="1">
        <f t="array" ref="AD25">INDEX(Drivers!$C$7:$AG$25,$G25,AD$9)</f>
        <v>458.86160903753296</v>
      </c>
      <c r="AE25" cm="1">
        <f t="array" ref="AE25">INDEX(Drivers!$C$7:$AG$25,$G25,AE$9)</f>
        <v>473.36661884222309</v>
      </c>
      <c r="AF25" cm="1">
        <f t="array" ref="AF25">INDEX(Drivers!$C$7:$AG$25,$G25,AF$9)</f>
        <v>487.88079695825206</v>
      </c>
      <c r="AG25" cm="1">
        <f t="array" ref="AG25">INDEX(Drivers!$C$7:$AG$25,$G25,AG$9)</f>
        <v>503.7079604299563</v>
      </c>
      <c r="AH25" cm="1">
        <f t="array" ref="AH25">INDEX(Drivers!$C$7:$AG$25,$G25,AH$9)</f>
        <v>521.20053595036313</v>
      </c>
      <c r="AI25" cm="1">
        <f t="array" ref="AI25">INDEX(Drivers!$C$7:$AG$25,$G25,AI$9)</f>
        <v>537.07094124664638</v>
      </c>
      <c r="AJ25" cm="1">
        <f t="array" ref="AJ25">INDEX(Drivers!$C$7:$AG$25,$G25,AJ$9)</f>
        <v>553.51499300080866</v>
      </c>
      <c r="AK25" cm="1">
        <f t="array" ref="AK25">INDEX(Drivers!$C$7:$AG$25,$G25,AK$9)</f>
        <v>570.79254496785893</v>
      </c>
      <c r="AL25" cm="1">
        <f t="array" ref="AL25">INDEX(Drivers!$C$7:$AG$25,$G25,AL$9)</f>
        <v>587.64861353811045</v>
      </c>
      <c r="AM25" cm="1">
        <f t="array" ref="AM25">INDEX(Drivers!$C$7:$AG$25,$G25,AM$9)</f>
        <v>601.77716615335203</v>
      </c>
      <c r="AN25" cm="1">
        <f t="array" ref="AN25">INDEX(Drivers!$C$7:$AG$25,$G25,AN$9)</f>
        <v>687.53299205525877</v>
      </c>
      <c r="AO25" cm="1">
        <f t="array" ref="AO25">INDEX(Drivers!$C$7:$AG$25,$G25,AO$9)</f>
        <v>801.96960501412775</v>
      </c>
      <c r="AP25" cm="1">
        <f t="array" ref="AP25">INDEX(Drivers!$C$7:$AK$25,$G25,AP$9)</f>
        <v>956.51707622564606</v>
      </c>
      <c r="AQ25" cm="1">
        <f t="array" ref="AQ25">INDEX(Drivers!$C$7:$AK$25,$G25,AQ$9)</f>
        <v>1071.0893021829334</v>
      </c>
    </row>
    <row r="26" spans="1:2" ht="15">
      <c r="A26" t="s">
        <v>16</v>
      </c>
      <c r="B26" s="9"/>
    </row>
    <row r="27" spans="1:6" ht="15.75" thickBot="1">
      <c r="A27" t="s">
        <v>16</v>
      </c>
      <c r="B27" s="15" t="s">
        <v>275</v>
      </c>
      <c r="C27" s="15"/>
      <c r="D27" s="15"/>
      <c r="E27" s="15"/>
      <c r="F27" s="15"/>
    </row>
    <row r="28" spans="1:5" ht="15">
      <c r="A28" t="s">
        <v>16</v>
      </c>
      <c r="B28" t="s">
        <v>9</v>
      </c>
      <c r="C28" t="s">
        <v>10</v>
      </c>
      <c r="D28" t="s">
        <v>265</v>
      </c>
      <c r="E28" t="s">
        <v>264</v>
      </c>
    </row>
    <row r="29" spans="1:43" ht="15">
      <c r="A29" s="48" t="str">
        <f t="shared" si="24" ref="A29:A34">IF(D10,"*","")</f>
        <v>*</v>
      </c>
      <c r="B29" s="20" t="s">
        <v>272</v>
      </c>
      <c r="C29" s="21" t="s">
        <v>125</v>
      </c>
      <c r="D29" s="48">
        <f>F10</f>
        <v>0</v>
      </c>
      <c r="E29" s="21" t="s">
        <v>125</v>
      </c>
      <c r="F29" s="21" t="s">
        <v>125</v>
      </c>
      <c r="G29" s="21" t="s">
        <v>125</v>
      </c>
      <c r="H29" s="21"/>
      <c r="I29" s="21" t="s">
        <v>125</v>
      </c>
      <c r="J29" s="20">
        <v>0</v>
      </c>
      <c r="K29" s="97">
        <v>0</v>
      </c>
      <c r="L29">
        <f t="shared" si="25" ref="L29:AQ29">K29*L10/K10</f>
        <v>0</v>
      </c>
      <c r="M29">
        <f t="shared" si="25"/>
        <v>0</v>
      </c>
      <c r="N29">
        <f t="shared" si="25"/>
        <v>0</v>
      </c>
      <c r="O29">
        <f t="shared" si="25"/>
        <v>0</v>
      </c>
      <c r="P29">
        <f t="shared" si="25"/>
        <v>0</v>
      </c>
      <c r="Q29">
        <f t="shared" si="25"/>
        <v>0</v>
      </c>
      <c r="R29">
        <f t="shared" si="25"/>
        <v>0</v>
      </c>
      <c r="S29">
        <f t="shared" si="25"/>
        <v>0</v>
      </c>
      <c r="T29">
        <f t="shared" si="25"/>
        <v>0</v>
      </c>
      <c r="U29">
        <f t="shared" si="25"/>
        <v>0</v>
      </c>
      <c r="V29">
        <f t="shared" si="25"/>
        <v>0</v>
      </c>
      <c r="W29">
        <f t="shared" si="25"/>
        <v>0</v>
      </c>
      <c r="X29">
        <f t="shared" si="25"/>
        <v>0</v>
      </c>
      <c r="Y29">
        <f t="shared" si="25"/>
        <v>0</v>
      </c>
      <c r="Z29">
        <f t="shared" si="25"/>
        <v>0</v>
      </c>
      <c r="AA29">
        <f t="shared" si="25"/>
        <v>0</v>
      </c>
      <c r="AB29">
        <f t="shared" si="25"/>
        <v>0</v>
      </c>
      <c r="AC29">
        <f t="shared" si="25"/>
        <v>0</v>
      </c>
      <c r="AD29">
        <f t="shared" si="25"/>
        <v>0</v>
      </c>
      <c r="AE29">
        <f t="shared" si="25"/>
        <v>0</v>
      </c>
      <c r="AF29">
        <f t="shared" si="25"/>
        <v>0</v>
      </c>
      <c r="AG29">
        <f t="shared" si="25"/>
        <v>0</v>
      </c>
      <c r="AH29">
        <f t="shared" si="25"/>
        <v>0</v>
      </c>
      <c r="AI29">
        <f t="shared" si="25"/>
        <v>0</v>
      </c>
      <c r="AJ29">
        <f t="shared" si="25"/>
        <v>0</v>
      </c>
      <c r="AK29">
        <f t="shared" si="25"/>
        <v>0</v>
      </c>
      <c r="AL29">
        <f t="shared" si="25"/>
        <v>0</v>
      </c>
      <c r="AM29">
        <f t="shared" si="25"/>
        <v>0</v>
      </c>
      <c r="AN29">
        <f t="shared" si="25"/>
        <v>0</v>
      </c>
      <c r="AO29">
        <f t="shared" si="25"/>
        <v>0</v>
      </c>
      <c r="AP29">
        <f t="shared" si="25"/>
        <v>0</v>
      </c>
      <c r="AQ29">
        <f t="shared" si="25"/>
        <v>0</v>
      </c>
    </row>
    <row r="30" spans="1:43" ht="15">
      <c r="A30" s="48" t="str">
        <f t="shared" si="24"/>
        <v/>
      </c>
      <c r="B30" s="20" t="s">
        <v>272</v>
      </c>
      <c r="C30" s="21" t="s">
        <v>125</v>
      </c>
      <c r="D30" s="48" t="s">
        <v>691</v>
      </c>
      <c r="E30" s="21" t="s">
        <v>125</v>
      </c>
      <c r="F30" s="21" t="s">
        <v>125</v>
      </c>
      <c r="G30" s="21" t="s">
        <v>125</v>
      </c>
      <c r="H30" s="21"/>
      <c r="I30" s="21" t="s">
        <v>125</v>
      </c>
      <c r="J30" s="20">
        <v>0</v>
      </c>
      <c r="K30" s="125">
        <f>[5]CommData_BASE!E8</f>
        <v>28</v>
      </c>
      <c r="L30" s="125">
        <f>[5]CommData_BASE!F8</f>
        <v>28</v>
      </c>
      <c r="M30" s="125">
        <f>[5]CommData_BASE!G8</f>
        <v>29</v>
      </c>
      <c r="N30" s="125">
        <f>[5]CommData_BASE!H8</f>
        <v>32</v>
      </c>
      <c r="O30" s="125">
        <f>[5]CommData_BASE!I8</f>
        <v>31</v>
      </c>
      <c r="P30" s="125">
        <f>[5]CommData_BASE!J8</f>
        <v>31</v>
      </c>
      <c r="Q30" s="125">
        <f>[5]CommData_BASE!K8</f>
        <v>30.822038664165198</v>
      </c>
      <c r="R30" s="125">
        <f>[5]CommData_BASE!L8</f>
        <v>30.425949170614501</v>
      </c>
      <c r="S30">
        <f t="shared" si="26" ref="S30:AQ30">R30*S11/R11</f>
        <v>23.066289237134917</v>
      </c>
      <c r="T30">
        <f t="shared" si="27" ref="T30:AD30">S30*(T11*T48)/(S11*S48)</f>
        <v>38.103924581750761</v>
      </c>
      <c r="U30">
        <f t="shared" si="27"/>
        <v>29.343918134257699</v>
      </c>
      <c r="V30">
        <f t="shared" si="27"/>
        <v>31.094021686430043</v>
      </c>
      <c r="W30">
        <f t="shared" si="27"/>
        <v>31.667485306841986</v>
      </c>
      <c r="X30">
        <f t="shared" si="27"/>
        <v>32.02659042078281</v>
      </c>
      <c r="Y30">
        <f t="shared" si="27"/>
        <v>32.904983816514765</v>
      </c>
      <c r="Z30">
        <f t="shared" si="27"/>
        <v>34.273761423368647</v>
      </c>
      <c r="AA30">
        <f t="shared" si="27"/>
        <v>35.607468396165402</v>
      </c>
      <c r="AB30">
        <f t="shared" si="27"/>
        <v>37.27532524324716</v>
      </c>
      <c r="AC30">
        <f t="shared" si="27"/>
        <v>38.924192084258266</v>
      </c>
      <c r="AD30">
        <f t="shared" si="27"/>
        <v>40.720449954919118</v>
      </c>
      <c r="AE30">
        <f t="shared" si="26"/>
        <v>42.566587508897427</v>
      </c>
      <c r="AF30">
        <f t="shared" si="26"/>
        <v>44.508902441396181</v>
      </c>
      <c r="AG30">
        <f t="shared" si="26"/>
        <v>46.65796547379243</v>
      </c>
      <c r="AH30">
        <f t="shared" si="26"/>
        <v>49.772278060249882</v>
      </c>
      <c r="AI30">
        <f t="shared" si="26"/>
        <v>52.203868168268698</v>
      </c>
      <c r="AJ30">
        <f t="shared" si="26"/>
        <v>54.569095363677313</v>
      </c>
      <c r="AK30">
        <f t="shared" si="26"/>
        <v>56.905884171622006</v>
      </c>
      <c r="AL30">
        <f t="shared" si="26"/>
        <v>59.184194996861613</v>
      </c>
      <c r="AM30">
        <f t="shared" si="26"/>
        <v>61.415098273882201</v>
      </c>
      <c r="AN30">
        <f t="shared" si="26"/>
        <v>71.243855294995228</v>
      </c>
      <c r="AO30">
        <f t="shared" si="26"/>
        <v>81.672110103513361</v>
      </c>
      <c r="AP30">
        <f t="shared" si="26"/>
        <v>101.82920563521931</v>
      </c>
      <c r="AQ30">
        <f t="shared" si="26"/>
        <v>122.08621746483338</v>
      </c>
    </row>
    <row r="31" spans="1:43" ht="15">
      <c r="A31" s="48" t="str">
        <f t="shared" si="24"/>
        <v/>
      </c>
      <c r="B31" s="20" t="s">
        <v>272</v>
      </c>
      <c r="C31" s="21" t="s">
        <v>125</v>
      </c>
      <c r="D31" s="48" t="str">
        <f t="shared" si="28" ref="D31:D44">F12</f>
        <v>IFACR</v>
      </c>
      <c r="E31" s="21" t="s">
        <v>125</v>
      </c>
      <c r="F31" s="21" t="s">
        <v>125</v>
      </c>
      <c r="G31" s="21" t="s">
        <v>125</v>
      </c>
      <c r="H31" s="21"/>
      <c r="I31" s="21" t="s">
        <v>125</v>
      </c>
      <c r="J31" s="20">
        <v>0</v>
      </c>
      <c r="K31" s="125">
        <f>[6]CommData_BASE!E8</f>
        <v>3.484</v>
      </c>
      <c r="L31" s="125">
        <f>[6]CommData_BASE!F8</f>
        <v>3.484</v>
      </c>
      <c r="M31" s="125">
        <f>[6]CommData_BASE!G8</f>
        <v>3.484</v>
      </c>
      <c r="N31" s="125">
        <f>[6]CommData_BASE!H8</f>
        <v>3.484</v>
      </c>
      <c r="O31" s="125">
        <f>[6]CommData_BASE!I8</f>
        <v>3.484</v>
      </c>
      <c r="P31" s="125">
        <f>[6]CommData_BASE!J8</f>
        <v>3.484</v>
      </c>
      <c r="Q31">
        <f t="shared" si="29" ref="Q31:S32">P31*Q12/P12</f>
        <v>3.4912421940520733</v>
      </c>
      <c r="R31">
        <f t="shared" si="29"/>
        <v>3.4188882732612411</v>
      </c>
      <c r="S31">
        <f t="shared" si="29"/>
        <v>3.0190002546077959</v>
      </c>
      <c r="T31">
        <f t="shared" si="30" ref="T31:AD31">S31*(T12*T49)/(S12*S49)</f>
        <v>3.2922273361973229</v>
      </c>
      <c r="U31">
        <f t="shared" si="30"/>
        <v>3.4912872693784704</v>
      </c>
      <c r="V31">
        <f t="shared" si="30"/>
        <v>3.3692303999151214</v>
      </c>
      <c r="W31">
        <f t="shared" si="30"/>
        <v>3.3122627361484405</v>
      </c>
      <c r="X31">
        <f t="shared" si="30"/>
        <v>3.2552950723817595</v>
      </c>
      <c r="Y31">
        <f t="shared" si="30"/>
        <v>3.2552950723817604</v>
      </c>
      <c r="Z31">
        <f t="shared" si="30"/>
        <v>3.2552950723817604</v>
      </c>
      <c r="AA31">
        <f t="shared" si="30"/>
        <v>3.2552950723817604</v>
      </c>
      <c r="AB31">
        <f t="shared" si="30"/>
        <v>3.2552950723817604</v>
      </c>
      <c r="AC31">
        <f t="shared" si="30"/>
        <v>3.2552950723817604</v>
      </c>
      <c r="AD31">
        <f t="shared" si="30"/>
        <v>3.3654270158541792</v>
      </c>
      <c r="AE31">
        <f t="shared" si="31" ref="AE31:AQ31">AD31*(AE12*AE49)/(AD12*AD49)</f>
        <v>3.4756342398247195</v>
      </c>
      <c r="AF31">
        <f t="shared" si="31"/>
        <v>3.591339315815727</v>
      </c>
      <c r="AG31">
        <f t="shared" si="31"/>
        <v>3.6769063835597038</v>
      </c>
      <c r="AH31">
        <f t="shared" si="31"/>
        <v>3.83647682412616</v>
      </c>
      <c r="AI31">
        <f t="shared" si="31"/>
        <v>3.942177692533094</v>
      </c>
      <c r="AJ31">
        <f t="shared" si="31"/>
        <v>4.0629002344773832</v>
      </c>
      <c r="AK31">
        <f t="shared" si="31"/>
        <v>4.1878466426415679</v>
      </c>
      <c r="AL31">
        <f t="shared" si="31"/>
        <v>4.3369731118502743</v>
      </c>
      <c r="AM31">
        <f t="shared" si="31"/>
        <v>4.4889629385245797</v>
      </c>
      <c r="AN31">
        <f t="shared" si="31"/>
        <v>5.1890253671256987</v>
      </c>
      <c r="AO31">
        <f t="shared" si="31"/>
        <v>5.8303329339628895</v>
      </c>
      <c r="AP31">
        <f t="shared" si="31"/>
        <v>6.6838515574770705</v>
      </c>
      <c r="AQ31">
        <f t="shared" si="31"/>
        <v>7.0652575911217808</v>
      </c>
    </row>
    <row r="32" spans="1:43" ht="15">
      <c r="A32" s="48" t="str">
        <f t="shared" si="24"/>
        <v/>
      </c>
      <c r="B32" s="20" t="s">
        <v>272</v>
      </c>
      <c r="C32" s="21" t="s">
        <v>125</v>
      </c>
      <c r="D32" s="48" t="str">
        <f t="shared" si="28"/>
        <v>IFAMN</v>
      </c>
      <c r="E32" s="21" t="s">
        <v>125</v>
      </c>
      <c r="F32" s="21" t="s">
        <v>125</v>
      </c>
      <c r="G32" s="21" t="s">
        <v>125</v>
      </c>
      <c r="H32" s="21"/>
      <c r="I32" s="21" t="s">
        <v>125</v>
      </c>
      <c r="J32" s="20">
        <v>0</v>
      </c>
      <c r="K32" s="125">
        <f>[7]CommData_BASE!$E$8</f>
        <v>0.4587</v>
      </c>
      <c r="L32" s="125">
        <f>K32</f>
        <v>0.4587</v>
      </c>
      <c r="M32" s="125">
        <f t="shared" si="32" ref="M32:O32">L32</f>
        <v>0.4587</v>
      </c>
      <c r="N32" s="125">
        <f t="shared" si="32"/>
        <v>0.4587</v>
      </c>
      <c r="O32" s="125">
        <f t="shared" si="32"/>
        <v>0.4587</v>
      </c>
      <c r="P32" s="125">
        <f>[7]CommData_BASE!$F$8</f>
        <v>0.4587</v>
      </c>
      <c r="Q32">
        <f t="shared" si="29"/>
        <v>0.45965350011816469</v>
      </c>
      <c r="R32">
        <f t="shared" si="29"/>
        <v>0.45012745434699519</v>
      </c>
      <c r="S32">
        <f t="shared" si="29"/>
        <v>0.39747859264885071</v>
      </c>
      <c r="T32">
        <f>S32*(T13*T51)/(S13*S51)</f>
        <v>0.40509476676119183</v>
      </c>
      <c r="U32">
        <f t="shared" si="33" ref="U32:AD32">T32*(U13*U49)/(T13*T49)</f>
        <v>0.42958825672068418</v>
      </c>
      <c r="V32">
        <f t="shared" si="33"/>
        <v>0.41456967081587004</v>
      </c>
      <c r="W32">
        <f t="shared" si="33"/>
        <v>0.40756003870062585</v>
      </c>
      <c r="X32">
        <f t="shared" si="33"/>
        <v>0.40055040658538166</v>
      </c>
      <c r="Y32">
        <f t="shared" si="33"/>
        <v>0.40055040658538177</v>
      </c>
      <c r="Z32">
        <f t="shared" si="33"/>
        <v>0.40055040658538177</v>
      </c>
      <c r="AA32">
        <f t="shared" si="33"/>
        <v>0.40055040658538177</v>
      </c>
      <c r="AB32">
        <f t="shared" si="33"/>
        <v>0.40055040658538177</v>
      </c>
      <c r="AC32">
        <f t="shared" si="33"/>
        <v>0.40055040658538177</v>
      </c>
      <c r="AD32">
        <f t="shared" si="33"/>
        <v>0.41410168035782041</v>
      </c>
      <c r="AE32">
        <f t="shared" si="34" ref="AE32:AQ32">AD32*(AE13*AE51)/(AD13*AD51)</f>
        <v>0.4276622170798412</v>
      </c>
      <c r="AF32">
        <f t="shared" si="34"/>
        <v>0.44189924143606379</v>
      </c>
      <c r="AG32">
        <f t="shared" si="34"/>
        <v>0.45242791027040452</v>
      </c>
      <c r="AH32">
        <f t="shared" si="34"/>
        <v>0.47206238377487175</v>
      </c>
      <c r="AI32">
        <f t="shared" si="34"/>
        <v>0.48506843234356517</v>
      </c>
      <c r="AJ32">
        <f t="shared" si="34"/>
        <v>0.49992283484306771</v>
      </c>
      <c r="AK32">
        <f t="shared" si="34"/>
        <v>0.51529696636685907</v>
      </c>
      <c r="AL32">
        <f t="shared" si="34"/>
        <v>0.53364635299572949</v>
      </c>
      <c r="AM32">
        <f t="shared" si="34"/>
        <v>0.55234806375238044</v>
      </c>
      <c r="AN32">
        <f t="shared" si="34"/>
        <v>0.63848780966676966</v>
      </c>
      <c r="AO32">
        <f t="shared" si="34"/>
        <v>0.71739801624751232</v>
      </c>
      <c r="AP32">
        <f t="shared" si="34"/>
        <v>0.82241990338066961</v>
      </c>
      <c r="AQ32">
        <f t="shared" si="34"/>
        <v>0.86935031627830262</v>
      </c>
    </row>
    <row r="33" spans="1:43" ht="15">
      <c r="A33" s="48" t="str">
        <f t="shared" si="24"/>
        <v/>
      </c>
      <c r="B33" s="20" t="s">
        <v>272</v>
      </c>
      <c r="C33" s="21" t="s">
        <v>125</v>
      </c>
      <c r="D33" s="48" t="str">
        <f t="shared" si="28"/>
        <v>IISCRS</v>
      </c>
      <c r="E33" s="21" t="s">
        <v>125</v>
      </c>
      <c r="F33" s="21" t="s">
        <v>125</v>
      </c>
      <c r="G33" s="21" t="s">
        <v>125</v>
      </c>
      <c r="H33" s="21"/>
      <c r="I33" s="21" t="s">
        <v>125</v>
      </c>
      <c r="J33" s="20">
        <v>0</v>
      </c>
      <c r="K33" s="124">
        <f>'[8]I&amp;S SATIM input'!D18</f>
        <v>6.9400000000000004</v>
      </c>
      <c r="L33" s="124">
        <f>'[8]I&amp;S SATIM input'!E18</f>
        <v>7.0999999999999996</v>
      </c>
      <c r="M33" s="124">
        <f>'[8]I&amp;S SATIM input'!F18</f>
        <v>6.5</v>
      </c>
      <c r="N33" s="124">
        <f>'[8]I&amp;S SATIM input'!G18</f>
        <v>6.4000000000000004</v>
      </c>
      <c r="O33" s="124">
        <f>'[8]I&amp;S SATIM input'!H18</f>
        <v>6.0910000000000002</v>
      </c>
      <c r="P33" s="124">
        <f>'[8]I&amp;S SATIM input'!I18</f>
        <v>6.2300000000000004</v>
      </c>
      <c r="Q33" s="124">
        <f>'[8]I&amp;S SATIM input'!J18</f>
        <v>6.2999999999999998</v>
      </c>
      <c r="R33" s="124">
        <f>'[8]I&amp;S SATIM input'!K18</f>
        <v>6.1267974837582697</v>
      </c>
      <c r="S33" s="124">
        <f>'[8]I&amp;S SATIM input'!L18</f>
        <v>5.0030232389252003</v>
      </c>
      <c r="T33">
        <f t="shared" si="35" ref="T33:AQ33">S33*T14/S14</f>
        <v>5.0988872597314874</v>
      </c>
      <c r="U33">
        <f t="shared" si="35"/>
        <v>5.4970900431497149</v>
      </c>
      <c r="V33">
        <f t="shared" si="35"/>
        <v>5.3946060030393816</v>
      </c>
      <c r="W33">
        <f t="shared" si="35"/>
        <v>5.4180936240286091</v>
      </c>
      <c r="X33">
        <f t="shared" si="35"/>
        <v>5.5796190429647998</v>
      </c>
      <c r="Y33">
        <f t="shared" si="35"/>
        <v>5.8386168013018338</v>
      </c>
      <c r="Z33">
        <f t="shared" si="35"/>
        <v>5.9073032457184631</v>
      </c>
      <c r="AA33">
        <f t="shared" si="35"/>
        <v>5.9767251224803548</v>
      </c>
      <c r="AB33">
        <f t="shared" si="35"/>
        <v>6.1361811379826436</v>
      </c>
      <c r="AC33">
        <f t="shared" si="35"/>
        <v>6.3099094864287313</v>
      </c>
      <c r="AD33">
        <f t="shared" si="35"/>
        <v>6.5233840192817558</v>
      </c>
      <c r="AE33">
        <f t="shared" si="35"/>
        <v>6.7370044722798603</v>
      </c>
      <c r="AF33">
        <f t="shared" si="35"/>
        <v>6.9612817007307486</v>
      </c>
      <c r="AG33">
        <f t="shared" si="35"/>
        <v>7.1271408442118869</v>
      </c>
      <c r="AH33">
        <f t="shared" si="35"/>
        <v>7.4364446137000408</v>
      </c>
      <c r="AI33">
        <f t="shared" si="35"/>
        <v>7.6413301609253148</v>
      </c>
      <c r="AJ33">
        <f t="shared" si="35"/>
        <v>7.8753330072733494</v>
      </c>
      <c r="AK33">
        <f t="shared" si="35"/>
        <v>8.1175231954560587</v>
      </c>
      <c r="AL33">
        <f t="shared" si="35"/>
        <v>8.4065828664889413</v>
      </c>
      <c r="AM33">
        <f t="shared" si="35"/>
        <v>8.7011927337508883</v>
      </c>
      <c r="AN33">
        <f t="shared" si="35"/>
        <v>10.058160523491242</v>
      </c>
      <c r="AO33">
        <f t="shared" si="35"/>
        <v>11.301240677433723</v>
      </c>
      <c r="AP33">
        <f t="shared" si="35"/>
        <v>12.95566067304269</v>
      </c>
      <c r="AQ33">
        <f t="shared" si="35"/>
        <v>13.6949600288197</v>
      </c>
    </row>
    <row r="34" spans="1:43" ht="15">
      <c r="A34" s="48" t="str">
        <f t="shared" si="24"/>
        <v>*</v>
      </c>
      <c r="B34" s="20" t="s">
        <v>272</v>
      </c>
      <c r="C34" s="21" t="s">
        <v>125</v>
      </c>
      <c r="D34" s="48">
        <f t="shared" si="28"/>
        <v>0</v>
      </c>
      <c r="E34" s="21" t="s">
        <v>125</v>
      </c>
      <c r="F34" s="21" t="s">
        <v>125</v>
      </c>
      <c r="G34" s="21" t="s">
        <v>125</v>
      </c>
      <c r="H34" s="21"/>
      <c r="I34" s="21" t="s">
        <v>125</v>
      </c>
      <c r="J34" s="20">
        <v>0</v>
      </c>
      <c r="K34" s="97">
        <v>0</v>
      </c>
      <c r="L34">
        <f t="shared" si="36" ref="L34:S34">K34*L15/K15</f>
        <v>0</v>
      </c>
      <c r="M34">
        <f t="shared" si="36"/>
        <v>0</v>
      </c>
      <c r="N34">
        <f t="shared" si="36"/>
        <v>0</v>
      </c>
      <c r="O34">
        <f t="shared" si="36"/>
        <v>0</v>
      </c>
      <c r="P34">
        <f t="shared" si="36"/>
        <v>0</v>
      </c>
      <c r="Q34">
        <f t="shared" si="36"/>
        <v>0</v>
      </c>
      <c r="R34">
        <f t="shared" si="36"/>
        <v>0</v>
      </c>
      <c r="S34">
        <f t="shared" si="36"/>
        <v>0</v>
      </c>
      <c r="T34">
        <f t="shared" si="37" ref="T34:AQ34">S34*T15/S15</f>
        <v>0</v>
      </c>
      <c r="U34">
        <f t="shared" si="37"/>
        <v>0</v>
      </c>
      <c r="V34">
        <f t="shared" si="37"/>
        <v>0</v>
      </c>
      <c r="W34">
        <f t="shared" si="37"/>
        <v>0</v>
      </c>
      <c r="X34">
        <f t="shared" si="37"/>
        <v>0</v>
      </c>
      <c r="Y34">
        <f t="shared" si="37"/>
        <v>0</v>
      </c>
      <c r="Z34">
        <f t="shared" si="37"/>
        <v>0</v>
      </c>
      <c r="AA34">
        <f t="shared" si="37"/>
        <v>0</v>
      </c>
      <c r="AB34">
        <f t="shared" si="37"/>
        <v>0</v>
      </c>
      <c r="AC34">
        <f t="shared" si="37"/>
        <v>0</v>
      </c>
      <c r="AD34">
        <f t="shared" si="37"/>
        <v>0</v>
      </c>
      <c r="AE34">
        <f t="shared" si="37"/>
        <v>0</v>
      </c>
      <c r="AF34">
        <f t="shared" si="37"/>
        <v>0</v>
      </c>
      <c r="AG34">
        <f t="shared" si="37"/>
        <v>0</v>
      </c>
      <c r="AH34">
        <f t="shared" si="37"/>
        <v>0</v>
      </c>
      <c r="AI34">
        <f t="shared" si="37"/>
        <v>0</v>
      </c>
      <c r="AJ34">
        <f t="shared" si="37"/>
        <v>0</v>
      </c>
      <c r="AK34">
        <f t="shared" si="37"/>
        <v>0</v>
      </c>
      <c r="AL34">
        <f t="shared" si="37"/>
        <v>0</v>
      </c>
      <c r="AM34">
        <f t="shared" si="37"/>
        <v>0</v>
      </c>
      <c r="AN34">
        <f t="shared" si="37"/>
        <v>0</v>
      </c>
      <c r="AO34">
        <f t="shared" si="37"/>
        <v>0</v>
      </c>
      <c r="AP34">
        <f t="shared" si="37"/>
        <v>0</v>
      </c>
      <c r="AQ34">
        <f t="shared" si="37"/>
        <v>0</v>
      </c>
    </row>
    <row r="35" spans="1:43" ht="15">
      <c r="A35" s="48" t="str">
        <f t="shared" si="38" ref="A35:A36">IF(D16,"*","")</f>
        <v/>
      </c>
      <c r="B35" s="20" t="s">
        <v>272</v>
      </c>
      <c r="C35" s="21" t="s">
        <v>125</v>
      </c>
      <c r="D35" s="48" t="str">
        <f t="shared" si="28"/>
        <v>ICPNH3</v>
      </c>
      <c r="E35" s="21" t="s">
        <v>125</v>
      </c>
      <c r="F35" s="21" t="s">
        <v>125</v>
      </c>
      <c r="G35" s="21" t="s">
        <v>125</v>
      </c>
      <c r="H35" s="21"/>
      <c r="I35" s="21" t="s">
        <v>125</v>
      </c>
      <c r="J35" s="20">
        <v>0</v>
      </c>
      <c r="K35" s="97">
        <f>[9]CommData_BASE!$E$8</f>
        <v>8.4021746293245503</v>
      </c>
      <c r="L35" s="97">
        <f>[9]CommData_BASE!$E$8</f>
        <v>8.4021746293245503</v>
      </c>
      <c r="M35" s="97">
        <f>[9]CommData_BASE!$E$8</f>
        <v>8.4021746293245503</v>
      </c>
      <c r="N35" s="97">
        <f>[9]CommData_BASE!$E$8</f>
        <v>8.4021746293245503</v>
      </c>
      <c r="O35" s="97">
        <f>[9]CommData_BASE!$E$8</f>
        <v>8.4021746293245503</v>
      </c>
      <c r="P35" s="97">
        <f>[9]CommData_BASE!$E$8</f>
        <v>8.4021746293245503</v>
      </c>
      <c r="Q35">
        <f>P35*Q16/P16</f>
        <v>8.441093148891408</v>
      </c>
      <c r="R35">
        <f t="shared" si="39" ref="R35:AQ35">Q35*R16/Q16</f>
        <v>8.3458050196862974</v>
      </c>
      <c r="S35">
        <f t="shared" si="39"/>
        <v>7.9479928968368894</v>
      </c>
      <c r="T35">
        <f t="shared" si="39"/>
        <v>8.0130727602523475</v>
      </c>
      <c r="U35">
        <f t="shared" si="39"/>
        <v>8.1194004244240787</v>
      </c>
      <c r="V35">
        <f t="shared" si="39"/>
        <v>8.2092289682932975</v>
      </c>
      <c r="W35">
        <f t="shared" si="39"/>
        <v>8.3018073655462707</v>
      </c>
      <c r="X35">
        <f t="shared" si="39"/>
        <v>8.3934691450046603</v>
      </c>
      <c r="Y35">
        <f t="shared" si="39"/>
        <v>8.471381657544292</v>
      </c>
      <c r="Z35">
        <f t="shared" si="39"/>
        <v>8.5621268192080962</v>
      </c>
      <c r="AA35">
        <f t="shared" si="39"/>
        <v>8.585042264072694</v>
      </c>
      <c r="AB35">
        <f t="shared" si="39"/>
        <v>8.6317897715964733</v>
      </c>
      <c r="AC35">
        <f t="shared" si="39"/>
        <v>8.7170352264927757</v>
      </c>
      <c r="AD35">
        <f t="shared" si="39"/>
        <v>7.6500921135971298</v>
      </c>
      <c r="AE35">
        <f t="shared" si="39"/>
        <v>7.0634567250634417</v>
      </c>
      <c r="AF35">
        <f t="shared" si="39"/>
        <v>7.0497074581446828</v>
      </c>
      <c r="AG35">
        <f t="shared" si="39"/>
        <v>7.1771173315918437</v>
      </c>
      <c r="AH35">
        <f t="shared" si="39"/>
        <v>7.3347755922602733</v>
      </c>
      <c r="AI35">
        <f t="shared" si="39"/>
        <v>7.5089329732312118</v>
      </c>
      <c r="AJ35">
        <f t="shared" si="39"/>
        <v>7.6995894745046609</v>
      </c>
      <c r="AK35">
        <f t="shared" si="39"/>
        <v>7.8893293579835255</v>
      </c>
      <c r="AL35">
        <f t="shared" si="39"/>
        <v>8.0891520372028136</v>
      </c>
      <c r="AM35">
        <f t="shared" si="39"/>
        <v>8.2990575121625252</v>
      </c>
      <c r="AN35">
        <f t="shared" si="39"/>
        <v>9.8105602554313549</v>
      </c>
      <c r="AO35">
        <f t="shared" si="39"/>
        <v>15.101278165769559</v>
      </c>
      <c r="AP35">
        <f t="shared" si="39"/>
        <v>21.947621071808697</v>
      </c>
      <c r="AQ35">
        <f t="shared" si="39"/>
        <v>24.473330000422781</v>
      </c>
    </row>
    <row r="36" spans="1:43" ht="15">
      <c r="A36" s="48" t="str">
        <f t="shared" si="38"/>
        <v>*</v>
      </c>
      <c r="B36" s="20" t="s">
        <v>272</v>
      </c>
      <c r="C36" s="21" t="s">
        <v>125</v>
      </c>
      <c r="D36" s="48">
        <f t="shared" si="28"/>
        <v>0</v>
      </c>
      <c r="E36" s="21" t="s">
        <v>125</v>
      </c>
      <c r="F36" s="21" t="s">
        <v>125</v>
      </c>
      <c r="G36" s="21" t="s">
        <v>125</v>
      </c>
      <c r="H36" s="21"/>
      <c r="I36" s="21" t="s">
        <v>125</v>
      </c>
      <c r="J36" s="20">
        <v>0</v>
      </c>
      <c r="K36" s="124">
        <f>'[8]I&amp;S SATIM input'!D21</f>
        <v>0</v>
      </c>
      <c r="L36" s="124">
        <f>'[8]I&amp;S SATIM input'!E21</f>
        <v>0</v>
      </c>
      <c r="M36" s="124">
        <f>'[8]I&amp;S SATIM input'!F21</f>
        <v>0</v>
      </c>
      <c r="N36" s="124">
        <f>'[8]I&amp;S SATIM input'!G21</f>
        <v>0</v>
      </c>
      <c r="O36" s="124">
        <f>'[8]I&amp;S SATIM input'!H21</f>
        <v>0</v>
      </c>
      <c r="P36" s="124">
        <f>'[8]I&amp;S SATIM input'!I21</f>
        <v>0</v>
      </c>
      <c r="Q36" s="124">
        <f>'[8]I&amp;S SATIM input'!J21</f>
        <v>0</v>
      </c>
      <c r="R36" s="124">
        <f>'[8]I&amp;S SATIM input'!K21</f>
        <v>0</v>
      </c>
      <c r="S36" s="124">
        <f>'[8]I&amp;S SATIM input'!L21</f>
        <v>0</v>
      </c>
      <c r="T36">
        <f t="shared" si="40" ref="T36">S36*T17/S17</f>
        <v>0</v>
      </c>
      <c r="U36">
        <f t="shared" si="41" ref="U36">T36*U17/T17</f>
        <v>0</v>
      </c>
      <c r="V36">
        <f t="shared" si="42" ref="V36">U36*V17/U17</f>
        <v>0</v>
      </c>
      <c r="W36">
        <f t="shared" si="43" ref="W36">V36*W17/V17</f>
        <v>0</v>
      </c>
      <c r="X36">
        <f t="shared" si="44" ref="X36">W36*X17/W17</f>
        <v>0</v>
      </c>
      <c r="Y36">
        <f t="shared" si="45" ref="Y36">X36*Y17/X17</f>
        <v>0</v>
      </c>
      <c r="Z36">
        <f t="shared" si="46" ref="Z36">Y36*Z17/Y17</f>
        <v>0</v>
      </c>
      <c r="AA36">
        <f t="shared" si="47" ref="AA36">Z36*AA17/Z17</f>
        <v>0</v>
      </c>
      <c r="AB36">
        <f t="shared" si="48" ref="AB36">AA36*AB17/AA17</f>
        <v>0</v>
      </c>
      <c r="AC36">
        <f t="shared" si="49" ref="AC36">AB36*AC17/AB17</f>
        <v>0</v>
      </c>
      <c r="AD36">
        <f t="shared" si="50" ref="AD36">AC36*AD17/AC17</f>
        <v>0</v>
      </c>
      <c r="AE36">
        <f t="shared" si="51" ref="AE36">AD36*AE17/AD17</f>
        <v>0</v>
      </c>
      <c r="AF36">
        <f t="shared" si="52" ref="AF36">AE36*AF17/AE17</f>
        <v>0</v>
      </c>
      <c r="AG36">
        <f t="shared" si="53" ref="AG36">AF36*AG17/AF17</f>
        <v>0</v>
      </c>
      <c r="AH36">
        <f t="shared" si="54" ref="AH36">AG36*AH17/AG17</f>
        <v>0</v>
      </c>
      <c r="AI36">
        <f t="shared" si="55" ref="AI36">AH36*AI17/AH17</f>
        <v>0</v>
      </c>
      <c r="AJ36">
        <f t="shared" si="56" ref="AJ36">AI36*AJ17/AI17</f>
        <v>0</v>
      </c>
      <c r="AK36">
        <f t="shared" si="57" ref="AK36">AJ36*AK17/AJ17</f>
        <v>0</v>
      </c>
      <c r="AL36">
        <f t="shared" si="58" ref="AL36">AK36*AL17/AK17</f>
        <v>0</v>
      </c>
      <c r="AM36">
        <f t="shared" si="59" ref="AM36">AL36*AM17/AL17</f>
        <v>0</v>
      </c>
      <c r="AN36">
        <f t="shared" si="60" ref="AN36">AM36*AN17/AM17</f>
        <v>0</v>
      </c>
      <c r="AO36">
        <f t="shared" si="61" ref="AO36">AN36*AO17/AN17</f>
        <v>0</v>
      </c>
      <c r="AP36">
        <f t="shared" si="62" ref="AP36">AO36*AP17/AO17</f>
        <v>0</v>
      </c>
      <c r="AQ36">
        <f t="shared" si="63" ref="AQ36">AP36*AQ17/AP17</f>
        <v>0</v>
      </c>
    </row>
    <row r="37" spans="1:43" ht="15">
      <c r="A37" s="48" t="str">
        <f t="shared" si="64" ref="A37:A44">IF(D18,"*","")</f>
        <v/>
      </c>
      <c r="B37" s="20" t="s">
        <v>272</v>
      </c>
      <c r="C37" s="21" t="s">
        <v>125</v>
      </c>
      <c r="D37" s="48" t="str">
        <f t="shared" si="28"/>
        <v>INMCEM</v>
      </c>
      <c r="E37" s="21" t="s">
        <v>125</v>
      </c>
      <c r="F37" s="21" t="s">
        <v>125</v>
      </c>
      <c r="G37" s="21" t="s">
        <v>125</v>
      </c>
      <c r="H37" s="21"/>
      <c r="I37" s="21" t="s">
        <v>125</v>
      </c>
      <c r="J37" s="20">
        <v>0</v>
      </c>
      <c r="K37" s="97">
        <f>'[10]NMM-TSData'!J14</f>
        <v>14.27</v>
      </c>
      <c r="L37" s="97">
        <f>'[10]NMM-TSData'!K14</f>
        <v>14.368</v>
      </c>
      <c r="M37" s="97">
        <f>'[10]NMM-TSData'!L14</f>
        <v>14.465999999999999</v>
      </c>
      <c r="N37" s="97">
        <f>'[10]NMM-TSData'!M14</f>
        <v>14.564</v>
      </c>
      <c r="O37" s="97">
        <f>'[10]NMM-TSData'!N14</f>
        <v>14.662000000000001</v>
      </c>
      <c r="P37" s="97">
        <f>'[10]NMM-TSData'!O14</f>
        <v>14.7599608803003</v>
      </c>
      <c r="Q37">
        <f t="shared" si="65" ref="Q37:S44">P37*Q18/P18</f>
        <v>14.950029598277014</v>
      </c>
      <c r="R37">
        <f t="shared" si="65"/>
        <v>14.933982218184793</v>
      </c>
      <c r="S37">
        <f t="shared" si="65"/>
        <v>13.942901152088583</v>
      </c>
      <c r="T37">
        <f t="shared" si="66" ref="T37:AQ37">S37*T18/S18</f>
        <v>14.791623912994265</v>
      </c>
      <c r="U37">
        <f t="shared" si="66"/>
        <v>15.348234244408502</v>
      </c>
      <c r="V37">
        <f t="shared" si="66"/>
        <v>15.332024853981318</v>
      </c>
      <c r="W37">
        <f t="shared" si="66"/>
        <v>15.415833054065581</v>
      </c>
      <c r="X37">
        <f t="shared" si="66"/>
        <v>15.770255639497885</v>
      </c>
      <c r="Y37">
        <f t="shared" si="66"/>
        <v>16.377220628264492</v>
      </c>
      <c r="Z37">
        <f t="shared" si="66"/>
        <v>16.624268458099273</v>
      </c>
      <c r="AA37">
        <f t="shared" si="66"/>
        <v>16.919233311895251</v>
      </c>
      <c r="AB37">
        <f t="shared" si="66"/>
        <v>17.342629505253566</v>
      </c>
      <c r="AC37">
        <f t="shared" si="66"/>
        <v>17.910392288394419</v>
      </c>
      <c r="AD37">
        <f t="shared" si="66"/>
        <v>18.493736449318195</v>
      </c>
      <c r="AE37">
        <f t="shared" si="66"/>
        <v>19.089705320080355</v>
      </c>
      <c r="AF37">
        <f t="shared" si="66"/>
        <v>19.690843767099508</v>
      </c>
      <c r="AG37">
        <f t="shared" si="66"/>
        <v>20.3341091815292</v>
      </c>
      <c r="AH37">
        <f t="shared" si="66"/>
        <v>21.17143691772192</v>
      </c>
      <c r="AI37">
        <f t="shared" si="66"/>
        <v>21.849415744694095</v>
      </c>
      <c r="AJ37">
        <f t="shared" si="66"/>
        <v>22.531810900057845</v>
      </c>
      <c r="AK37">
        <f t="shared" si="66"/>
        <v>23.237521372760607</v>
      </c>
      <c r="AL37">
        <f t="shared" si="66"/>
        <v>23.956124893102032</v>
      </c>
      <c r="AM37">
        <f t="shared" si="66"/>
        <v>24.643607233380461</v>
      </c>
      <c r="AN37">
        <f t="shared" si="66"/>
        <v>28.375476715819609</v>
      </c>
      <c r="AO37">
        <f t="shared" si="66"/>
        <v>28.30350181252205</v>
      </c>
      <c r="AP37">
        <f t="shared" si="66"/>
        <v>33.529198500235779</v>
      </c>
      <c r="AQ37">
        <f t="shared" si="66"/>
        <v>37.545347299057156</v>
      </c>
    </row>
    <row r="38" spans="1:43" ht="15">
      <c r="A38" s="48" t="str">
        <f t="shared" si="64"/>
        <v/>
      </c>
      <c r="B38" s="20" t="s">
        <v>272</v>
      </c>
      <c r="C38" s="21" t="s">
        <v>125</v>
      </c>
      <c r="D38" s="48" t="str">
        <f t="shared" si="28"/>
        <v>INMLIM</v>
      </c>
      <c r="E38" s="21" t="s">
        <v>125</v>
      </c>
      <c r="F38" s="21" t="s">
        <v>125</v>
      </c>
      <c r="G38" s="21" t="s">
        <v>125</v>
      </c>
      <c r="H38" s="21"/>
      <c r="I38" s="21" t="s">
        <v>125</v>
      </c>
      <c r="J38" s="20">
        <v>0</v>
      </c>
      <c r="K38" s="124">
        <f>'[10]NMM-TSData'!J16</f>
        <v>1.2</v>
      </c>
      <c r="L38" s="124">
        <f>'[10]NMM-TSData'!K16</f>
        <v>1.17333333333333</v>
      </c>
      <c r="M38" s="124">
        <f>'[10]NMM-TSData'!L16</f>
        <v>1.1466666666666701</v>
      </c>
      <c r="N38" s="124">
        <f>'[10]NMM-TSData'!M16</f>
        <v>1.1200000000000001</v>
      </c>
      <c r="O38" s="124">
        <f>'[10]NMM-TSData'!N16</f>
        <v>1.1200000000000001</v>
      </c>
      <c r="P38" s="124">
        <f>'[10]NMM-TSData'!O16</f>
        <v>1.3591716472036699</v>
      </c>
      <c r="Q38">
        <f t="shared" si="65"/>
        <v>1.3766741334629049</v>
      </c>
      <c r="R38">
        <f t="shared" si="65"/>
        <v>1.3751964097609162</v>
      </c>
      <c r="S38">
        <f t="shared" si="65"/>
        <v>1.2839326661749679</v>
      </c>
      <c r="T38">
        <f t="shared" si="67" ref="T38:AQ38">S38*T19/S19</f>
        <v>1.3620873389626884</v>
      </c>
      <c r="U38">
        <f t="shared" si="67"/>
        <v>1.413342825825705</v>
      </c>
      <c r="V38">
        <f t="shared" si="67"/>
        <v>1.4118501833948915</v>
      </c>
      <c r="W38">
        <f t="shared" si="67"/>
        <v>1.4195676651877962</v>
      </c>
      <c r="X38">
        <f t="shared" si="67"/>
        <v>1.4522046845643954</v>
      </c>
      <c r="Y38">
        <f t="shared" si="67"/>
        <v>1.5080970822656614</v>
      </c>
      <c r="Z38">
        <f t="shared" si="67"/>
        <v>1.5308464925478245</v>
      </c>
      <c r="AA38">
        <f t="shared" si="67"/>
        <v>1.5580083440901376</v>
      </c>
      <c r="AB38">
        <f t="shared" si="67"/>
        <v>1.596996801187923</v>
      </c>
      <c r="AC38">
        <f t="shared" si="67"/>
        <v>1.6492792620589707</v>
      </c>
      <c r="AD38">
        <f t="shared" si="67"/>
        <v>1.7029965347888483</v>
      </c>
      <c r="AE38">
        <f t="shared" si="67"/>
        <v>1.7578763544797684</v>
      </c>
      <c r="AF38">
        <f t="shared" si="67"/>
        <v>1.8132322148278113</v>
      </c>
      <c r="AG38">
        <f t="shared" si="67"/>
        <v>1.8724673388237341</v>
      </c>
      <c r="AH38">
        <f t="shared" si="67"/>
        <v>1.9495727002593006</v>
      </c>
      <c r="AI38">
        <f t="shared" si="67"/>
        <v>2.0120044103768304</v>
      </c>
      <c r="AJ38">
        <f t="shared" si="67"/>
        <v>2.0748427982886475</v>
      </c>
      <c r="AK38">
        <f t="shared" si="67"/>
        <v>2.1398281782236639</v>
      </c>
      <c r="AL38">
        <f t="shared" si="67"/>
        <v>2.2060008150178705</v>
      </c>
      <c r="AM38">
        <f t="shared" si="67"/>
        <v>2.269307656576427</v>
      </c>
      <c r="AN38">
        <f t="shared" si="67"/>
        <v>2.6129570220951197</v>
      </c>
      <c r="AO38">
        <f t="shared" si="67"/>
        <v>2.6063292099575666</v>
      </c>
      <c r="AP38">
        <f t="shared" si="67"/>
        <v>3.0875377194127847</v>
      </c>
      <c r="AQ38">
        <f t="shared" si="67"/>
        <v>3.4573649582908073</v>
      </c>
    </row>
    <row r="39" spans="1:43" ht="15">
      <c r="A39" s="48" t="str">
        <f t="shared" si="64"/>
        <v/>
      </c>
      <c r="B39" s="20" t="s">
        <v>272</v>
      </c>
      <c r="C39" s="21" t="s">
        <v>125</v>
      </c>
      <c r="D39" s="48" t="str">
        <f t="shared" si="28"/>
        <v>INMGLA</v>
      </c>
      <c r="E39" s="21" t="s">
        <v>125</v>
      </c>
      <c r="F39" s="21" t="s">
        <v>125</v>
      </c>
      <c r="G39" s="21" t="s">
        <v>125</v>
      </c>
      <c r="H39" s="21"/>
      <c r="I39" s="21" t="s">
        <v>125</v>
      </c>
      <c r="J39" s="20">
        <v>0</v>
      </c>
      <c r="K39" s="97">
        <f>'[10]NMM-TSData'!J15</f>
        <v>1.27</v>
      </c>
      <c r="L39" s="97">
        <f>'[10]NMM-TSData'!K15</f>
        <v>1.2484871200000001</v>
      </c>
      <c r="M39" s="97">
        <f>'[10]NMM-TSData'!L15</f>
        <v>1.2269742400000001</v>
      </c>
      <c r="N39" s="97">
        <f>'[10]NMM-TSData'!M15</f>
        <v>1.2054613599999999</v>
      </c>
      <c r="O39" s="97">
        <f>'[10]NMM-TSData'!N15</f>
        <v>1.18394848</v>
      </c>
      <c r="P39" s="97">
        <f>'[10]NMM-TSData'!O15</f>
        <v>1.1624356</v>
      </c>
      <c r="Q39">
        <f t="shared" si="65"/>
        <v>1.1774046535099847</v>
      </c>
      <c r="R39">
        <f t="shared" si="65"/>
        <v>1.1761408259119843</v>
      </c>
      <c r="S39">
        <f t="shared" si="65"/>
        <v>1.098087237351745</v>
      </c>
      <c r="T39">
        <f t="shared" si="68" ref="T39:AQ39">S39*T20/S20</f>
        <v>1.1649292540622243</v>
      </c>
      <c r="U39">
        <f t="shared" si="68"/>
        <v>1.2087656618827403</v>
      </c>
      <c r="V39">
        <f t="shared" si="68"/>
        <v>1.2074890749974725</v>
      </c>
      <c r="W39">
        <f t="shared" si="68"/>
        <v>1.2140894742898511</v>
      </c>
      <c r="X39">
        <f t="shared" si="68"/>
        <v>1.2420023823315267</v>
      </c>
      <c r="Y39">
        <f t="shared" si="68"/>
        <v>1.2898045219589829</v>
      </c>
      <c r="Z39">
        <f t="shared" si="68"/>
        <v>1.3092610228692241</v>
      </c>
      <c r="AA39">
        <f t="shared" si="68"/>
        <v>1.3324912773110815</v>
      </c>
      <c r="AB39">
        <f t="shared" si="68"/>
        <v>1.3658362713835976</v>
      </c>
      <c r="AC39">
        <f t="shared" si="68"/>
        <v>1.410551001783654</v>
      </c>
      <c r="AD39">
        <f t="shared" si="68"/>
        <v>1.4564928593000224</v>
      </c>
      <c r="AE39">
        <f t="shared" si="68"/>
        <v>1.503428988567842</v>
      </c>
      <c r="AF39">
        <f t="shared" si="68"/>
        <v>1.5507722530257055</v>
      </c>
      <c r="AG39">
        <f t="shared" si="68"/>
        <v>1.6014332692740505</v>
      </c>
      <c r="AH39">
        <f t="shared" si="68"/>
        <v>1.6673778593248898</v>
      </c>
      <c r="AI39">
        <f t="shared" si="68"/>
        <v>1.7207727653757969</v>
      </c>
      <c r="AJ39">
        <f t="shared" si="68"/>
        <v>1.7745154838216886</v>
      </c>
      <c r="AK39">
        <f t="shared" si="68"/>
        <v>1.8300944235909267</v>
      </c>
      <c r="AL39">
        <f t="shared" si="68"/>
        <v>1.8866887683256126</v>
      </c>
      <c r="AM39">
        <f t="shared" si="68"/>
        <v>1.940832133148318</v>
      </c>
      <c r="AN39">
        <f t="shared" si="68"/>
        <v>2.2347392766781304</v>
      </c>
      <c r="AO39">
        <f t="shared" si="68"/>
        <v>2.2290708206044219</v>
      </c>
      <c r="AP39">
        <f t="shared" si="68"/>
        <v>2.6406258317500155</v>
      </c>
      <c r="AQ39">
        <f t="shared" si="68"/>
        <v>2.9569216794495938</v>
      </c>
    </row>
    <row r="40" spans="1:43" ht="15">
      <c r="A40" s="48" t="str">
        <f t="shared" si="64"/>
        <v/>
      </c>
      <c r="B40" s="20" t="s">
        <v>272</v>
      </c>
      <c r="C40" s="21" t="s">
        <v>125</v>
      </c>
      <c r="D40" s="48" t="str">
        <f t="shared" si="28"/>
        <v>INMBRI</v>
      </c>
      <c r="E40" s="21" t="s">
        <v>125</v>
      </c>
      <c r="F40" s="21" t="s">
        <v>125</v>
      </c>
      <c r="G40" s="21" t="s">
        <v>125</v>
      </c>
      <c r="H40" s="21"/>
      <c r="I40" s="21" t="s">
        <v>125</v>
      </c>
      <c r="J40" s="20">
        <v>0</v>
      </c>
      <c r="K40" s="125">
        <f>'[10]NMM-TSData'!J13</f>
        <v>3.2959999999999998</v>
      </c>
      <c r="L40" s="125">
        <f>'[10]NMM-TSData'!K13</f>
        <v>4.5590000000000002</v>
      </c>
      <c r="M40" s="125">
        <f>'[10]NMM-TSData'!L13</f>
        <v>5.8220999999999998</v>
      </c>
      <c r="N40" s="125">
        <f>'[10]NMM-TSData'!M13</f>
        <v>7.0850999999999997</v>
      </c>
      <c r="O40" s="125">
        <f>'[10]NMM-TSData'!N13</f>
        <v>8.3482000000000003</v>
      </c>
      <c r="P40" s="125">
        <f>'[10]NMM-TSData'!O13</f>
        <v>9.6111784369999995</v>
      </c>
      <c r="Q40">
        <f t="shared" si="65"/>
        <v>9.734944643332172</v>
      </c>
      <c r="R40">
        <f t="shared" si="65"/>
        <v>9.724495141821734</v>
      </c>
      <c r="S40">
        <f t="shared" si="65"/>
        <v>9.0791372679742341</v>
      </c>
      <c r="T40">
        <f t="shared" si="69" ref="T40:AQ40">S40*T21/S21</f>
        <v>9.63179631394061</v>
      </c>
      <c r="U40">
        <f t="shared" si="69"/>
        <v>9.9942418013294017</v>
      </c>
      <c r="V40">
        <f t="shared" si="69"/>
        <v>9.9836868042657851</v>
      </c>
      <c r="W40">
        <f t="shared" si="69"/>
        <v>10.038259819196247</v>
      </c>
      <c r="X40">
        <f t="shared" si="69"/>
        <v>10.269047606394192</v>
      </c>
      <c r="Y40">
        <f t="shared" si="69"/>
        <v>10.664282313271606</v>
      </c>
      <c r="Z40">
        <f t="shared" si="69"/>
        <v>10.825151355830164</v>
      </c>
      <c r="AA40">
        <f t="shared" si="69"/>
        <v>11.017222314924675</v>
      </c>
      <c r="AB40">
        <f t="shared" si="69"/>
        <v>11.292923341296941</v>
      </c>
      <c r="AC40">
        <f t="shared" si="69"/>
        <v>11.662630921344636</v>
      </c>
      <c r="AD40">
        <f t="shared" si="69"/>
        <v>12.042484558240345</v>
      </c>
      <c r="AE40">
        <f t="shared" si="69"/>
        <v>12.43055897159719</v>
      </c>
      <c r="AF40">
        <f t="shared" si="69"/>
        <v>12.821999635058123</v>
      </c>
      <c r="AG40">
        <f t="shared" si="69"/>
        <v>13.240871929542738</v>
      </c>
      <c r="AH40">
        <f t="shared" si="69"/>
        <v>13.786110927671693</v>
      </c>
      <c r="AI40">
        <f t="shared" si="69"/>
        <v>14.227587401449785</v>
      </c>
      <c r="AJ40">
        <f t="shared" si="69"/>
        <v>14.671939636251366</v>
      </c>
      <c r="AK40">
        <f t="shared" si="69"/>
        <v>15.131474003111279</v>
      </c>
      <c r="AL40">
        <f t="shared" si="69"/>
        <v>15.599403878770765</v>
      </c>
      <c r="AM40">
        <f t="shared" si="69"/>
        <v>16.047068713270509</v>
      </c>
      <c r="AN40">
        <f t="shared" si="69"/>
        <v>18.477133656544787</v>
      </c>
      <c r="AO40">
        <f t="shared" si="69"/>
        <v>18.430266077139347</v>
      </c>
      <c r="AP40">
        <f t="shared" si="69"/>
        <v>21.833059873855333</v>
      </c>
      <c r="AQ40">
        <f t="shared" si="69"/>
        <v>24.448237722092969</v>
      </c>
    </row>
    <row r="41" spans="1:43" ht="15">
      <c r="A41" s="48" t="str">
        <f t="shared" si="64"/>
        <v>*</v>
      </c>
      <c r="B41" s="20" t="s">
        <v>272</v>
      </c>
      <c r="C41" s="21" t="s">
        <v>125</v>
      </c>
      <c r="D41" s="48">
        <f t="shared" si="28"/>
        <v>0</v>
      </c>
      <c r="E41" s="21" t="s">
        <v>125</v>
      </c>
      <c r="F41" s="21" t="s">
        <v>125</v>
      </c>
      <c r="G41" s="21" t="s">
        <v>125</v>
      </c>
      <c r="H41" s="21"/>
      <c r="I41" s="21" t="s">
        <v>125</v>
      </c>
      <c r="J41" s="20">
        <v>0</v>
      </c>
      <c r="K41" s="97">
        <v>0</v>
      </c>
      <c r="L41">
        <f>K41*L22/K22</f>
        <v>0</v>
      </c>
      <c r="M41">
        <f>L41*M22/L22</f>
        <v>0</v>
      </c>
      <c r="N41">
        <f>M41*N22/M22</f>
        <v>0</v>
      </c>
      <c r="O41">
        <f>N41*O22/N22</f>
        <v>0</v>
      </c>
      <c r="P41">
        <f>O41*P22/O22</f>
        <v>0</v>
      </c>
      <c r="Q41">
        <f t="shared" si="65"/>
        <v>0</v>
      </c>
      <c r="R41">
        <f t="shared" si="65"/>
        <v>0</v>
      </c>
      <c r="S41">
        <f t="shared" si="65"/>
        <v>0</v>
      </c>
      <c r="T41">
        <f t="shared" si="70" ref="T41:AQ41">S41*T22/S22</f>
        <v>0</v>
      </c>
      <c r="U41">
        <f t="shared" si="70"/>
        <v>0</v>
      </c>
      <c r="V41">
        <f t="shared" si="70"/>
        <v>0</v>
      </c>
      <c r="W41">
        <f t="shared" si="70"/>
        <v>0</v>
      </c>
      <c r="X41">
        <f t="shared" si="70"/>
        <v>0</v>
      </c>
      <c r="Y41">
        <f t="shared" si="70"/>
        <v>0</v>
      </c>
      <c r="Z41">
        <f t="shared" si="70"/>
        <v>0</v>
      </c>
      <c r="AA41">
        <f t="shared" si="70"/>
        <v>0</v>
      </c>
      <c r="AB41">
        <f t="shared" si="70"/>
        <v>0</v>
      </c>
      <c r="AC41">
        <f t="shared" si="70"/>
        <v>0</v>
      </c>
      <c r="AD41">
        <f t="shared" si="70"/>
        <v>0</v>
      </c>
      <c r="AE41">
        <f t="shared" si="70"/>
        <v>0</v>
      </c>
      <c r="AF41">
        <f t="shared" si="70"/>
        <v>0</v>
      </c>
      <c r="AG41">
        <f t="shared" si="70"/>
        <v>0</v>
      </c>
      <c r="AH41">
        <f t="shared" si="70"/>
        <v>0</v>
      </c>
      <c r="AI41">
        <f t="shared" si="70"/>
        <v>0</v>
      </c>
      <c r="AJ41">
        <f t="shared" si="70"/>
        <v>0</v>
      </c>
      <c r="AK41">
        <f t="shared" si="70"/>
        <v>0</v>
      </c>
      <c r="AL41">
        <f t="shared" si="70"/>
        <v>0</v>
      </c>
      <c r="AM41">
        <f t="shared" si="70"/>
        <v>0</v>
      </c>
      <c r="AN41">
        <f t="shared" si="70"/>
        <v>0</v>
      </c>
      <c r="AO41">
        <f t="shared" si="70"/>
        <v>0</v>
      </c>
      <c r="AP41">
        <f t="shared" si="70"/>
        <v>0</v>
      </c>
      <c r="AQ41">
        <f t="shared" si="70"/>
        <v>0</v>
      </c>
    </row>
    <row r="42" spans="1:43" ht="15">
      <c r="A42" s="48" t="str">
        <f t="shared" si="64"/>
        <v/>
      </c>
      <c r="B42" s="20" t="s">
        <v>272</v>
      </c>
      <c r="C42" s="21" t="s">
        <v>125</v>
      </c>
      <c r="D42" s="48" t="str">
        <f t="shared" si="28"/>
        <v>IPPPAP</v>
      </c>
      <c r="E42" s="21" t="s">
        <v>125</v>
      </c>
      <c r="F42" s="21" t="s">
        <v>125</v>
      </c>
      <c r="G42" s="21" t="s">
        <v>125</v>
      </c>
      <c r="H42" s="21"/>
      <c r="I42" s="21" t="s">
        <v>125</v>
      </c>
      <c r="J42" s="20">
        <v>0</v>
      </c>
      <c r="K42" s="124">
        <f>[11]CommData_BASE!$E$9</f>
        <v>2.1800600000000001</v>
      </c>
      <c r="L42" s="124">
        <f>[11]CommData_BASE!$E$9</f>
        <v>2.1800600000000001</v>
      </c>
      <c r="M42" s="124">
        <f>[11]CommData_BASE!$E$9</f>
        <v>2.1800600000000001</v>
      </c>
      <c r="N42" s="124">
        <f>[11]CommData_BASE!$E$9</f>
        <v>2.1800600000000001</v>
      </c>
      <c r="O42" s="124">
        <f>[11]CommData_BASE!$E$9</f>
        <v>2.1800600000000001</v>
      </c>
      <c r="P42" s="124">
        <f>[11]CommData_BASE!$E$9</f>
        <v>2.1800600000000001</v>
      </c>
      <c r="Q42">
        <f t="shared" si="65"/>
        <v>2.2166294765726118</v>
      </c>
      <c r="R42">
        <f t="shared" si="65"/>
        <v>2.2151621827595136</v>
      </c>
      <c r="S42">
        <f t="shared" si="65"/>
        <v>2.1156043318489735</v>
      </c>
      <c r="T42">
        <f t="shared" si="71" ref="T42:AQ42">S42*T23/S23</f>
        <v>2.1747452847842568</v>
      </c>
      <c r="U42">
        <f t="shared" si="71"/>
        <v>2.3610662342957105</v>
      </c>
      <c r="V42">
        <f t="shared" si="71"/>
        <v>2.3695997108488203</v>
      </c>
      <c r="W42">
        <f t="shared" si="71"/>
        <v>2.4063481669831117</v>
      </c>
      <c r="X42">
        <f t="shared" si="71"/>
        <v>2.4328289190523895</v>
      </c>
      <c r="Y42">
        <f t="shared" si="71"/>
        <v>2.464204077806996</v>
      </c>
      <c r="Z42">
        <f t="shared" si="71"/>
        <v>2.50498474142884</v>
      </c>
      <c r="AA42">
        <f t="shared" si="71"/>
        <v>2.5559327555616838</v>
      </c>
      <c r="AB42">
        <f t="shared" si="71"/>
        <v>2.6135881572306636</v>
      </c>
      <c r="AC42">
        <f t="shared" si="71"/>
        <v>2.6929340387353027</v>
      </c>
      <c r="AD42">
        <f t="shared" si="71"/>
        <v>2.7814267526827603</v>
      </c>
      <c r="AE42">
        <f t="shared" si="71"/>
        <v>2.8722613484239008</v>
      </c>
      <c r="AF42">
        <f t="shared" si="71"/>
        <v>2.966257164364559</v>
      </c>
      <c r="AG42">
        <f t="shared" si="71"/>
        <v>3.0656846947559147</v>
      </c>
      <c r="AH42">
        <f t="shared" si="71"/>
        <v>3.1894065383237011</v>
      </c>
      <c r="AI42">
        <f t="shared" si="71"/>
        <v>3.2739211799878394</v>
      </c>
      <c r="AJ42">
        <f t="shared" si="71"/>
        <v>3.3612781835461645</v>
      </c>
      <c r="AK42">
        <f t="shared" si="71"/>
        <v>3.4533401521843157</v>
      </c>
      <c r="AL42">
        <f t="shared" si="71"/>
        <v>3.5509652224699866</v>
      </c>
      <c r="AM42">
        <f t="shared" si="71"/>
        <v>3.6526162640729312</v>
      </c>
      <c r="AN42">
        <f t="shared" si="71"/>
        <v>4.195904357102302</v>
      </c>
      <c r="AO42">
        <f t="shared" si="71"/>
        <v>4.8383932639556262</v>
      </c>
      <c r="AP42">
        <f t="shared" si="71"/>
        <v>5.5754313626332346</v>
      </c>
      <c r="AQ42">
        <f t="shared" si="71"/>
        <v>6.2432600901762747</v>
      </c>
    </row>
    <row r="43" spans="1:43" ht="15">
      <c r="A43" s="48" t="str">
        <f t="shared" si="64"/>
        <v/>
      </c>
      <c r="B43" s="20" t="s">
        <v>272</v>
      </c>
      <c r="C43" s="21" t="s">
        <v>125</v>
      </c>
      <c r="D43" s="48" t="str">
        <f t="shared" si="28"/>
        <v>IPPPULPD</v>
      </c>
      <c r="E43" s="21" t="s">
        <v>125</v>
      </c>
      <c r="F43" s="21" t="s">
        <v>125</v>
      </c>
      <c r="G43" s="21" t="s">
        <v>125</v>
      </c>
      <c r="H43" s="21"/>
      <c r="I43" s="21" t="s">
        <v>125</v>
      </c>
      <c r="J43" s="20">
        <v>0</v>
      </c>
      <c r="K43" s="124">
        <f>[11]CommData_BASE!$E$8</f>
        <v>0.65910719806663898</v>
      </c>
      <c r="L43" s="124">
        <f>[11]CommData_BASE!$E$8</f>
        <v>0.65910719806663898</v>
      </c>
      <c r="M43" s="124">
        <f>[11]CommData_BASE!$E$8</f>
        <v>0.65910719806663898</v>
      </c>
      <c r="N43" s="124">
        <f>[11]CommData_BASE!$E$8</f>
        <v>0.65910719806663898</v>
      </c>
      <c r="O43" s="124">
        <f>[11]CommData_BASE!$E$8</f>
        <v>0.65910719806663898</v>
      </c>
      <c r="P43" s="124">
        <f>[11]CommData_BASE!$E$8</f>
        <v>0.65910719806663898</v>
      </c>
      <c r="Q43">
        <f t="shared" si="65"/>
        <v>0.67016340993169665</v>
      </c>
      <c r="R43">
        <f t="shared" si="65"/>
        <v>0.66971979649266666</v>
      </c>
      <c r="S43">
        <f t="shared" si="65"/>
        <v>0.63962003035816473</v>
      </c>
      <c r="T43">
        <f t="shared" si="72" ref="T43:AQ43">S43*T24/S24</f>
        <v>0.65750037666980998</v>
      </c>
      <c r="U43">
        <f t="shared" si="72"/>
        <v>0.71383161478876533</v>
      </c>
      <c r="V43">
        <f t="shared" si="72"/>
        <v>0.71641157856072002</v>
      </c>
      <c r="W43">
        <f t="shared" si="72"/>
        <v>0.72752190210958922</v>
      </c>
      <c r="X43">
        <f t="shared" si="72"/>
        <v>0.73552794519972386</v>
      </c>
      <c r="Y43">
        <f t="shared" si="72"/>
        <v>0.74501373594660458</v>
      </c>
      <c r="Z43">
        <f t="shared" si="72"/>
        <v>0.75734313464897596</v>
      </c>
      <c r="AA43">
        <f t="shared" si="72"/>
        <v>0.77274647347550274</v>
      </c>
      <c r="AB43">
        <f t="shared" si="72"/>
        <v>0.79017768649140507</v>
      </c>
      <c r="AC43">
        <f t="shared" si="72"/>
        <v>0.8141666783708259</v>
      </c>
      <c r="AD43">
        <f t="shared" si="72"/>
        <v>0.84092107262567284</v>
      </c>
      <c r="AE43">
        <f t="shared" si="72"/>
        <v>0.86838349837838547</v>
      </c>
      <c r="AF43">
        <f t="shared" si="72"/>
        <v>0.89680166983909515</v>
      </c>
      <c r="AG43">
        <f t="shared" si="72"/>
        <v>0.92686203559367619</v>
      </c>
      <c r="AH43">
        <f t="shared" si="72"/>
        <v>0.9642674086813906</v>
      </c>
      <c r="AI43">
        <f t="shared" si="72"/>
        <v>0.98981909471886509</v>
      </c>
      <c r="AJ43">
        <f t="shared" si="72"/>
        <v>1.0162301246202554</v>
      </c>
      <c r="AK43">
        <f t="shared" si="72"/>
        <v>1.0440636274585215</v>
      </c>
      <c r="AL43">
        <f t="shared" si="72"/>
        <v>1.0735790474639559</v>
      </c>
      <c r="AM43">
        <f t="shared" si="72"/>
        <v>1.1043116572139042</v>
      </c>
      <c r="AN43">
        <f t="shared" si="72"/>
        <v>1.2685663532954599</v>
      </c>
      <c r="AO43">
        <f t="shared" si="72"/>
        <v>1.4628128709073569</v>
      </c>
      <c r="AP43">
        <f t="shared" si="72"/>
        <v>1.685644864562468</v>
      </c>
      <c r="AQ43">
        <f t="shared" si="72"/>
        <v>1.8875524824258763</v>
      </c>
    </row>
    <row r="44" spans="1:43" ht="15">
      <c r="A44" s="48" t="str">
        <f t="shared" si="64"/>
        <v>*</v>
      </c>
      <c r="B44" s="20" t="s">
        <v>272</v>
      </c>
      <c r="C44" s="21" t="s">
        <v>125</v>
      </c>
      <c r="D44" s="48">
        <f t="shared" si="28"/>
        <v>0</v>
      </c>
      <c r="E44" s="21" t="s">
        <v>125</v>
      </c>
      <c r="F44" s="21" t="s">
        <v>125</v>
      </c>
      <c r="G44" s="21" t="s">
        <v>125</v>
      </c>
      <c r="H44" s="21"/>
      <c r="I44" s="21" t="s">
        <v>125</v>
      </c>
      <c r="J44" s="20">
        <v>0</v>
      </c>
      <c r="K44" s="97">
        <v>0</v>
      </c>
      <c r="L44">
        <f>K44*L25/K25</f>
        <v>0</v>
      </c>
      <c r="M44">
        <f>L44*M25/L25</f>
        <v>0</v>
      </c>
      <c r="N44">
        <f>M44*N25/M25</f>
        <v>0</v>
      </c>
      <c r="O44">
        <f>N44*O25/N25</f>
        <v>0</v>
      </c>
      <c r="P44">
        <f>O44*P25/O25</f>
        <v>0</v>
      </c>
      <c r="Q44">
        <f t="shared" si="65"/>
        <v>0</v>
      </c>
      <c r="R44">
        <f t="shared" si="65"/>
        <v>0</v>
      </c>
      <c r="S44">
        <f t="shared" si="65"/>
        <v>0</v>
      </c>
      <c r="T44">
        <f t="shared" si="73" ref="T44:AQ44">S44*T25/S25</f>
        <v>0</v>
      </c>
      <c r="U44">
        <f t="shared" si="73"/>
        <v>0</v>
      </c>
      <c r="V44">
        <f t="shared" si="73"/>
        <v>0</v>
      </c>
      <c r="W44">
        <f t="shared" si="73"/>
        <v>0</v>
      </c>
      <c r="X44">
        <f t="shared" si="73"/>
        <v>0</v>
      </c>
      <c r="Y44">
        <f t="shared" si="73"/>
        <v>0</v>
      </c>
      <c r="Z44">
        <f t="shared" si="73"/>
        <v>0</v>
      </c>
      <c r="AA44">
        <f t="shared" si="73"/>
        <v>0</v>
      </c>
      <c r="AB44">
        <f t="shared" si="73"/>
        <v>0</v>
      </c>
      <c r="AC44">
        <f t="shared" si="73"/>
        <v>0</v>
      </c>
      <c r="AD44">
        <f t="shared" si="73"/>
        <v>0</v>
      </c>
      <c r="AE44">
        <f t="shared" si="73"/>
        <v>0</v>
      </c>
      <c r="AF44">
        <f t="shared" si="73"/>
        <v>0</v>
      </c>
      <c r="AG44">
        <f t="shared" si="73"/>
        <v>0</v>
      </c>
      <c r="AH44">
        <f t="shared" si="73"/>
        <v>0</v>
      </c>
      <c r="AI44">
        <f t="shared" si="73"/>
        <v>0</v>
      </c>
      <c r="AJ44">
        <f t="shared" si="73"/>
        <v>0</v>
      </c>
      <c r="AK44">
        <f t="shared" si="73"/>
        <v>0</v>
      </c>
      <c r="AL44">
        <f t="shared" si="73"/>
        <v>0</v>
      </c>
      <c r="AM44">
        <f t="shared" si="73"/>
        <v>0</v>
      </c>
      <c r="AN44">
        <f t="shared" si="73"/>
        <v>0</v>
      </c>
      <c r="AO44">
        <f t="shared" si="73"/>
        <v>0</v>
      </c>
      <c r="AP44">
        <f t="shared" si="73"/>
        <v>0</v>
      </c>
      <c r="AQ44">
        <f t="shared" si="73"/>
        <v>0</v>
      </c>
    </row>
    <row r="45" spans="1:25" ht="15">
      <c r="A45" t="s">
        <v>16</v>
      </c>
      <c r="B45" s="9"/>
      <c r="T45" s="183" t="s">
        <v>641</v>
      </c>
      <c r="Y45" s="25">
        <v>2025</v>
      </c>
    </row>
    <row r="46" spans="1:20" ht="15.75" thickBot="1">
      <c r="A46" t="s">
        <v>16</v>
      </c>
      <c r="B46" s="15" t="s">
        <v>274</v>
      </c>
      <c r="C46" s="15"/>
      <c r="D46">
        <v>2010</v>
      </c>
      <c r="E46">
        <v>2020</v>
      </c>
      <c r="F46">
        <v>2030</v>
      </c>
      <c r="G46">
        <v>2050</v>
      </c>
      <c r="H46">
        <v>2070</v>
      </c>
      <c r="T46" s="183" t="s">
        <v>640</v>
      </c>
    </row>
    <row r="47" spans="1:43" ht="15">
      <c r="A47" t="s">
        <v>16</v>
      </c>
      <c r="B47" s="9" t="str">
        <f t="shared" si="74" ref="B47:C53">B10</f>
        <v>MI</v>
      </c>
      <c r="C47" s="9" t="str">
        <f t="shared" si="74"/>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3">
        <v>1.0900000000000001</v>
      </c>
      <c r="U47" s="273">
        <f t="shared" si="75" ref="U47:AB47">IF(U$63=1,($AC47-$T47)/$AD$63+T47,$AC47)</f>
        <v>1.0846132399175183</v>
      </c>
      <c r="V47" s="273">
        <f t="shared" si="75"/>
        <v>1.0792264798350366</v>
      </c>
      <c r="W47" s="273">
        <f t="shared" si="75"/>
        <v>1.0738397197525549</v>
      </c>
      <c r="X47" s="273">
        <f t="shared" si="75"/>
        <v>1.0684529596700731</v>
      </c>
      <c r="Y47" s="273">
        <f t="shared" si="75"/>
        <v>1.0684529596700734</v>
      </c>
      <c r="Z47" s="273">
        <f t="shared" si="75"/>
        <v>1.0684529596700734</v>
      </c>
      <c r="AA47" s="273">
        <f t="shared" si="75"/>
        <v>1.0684529596700734</v>
      </c>
      <c r="AB47" s="273">
        <f t="shared" si="75"/>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ht="15">
      <c r="A48" t="s">
        <v>16</v>
      </c>
      <c r="B48" s="9" t="str">
        <f t="shared" si="74"/>
        <v>PG</v>
      </c>
      <c r="C48" s="9" t="str">
        <f t="shared" si="74"/>
        <v>PGM</v>
      </c>
      <c r="D48">
        <v>1</v>
      </c>
      <c r="E48">
        <v>1</v>
      </c>
      <c r="F48">
        <v>1</v>
      </c>
      <c r="G48">
        <v>1</v>
      </c>
      <c r="H48">
        <f t="shared" si="76" ref="H48:H62">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3">
        <v>1.07</v>
      </c>
      <c r="U48" s="273">
        <f t="shared" si="77" ref="U48">IF(U$63=1,($AC48-$T48)/$AD$63+T48,$AC48)</f>
        <v>1.0525</v>
      </c>
      <c r="V48" s="273">
        <f t="shared" si="78" ref="V48:AB48">IF(V$63=1,($AC48-$T48)/$AD$63+U48,$AC48)</f>
        <v>1.0349999999999999</v>
      </c>
      <c r="W48" s="273">
        <f t="shared" si="78"/>
        <v>1.0174999999999998</v>
      </c>
      <c r="X48" s="273">
        <f t="shared" si="78"/>
        <v>0.99999999999999978</v>
      </c>
      <c r="Y48" s="273">
        <f t="shared" si="78"/>
        <v>1</v>
      </c>
      <c r="Z48" s="273">
        <f t="shared" si="78"/>
        <v>1</v>
      </c>
      <c r="AA48" s="273">
        <f t="shared" si="78"/>
        <v>1</v>
      </c>
      <c r="AB48" s="273">
        <f t="shared" si="78"/>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ht="15">
      <c r="A49" t="s">
        <v>16</v>
      </c>
      <c r="B49" s="9" t="str">
        <f t="shared" si="74"/>
        <v>FAC</v>
      </c>
      <c r="C49" s="9" t="str">
        <f t="shared" si="74"/>
        <v>FerroChrome</v>
      </c>
      <c r="D49">
        <v>1</v>
      </c>
      <c r="E49">
        <v>1</v>
      </c>
      <c r="F49">
        <v>1</v>
      </c>
      <c r="G49">
        <v>1</v>
      </c>
      <c r="H49">
        <f t="shared" si="76"/>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3">
        <v>1.07</v>
      </c>
      <c r="U49" s="273">
        <f t="shared" si="79" ref="U49:AB49">IF(U$63=1,($AC49-$T49)/$AD$63+T49,$AC49)</f>
        <v>1.0525</v>
      </c>
      <c r="V49" s="273">
        <f t="shared" si="79"/>
        <v>1.0349999999999999</v>
      </c>
      <c r="W49" s="273">
        <f t="shared" si="79"/>
        <v>1.0174999999999998</v>
      </c>
      <c r="X49" s="273">
        <f t="shared" si="79"/>
        <v>0.99999999999999978</v>
      </c>
      <c r="Y49" s="273">
        <f t="shared" si="79"/>
        <v>1</v>
      </c>
      <c r="Z49" s="273">
        <f t="shared" si="79"/>
        <v>1</v>
      </c>
      <c r="AA49" s="273">
        <f t="shared" si="79"/>
        <v>1</v>
      </c>
      <c r="AB49" s="273">
        <f t="shared" si="79"/>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ht="15">
      <c r="A50" t="s">
        <v>16</v>
      </c>
      <c r="B50" s="9" t="str">
        <f t="shared" si="74"/>
        <v>FAM</v>
      </c>
      <c r="C50" s="9" t="str">
        <f t="shared" si="74"/>
        <v>FerroManganese</v>
      </c>
      <c r="D50">
        <v>1</v>
      </c>
      <c r="E50">
        <v>1</v>
      </c>
      <c r="F50">
        <v>1</v>
      </c>
      <c r="G50">
        <v>1</v>
      </c>
      <c r="H50">
        <f t="shared" si="76"/>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3">
        <v>1.07</v>
      </c>
      <c r="U50" s="273">
        <f t="shared" si="80" ref="U50">IF(U$63=1,($AC50-$T50)/$AD$63+T50,$AC50)</f>
        <v>1.0525</v>
      </c>
      <c r="V50" s="273">
        <f t="shared" si="81" ref="V50">IF(V$63=1,($AC50-$T50)/$AD$63+U50,$AC50)</f>
        <v>1.0349999999999999</v>
      </c>
      <c r="W50" s="273">
        <f t="shared" si="82" ref="W50">IF(W$63=1,($AC50-$T50)/$AD$63+V50,$AC50)</f>
        <v>1.0174999999999998</v>
      </c>
      <c r="X50" s="273">
        <f t="shared" si="83" ref="X50">IF(X$63=1,($AC50-$T50)/$AD$63+W50,$AC50)</f>
        <v>0.99999999999999978</v>
      </c>
      <c r="Y50" s="273">
        <f t="shared" si="84" ref="Y50">IF(Y$63=1,($AC50-$T50)/$AD$63+X50,$AC50)</f>
        <v>1</v>
      </c>
      <c r="Z50" s="273">
        <f t="shared" si="85" ref="Z50">IF(Z$63=1,($AC50-$T50)/$AD$63+Y50,$AC50)</f>
        <v>1</v>
      </c>
      <c r="AA50" s="273">
        <f t="shared" si="86" ref="AA50">IF(AA$63=1,($AC50-$T50)/$AD$63+Z50,$AC50)</f>
        <v>1</v>
      </c>
      <c r="AB50" s="273">
        <f t="shared" si="87" ref="AB50">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ht="15">
      <c r="A51" t="s">
        <v>16</v>
      </c>
      <c r="B51" s="9" t="str">
        <f t="shared" si="74"/>
        <v>IS</v>
      </c>
      <c r="C51" s="9" t="str">
        <f t="shared" si="74"/>
        <v>Iron &amp; Steel</v>
      </c>
      <c r="D51">
        <v>1</v>
      </c>
      <c r="E51">
        <v>1</v>
      </c>
      <c r="F51">
        <v>1</v>
      </c>
      <c r="G51">
        <v>1</v>
      </c>
      <c r="H51">
        <f t="shared" si="76"/>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73">
        <f t="shared" si="88" ref="U51:AB51">IF(U$63=1,($AC51-$T51)/$AD$63+T51,$AC51)</f>
        <v>1</v>
      </c>
      <c r="V51" s="273">
        <f t="shared" si="88"/>
        <v>1</v>
      </c>
      <c r="W51" s="273">
        <f t="shared" si="88"/>
        <v>1</v>
      </c>
      <c r="X51" s="273">
        <f t="shared" si="88"/>
        <v>1</v>
      </c>
      <c r="Y51" s="273">
        <f t="shared" si="88"/>
        <v>1</v>
      </c>
      <c r="Z51" s="273">
        <f t="shared" si="88"/>
        <v>1</v>
      </c>
      <c r="AA51" s="273">
        <f t="shared" si="88"/>
        <v>1</v>
      </c>
      <c r="AB51" s="273">
        <f t="shared" si="88"/>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ht="15">
      <c r="A52" t="s">
        <v>16</v>
      </c>
      <c r="B52" s="9" t="str">
        <f t="shared" si="74"/>
        <v>CP</v>
      </c>
      <c r="C52" s="9" t="str">
        <f t="shared" si="74"/>
        <v>Chemicals</v>
      </c>
      <c r="D52">
        <v>1</v>
      </c>
      <c r="E52">
        <v>1</v>
      </c>
      <c r="F52">
        <v>1</v>
      </c>
      <c r="G52">
        <v>1</v>
      </c>
      <c r="H52">
        <f t="shared" si="76"/>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3">
        <v>1.0349999999999999</v>
      </c>
      <c r="U52" s="273">
        <f t="shared" si="89" ref="U52:AB52">IF(U$63=1,($AC52-$T52)/$AD$63+T52,$AC52)</f>
        <v>1.0262499999999999</v>
      </c>
      <c r="V52" s="273">
        <f t="shared" si="89"/>
        <v>1.0174999999999998</v>
      </c>
      <c r="W52" s="273">
        <f t="shared" si="89"/>
        <v>1.0087499999999998</v>
      </c>
      <c r="X52" s="273">
        <f t="shared" si="89"/>
        <v>0.99999999999999978</v>
      </c>
      <c r="Y52" s="273">
        <f t="shared" si="89"/>
        <v>1</v>
      </c>
      <c r="Z52" s="273">
        <f t="shared" si="89"/>
        <v>1</v>
      </c>
      <c r="AA52" s="273">
        <f t="shared" si="89"/>
        <v>1</v>
      </c>
      <c r="AB52" s="273">
        <f t="shared" si="89"/>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ht="15">
      <c r="A53" t="s">
        <v>16</v>
      </c>
      <c r="B53" s="9" t="str">
        <f t="shared" si="74"/>
        <v>am</v>
      </c>
      <c r="C53" s="9" t="str">
        <f t="shared" si="74"/>
        <v>Ammonia</v>
      </c>
      <c r="D53">
        <v>1</v>
      </c>
      <c r="E53">
        <v>1</v>
      </c>
      <c r="F53">
        <v>1</v>
      </c>
      <c r="G53">
        <v>1</v>
      </c>
      <c r="H53">
        <f t="shared" si="76"/>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3">
        <v>1.0349999999999999</v>
      </c>
      <c r="U53" s="273">
        <f t="shared" si="90" ref="U53">IF(U$63=1,($AC53-$T53)/$AD$63+T53,$AC53)</f>
        <v>1.0262499999999999</v>
      </c>
      <c r="V53" s="273">
        <f t="shared" si="91" ref="V53">IF(V$63=1,($AC53-$T53)/$AD$63+U53,$AC53)</f>
        <v>1.0174999999999998</v>
      </c>
      <c r="W53" s="273">
        <f t="shared" si="92" ref="W53">IF(W$63=1,($AC53-$T53)/$AD$63+V53,$AC53)</f>
        <v>1.0087499999999998</v>
      </c>
      <c r="X53" s="273">
        <f t="shared" si="93" ref="X53">IF(X$63=1,($AC53-$T53)/$AD$63+W53,$AC53)</f>
        <v>0.99999999999999978</v>
      </c>
      <c r="Y53" s="273">
        <f t="shared" si="94" ref="Y53">IF(Y$63=1,($AC53-$T53)/$AD$63+X53,$AC53)</f>
        <v>1</v>
      </c>
      <c r="Z53" s="273">
        <f t="shared" si="95" ref="Z53">IF(Z$63=1,($AC53-$T53)/$AD$63+Y53,$AC53)</f>
        <v>1</v>
      </c>
      <c r="AA53" s="273">
        <f t="shared" si="96" ref="AA53">IF(AA$63=1,($AC53-$T53)/$AD$63+Z53,$AC53)</f>
        <v>1</v>
      </c>
      <c r="AB53" s="273">
        <f t="shared" si="97" ref="AB53">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ht="15">
      <c r="A54" t="s">
        <v>16</v>
      </c>
      <c r="B54" s="9" t="str">
        <f t="shared" si="98" ref="B54:C62">B17</f>
        <v>NF</v>
      </c>
      <c r="C54" s="9" t="str">
        <f t="shared" si="98"/>
        <v>Precious &amp; Non-Ferrous metals</v>
      </c>
      <c r="D54">
        <v>1</v>
      </c>
      <c r="E54">
        <v>1</v>
      </c>
      <c r="F54">
        <v>1</v>
      </c>
      <c r="G54">
        <v>1</v>
      </c>
      <c r="H54">
        <f t="shared" si="76"/>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3">
        <v>1.0349999999999999</v>
      </c>
      <c r="U54" s="273">
        <f t="shared" si="99" ref="U54:AB54">IF(U$63=1,($AC54-$T54)/$AD$63+T54,$AC54)</f>
        <v>1.0262499999999999</v>
      </c>
      <c r="V54" s="273">
        <f t="shared" si="99"/>
        <v>1.0174999999999998</v>
      </c>
      <c r="W54" s="273">
        <f t="shared" si="99"/>
        <v>1.0087499999999998</v>
      </c>
      <c r="X54" s="273">
        <f t="shared" si="99"/>
        <v>0.99999999999999978</v>
      </c>
      <c r="Y54" s="273">
        <f t="shared" si="99"/>
        <v>1</v>
      </c>
      <c r="Z54" s="273">
        <f t="shared" si="99"/>
        <v>1</v>
      </c>
      <c r="AA54" s="273">
        <f t="shared" si="99"/>
        <v>1</v>
      </c>
      <c r="AB54" s="273">
        <f t="shared" si="99"/>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ht="15">
      <c r="A55" t="s">
        <v>16</v>
      </c>
      <c r="B55" s="9" t="str">
        <f t="shared" si="98"/>
        <v>NM</v>
      </c>
      <c r="C55" s="9" t="str">
        <f t="shared" si="98"/>
        <v>N.M.M Products</v>
      </c>
      <c r="D55">
        <v>1</v>
      </c>
      <c r="E55">
        <v>1</v>
      </c>
      <c r="F55">
        <v>1</v>
      </c>
      <c r="G55">
        <v>1</v>
      </c>
      <c r="H55">
        <f t="shared" si="76"/>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73">
        <f t="shared" si="100" ref="U55:AB55">IF(U$63=1,($AC55-$T55)/$AD$63+T55,$AC55)</f>
        <v>1</v>
      </c>
      <c r="V55" s="273">
        <f t="shared" si="100"/>
        <v>1</v>
      </c>
      <c r="W55" s="273">
        <f t="shared" si="100"/>
        <v>1</v>
      </c>
      <c r="X55" s="273">
        <f t="shared" si="100"/>
        <v>1</v>
      </c>
      <c r="Y55" s="273">
        <f t="shared" si="100"/>
        <v>1</v>
      </c>
      <c r="Z55" s="273">
        <f t="shared" si="100"/>
        <v>1</v>
      </c>
      <c r="AA55" s="273">
        <f t="shared" si="100"/>
        <v>1</v>
      </c>
      <c r="AB55" s="273">
        <f t="shared" si="100"/>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ht="15">
      <c r="A56" t="s">
        <v>16</v>
      </c>
      <c r="B56" s="9" t="str">
        <f t="shared" si="98"/>
        <v>NM</v>
      </c>
      <c r="C56" s="9" t="str">
        <f t="shared" si="98"/>
        <v>N.M.M Products</v>
      </c>
      <c r="D56">
        <v>1</v>
      </c>
      <c r="E56">
        <v>1</v>
      </c>
      <c r="F56">
        <v>1</v>
      </c>
      <c r="G56">
        <v>1</v>
      </c>
      <c r="H56">
        <f t="shared" si="76"/>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73">
        <f t="shared" si="101" ref="U56:AB56">IF(U$63=1,($AC56-$T56)/$AD$63+T56,$AC56)</f>
        <v>1</v>
      </c>
      <c r="V56" s="273">
        <f t="shared" si="101"/>
        <v>1</v>
      </c>
      <c r="W56" s="273">
        <f t="shared" si="101"/>
        <v>1</v>
      </c>
      <c r="X56" s="273">
        <f t="shared" si="101"/>
        <v>1</v>
      </c>
      <c r="Y56" s="273">
        <f t="shared" si="101"/>
        <v>1</v>
      </c>
      <c r="Z56" s="273">
        <f t="shared" si="101"/>
        <v>1</v>
      </c>
      <c r="AA56" s="273">
        <f t="shared" si="101"/>
        <v>1</v>
      </c>
      <c r="AB56" s="273">
        <f t="shared" si="101"/>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ht="15">
      <c r="A57" t="s">
        <v>16</v>
      </c>
      <c r="B57" s="9" t="str">
        <f t="shared" si="98"/>
        <v>NM</v>
      </c>
      <c r="C57" s="9" t="str">
        <f t="shared" si="98"/>
        <v>N.M.M Products</v>
      </c>
      <c r="D57">
        <v>1</v>
      </c>
      <c r="E57">
        <v>1</v>
      </c>
      <c r="F57">
        <v>1</v>
      </c>
      <c r="G57">
        <v>1</v>
      </c>
      <c r="H57">
        <f t="shared" si="76"/>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73">
        <f t="shared" si="102" ref="U57:AB57">IF(U$63=1,($AC57-$T57)/$AD$63+T57,$AC57)</f>
        <v>1</v>
      </c>
      <c r="V57" s="273">
        <f t="shared" si="102"/>
        <v>1</v>
      </c>
      <c r="W57" s="273">
        <f t="shared" si="102"/>
        <v>1</v>
      </c>
      <c r="X57" s="273">
        <f t="shared" si="102"/>
        <v>1</v>
      </c>
      <c r="Y57" s="273">
        <f t="shared" si="102"/>
        <v>1</v>
      </c>
      <c r="Z57" s="273">
        <f t="shared" si="102"/>
        <v>1</v>
      </c>
      <c r="AA57" s="273">
        <f t="shared" si="102"/>
        <v>1</v>
      </c>
      <c r="AB57" s="273">
        <f t="shared" si="102"/>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ht="15">
      <c r="A58" t="s">
        <v>16</v>
      </c>
      <c r="B58" s="9" t="str">
        <f t="shared" si="98"/>
        <v>NM</v>
      </c>
      <c r="C58" s="9" t="str">
        <f t="shared" si="98"/>
        <v>N.M.M Products</v>
      </c>
      <c r="D58">
        <v>1</v>
      </c>
      <c r="E58">
        <v>1</v>
      </c>
      <c r="F58">
        <v>1</v>
      </c>
      <c r="G58">
        <v>1</v>
      </c>
      <c r="H58">
        <f t="shared" si="76"/>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73">
        <f t="shared" si="103" ref="U58:AB58">IF(U$63=1,($AC58-$T58)/$AD$63+T58,$AC58)</f>
        <v>1</v>
      </c>
      <c r="V58" s="273">
        <f t="shared" si="103"/>
        <v>1</v>
      </c>
      <c r="W58" s="273">
        <f t="shared" si="103"/>
        <v>1</v>
      </c>
      <c r="X58" s="273">
        <f t="shared" si="103"/>
        <v>1</v>
      </c>
      <c r="Y58" s="273">
        <f t="shared" si="103"/>
        <v>1</v>
      </c>
      <c r="Z58" s="273">
        <f t="shared" si="103"/>
        <v>1</v>
      </c>
      <c r="AA58" s="273">
        <f t="shared" si="103"/>
        <v>1</v>
      </c>
      <c r="AB58" s="273">
        <f t="shared" si="103"/>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ht="15">
      <c r="A59" t="s">
        <v>16</v>
      </c>
      <c r="B59" s="9" t="str">
        <f t="shared" si="98"/>
        <v>FB</v>
      </c>
      <c r="C59" s="9" t="str">
        <f t="shared" si="98"/>
        <v>Food, Beverage &amp; Tabacco</v>
      </c>
      <c r="D59">
        <v>1</v>
      </c>
      <c r="E59">
        <v>1</v>
      </c>
      <c r="F59">
        <v>1</v>
      </c>
      <c r="G59">
        <v>1</v>
      </c>
      <c r="H59">
        <f t="shared" si="76"/>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3">
        <v>1.0349999999999999</v>
      </c>
      <c r="U59" s="273">
        <f t="shared" si="104" ref="U59:AB59">IF(U$63=1,($AC59-$T59)/$AD$63+T59,$AC59)</f>
        <v>1.0262499999999999</v>
      </c>
      <c r="V59" s="273">
        <f t="shared" si="104"/>
        <v>1.0174999999999998</v>
      </c>
      <c r="W59" s="273">
        <f t="shared" si="104"/>
        <v>1.0087499999999998</v>
      </c>
      <c r="X59" s="273">
        <f t="shared" si="104"/>
        <v>0.99999999999999978</v>
      </c>
      <c r="Y59" s="273">
        <f t="shared" si="104"/>
        <v>1</v>
      </c>
      <c r="Z59" s="273">
        <f t="shared" si="104"/>
        <v>1</v>
      </c>
      <c r="AA59" s="273">
        <f t="shared" si="104"/>
        <v>1</v>
      </c>
      <c r="AB59" s="273">
        <f t="shared" si="104"/>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ht="15">
      <c r="A60" t="s">
        <v>16</v>
      </c>
      <c r="B60" s="9" t="str">
        <f t="shared" si="98"/>
        <v>PP</v>
      </c>
      <c r="C60" s="9" t="str">
        <f t="shared" si="98"/>
        <v>Pulp &amp; Paper Products</v>
      </c>
      <c r="D60">
        <v>1</v>
      </c>
      <c r="E60">
        <v>1</v>
      </c>
      <c r="F60">
        <v>1</v>
      </c>
      <c r="G60">
        <v>1</v>
      </c>
      <c r="H60">
        <f t="shared" si="76"/>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73">
        <f t="shared" si="105" ref="U60:AB60">IF(U$63=1,($AC60-$T60)/$AD$63+T60,$AC60)</f>
        <v>1</v>
      </c>
      <c r="V60" s="273">
        <f t="shared" si="105"/>
        <v>1</v>
      </c>
      <c r="W60" s="273">
        <f t="shared" si="105"/>
        <v>1</v>
      </c>
      <c r="X60" s="273">
        <f t="shared" si="105"/>
        <v>1</v>
      </c>
      <c r="Y60" s="273">
        <f t="shared" si="105"/>
        <v>1</v>
      </c>
      <c r="Z60" s="273">
        <f t="shared" si="105"/>
        <v>1</v>
      </c>
      <c r="AA60" s="273">
        <f t="shared" si="105"/>
        <v>1</v>
      </c>
      <c r="AB60" s="273">
        <f t="shared" si="105"/>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ht="15">
      <c r="A61" t="s">
        <v>16</v>
      </c>
      <c r="B61" s="9" t="str">
        <f t="shared" si="98"/>
        <v>PP</v>
      </c>
      <c r="C61" s="9" t="str">
        <f t="shared" si="98"/>
        <v>Pulp &amp; Paper Products</v>
      </c>
      <c r="D61">
        <v>1</v>
      </c>
      <c r="E61">
        <v>1</v>
      </c>
      <c r="F61">
        <v>1</v>
      </c>
      <c r="G61">
        <v>1</v>
      </c>
      <c r="H61">
        <f t="shared" si="76"/>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73">
        <f t="shared" si="106" ref="U61:AB61">IF(U$63=1,($AC61-$T61)/$AD$63+T61,$AC61)</f>
        <v>1</v>
      </c>
      <c r="V61" s="273">
        <f t="shared" si="106"/>
        <v>1</v>
      </c>
      <c r="W61" s="273">
        <f t="shared" si="106"/>
        <v>1</v>
      </c>
      <c r="X61" s="273">
        <f t="shared" si="106"/>
        <v>1</v>
      </c>
      <c r="Y61" s="273">
        <f t="shared" si="106"/>
        <v>1</v>
      </c>
      <c r="Z61" s="273">
        <f t="shared" si="106"/>
        <v>1</v>
      </c>
      <c r="AA61" s="273">
        <f t="shared" si="106"/>
        <v>1</v>
      </c>
      <c r="AB61" s="273">
        <f t="shared" si="106"/>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ht="15">
      <c r="A62" t="s">
        <v>16</v>
      </c>
      <c r="B62" s="9" t="str">
        <f t="shared" si="98"/>
        <v>OT</v>
      </c>
      <c r="C62" s="9" t="str">
        <f t="shared" si="98"/>
        <v>Other</v>
      </c>
      <c r="D62">
        <v>1</v>
      </c>
      <c r="E62">
        <v>1</v>
      </c>
      <c r="F62">
        <v>1</v>
      </c>
      <c r="G62">
        <v>1</v>
      </c>
      <c r="H62">
        <f t="shared" si="76"/>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73">
        <f t="shared" si="107" ref="U62:AB62">IF(U$63=1,($AC62-$T62)/$AD$63+T62,$AC62)</f>
        <v>1.0262499999999999</v>
      </c>
      <c r="V62" s="273">
        <f t="shared" si="107"/>
        <v>1.0174999999999998</v>
      </c>
      <c r="W62" s="273">
        <f t="shared" si="107"/>
        <v>1.0087499999999998</v>
      </c>
      <c r="X62" s="273">
        <f t="shared" si="107"/>
        <v>0.99999999999999978</v>
      </c>
      <c r="Y62" s="273">
        <f t="shared" si="107"/>
        <v>1</v>
      </c>
      <c r="Z62" s="273">
        <f t="shared" si="107"/>
        <v>1</v>
      </c>
      <c r="AA62" s="273">
        <f t="shared" si="107"/>
        <v>1</v>
      </c>
      <c r="AB62" s="273">
        <f t="shared" si="107"/>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30" ht="15">
      <c r="A63" t="s">
        <v>16</v>
      </c>
      <c r="B63" s="9"/>
      <c r="U63" s="274">
        <f t="shared" si="108" ref="U63:AC63">IF(U3&lt;=$Y$45,1,0)</f>
        <v>1</v>
      </c>
      <c r="V63" s="274">
        <f t="shared" si="108"/>
        <v>1</v>
      </c>
      <c r="W63" s="274">
        <f t="shared" si="108"/>
        <v>1</v>
      </c>
      <c r="X63" s="274">
        <f t="shared" si="108"/>
        <v>1</v>
      </c>
      <c r="Y63" s="274">
        <f t="shared" si="108"/>
        <v>0</v>
      </c>
      <c r="Z63" s="274">
        <f t="shared" si="108"/>
        <v>0</v>
      </c>
      <c r="AA63" s="274">
        <f t="shared" si="108"/>
        <v>0</v>
      </c>
      <c r="AB63" s="274">
        <f t="shared" si="108"/>
        <v>0</v>
      </c>
      <c r="AC63" s="274">
        <f t="shared" si="108"/>
        <v>0</v>
      </c>
      <c r="AD63" s="274">
        <f>SUM(U63:AC63)</f>
        <v>4</v>
      </c>
    </row>
    <row r="64" spans="1:3" ht="15.75" thickBot="1">
      <c r="A64" t="s">
        <v>16</v>
      </c>
      <c r="B64" s="15" t="s">
        <v>273</v>
      </c>
      <c r="C64" s="15"/>
    </row>
    <row r="65" spans="1:3" ht="15">
      <c r="A65" t="s">
        <v>16</v>
      </c>
      <c r="B65" s="9" t="s">
        <v>95</v>
      </c>
      <c r="C65" s="9" t="s">
        <v>96</v>
      </c>
    </row>
    <row r="66" spans="1:3" ht="15">
      <c r="A66" t="s">
        <v>16</v>
      </c>
      <c r="B66" s="9" t="s">
        <v>97</v>
      </c>
      <c r="C66" s="9" t="s">
        <v>98</v>
      </c>
    </row>
    <row r="67" spans="1:3" ht="15">
      <c r="A67" t="s">
        <v>16</v>
      </c>
      <c r="B67" s="9" t="s">
        <v>99</v>
      </c>
      <c r="C67" s="9" t="s">
        <v>64</v>
      </c>
    </row>
    <row r="68" spans="1:3" ht="15">
      <c r="A68" t="s">
        <v>16</v>
      </c>
      <c r="B68" s="9" t="s">
        <v>100</v>
      </c>
      <c r="C68" s="9" t="s">
        <v>63</v>
      </c>
    </row>
    <row r="69" spans="1:3" ht="15">
      <c r="A69" t="s">
        <v>16</v>
      </c>
      <c r="B69" s="9" t="s">
        <v>101</v>
      </c>
      <c r="C69" s="9" t="s">
        <v>102</v>
      </c>
    </row>
    <row r="70" spans="1:3" ht="15">
      <c r="A70" t="s">
        <v>16</v>
      </c>
      <c r="B70" s="9" t="s">
        <v>103</v>
      </c>
      <c r="C70" s="9" t="s">
        <v>104</v>
      </c>
    </row>
    <row r="71" spans="1:3" ht="15">
      <c r="A71" t="s">
        <v>16</v>
      </c>
      <c r="B71" s="9" t="s">
        <v>105</v>
      </c>
      <c r="C71" s="9" t="s">
        <v>106</v>
      </c>
    </row>
    <row r="72" spans="1:3" ht="15">
      <c r="A72" t="s">
        <v>16</v>
      </c>
      <c r="B72" s="9" t="s">
        <v>107</v>
      </c>
      <c r="C72" s="9" t="s">
        <v>108</v>
      </c>
    </row>
    <row r="73" spans="1:3" ht="15">
      <c r="A73" t="s">
        <v>16</v>
      </c>
      <c r="B73" s="9" t="s">
        <v>29</v>
      </c>
      <c r="C73" s="9" t="s">
        <v>109</v>
      </c>
    </row>
    <row r="74" spans="1:3" ht="15">
      <c r="A74" t="s">
        <v>16</v>
      </c>
      <c r="B74" s="9" t="s">
        <v>110</v>
      </c>
      <c r="C74" s="9" t="s">
        <v>111</v>
      </c>
    </row>
    <row r="75" spans="1:3" ht="15">
      <c r="A75" t="s">
        <v>16</v>
      </c>
      <c r="B75" s="9" t="s">
        <v>207</v>
      </c>
      <c r="C75" s="9" t="s">
        <v>206</v>
      </c>
    </row>
    <row r="76" spans="1:3" ht="15">
      <c r="A76" t="s">
        <v>16</v>
      </c>
      <c r="B76" s="9" t="s">
        <v>112</v>
      </c>
      <c r="C76" s="9" t="s">
        <v>2</v>
      </c>
    </row>
    <row r="77" spans="1:3" ht="15">
      <c r="A77" t="s">
        <v>16</v>
      </c>
      <c r="B77" s="9"/>
      <c r="C77" s="9"/>
    </row>
    <row r="78" spans="1:49" ht="23.25">
      <c r="A78" t="s">
        <v>16</v>
      </c>
      <c r="B78" s="16" t="s">
        <v>18</v>
      </c>
      <c r="C78" s="16" t="s">
        <v>19</v>
      </c>
      <c r="D78" s="16" t="s">
        <v>20</v>
      </c>
      <c r="E78" s="16" t="s">
        <v>21</v>
      </c>
      <c r="F78" s="16" t="s">
        <v>22</v>
      </c>
      <c r="G78" s="16" t="s">
        <v>23</v>
      </c>
      <c r="H78" s="16"/>
      <c r="I78" s="16" t="s">
        <v>24</v>
      </c>
      <c r="J78" s="17" t="s">
        <v>25</v>
      </c>
      <c r="K78" s="8">
        <f t="shared" si="109" ref="K78:AQ78">K3</f>
        <v>2012</v>
      </c>
      <c r="L78" s="8">
        <f t="shared" si="109"/>
        <v>2013</v>
      </c>
      <c r="M78" s="8">
        <f t="shared" si="109"/>
        <v>2014</v>
      </c>
      <c r="N78" s="8">
        <f t="shared" si="109"/>
        <v>2015</v>
      </c>
      <c r="O78" s="8">
        <f t="shared" si="109"/>
        <v>2016</v>
      </c>
      <c r="P78" s="8">
        <f t="shared" si="109"/>
        <v>2017</v>
      </c>
      <c r="Q78" s="8">
        <f t="shared" si="109"/>
        <v>2018</v>
      </c>
      <c r="R78" s="8">
        <f t="shared" si="109"/>
        <v>2019</v>
      </c>
      <c r="S78" s="8">
        <f t="shared" si="109"/>
        <v>2020</v>
      </c>
      <c r="T78" s="8">
        <f t="shared" si="109"/>
        <v>2021</v>
      </c>
      <c r="U78" s="8">
        <f t="shared" si="109"/>
        <v>2022</v>
      </c>
      <c r="V78" s="8">
        <f t="shared" si="109"/>
        <v>2023</v>
      </c>
      <c r="W78" s="8">
        <f t="shared" si="109"/>
        <v>2024</v>
      </c>
      <c r="X78" s="8">
        <f t="shared" si="109"/>
        <v>2025</v>
      </c>
      <c r="Y78" s="8">
        <f t="shared" si="109"/>
        <v>2026</v>
      </c>
      <c r="Z78" s="8">
        <f t="shared" si="109"/>
        <v>2027</v>
      </c>
      <c r="AA78" s="8">
        <f t="shared" si="109"/>
        <v>2028</v>
      </c>
      <c r="AB78" s="8">
        <f t="shared" si="109"/>
        <v>2029</v>
      </c>
      <c r="AC78" s="8">
        <f t="shared" si="109"/>
        <v>2030</v>
      </c>
      <c r="AD78" s="8">
        <f t="shared" si="109"/>
        <v>2031</v>
      </c>
      <c r="AE78" s="8">
        <f t="shared" si="109"/>
        <v>2032</v>
      </c>
      <c r="AF78" s="8">
        <f t="shared" si="109"/>
        <v>2033</v>
      </c>
      <c r="AG78" s="8">
        <f t="shared" si="109"/>
        <v>2034</v>
      </c>
      <c r="AH78" s="8">
        <f t="shared" si="109"/>
        <v>2035</v>
      </c>
      <c r="AI78" s="8">
        <f t="shared" si="109"/>
        <v>2036</v>
      </c>
      <c r="AJ78" s="8">
        <f t="shared" si="109"/>
        <v>2037</v>
      </c>
      <c r="AK78" s="8">
        <f t="shared" si="109"/>
        <v>2038</v>
      </c>
      <c r="AL78" s="8">
        <f t="shared" si="109"/>
        <v>2039</v>
      </c>
      <c r="AM78" s="8">
        <f t="shared" si="109"/>
        <v>2040</v>
      </c>
      <c r="AN78" s="8">
        <f t="shared" si="109"/>
        <v>2045</v>
      </c>
      <c r="AO78" s="8">
        <f t="shared" si="109"/>
        <v>2050</v>
      </c>
      <c r="AP78" s="8">
        <f t="shared" si="109"/>
        <v>2060</v>
      </c>
      <c r="AQ78" s="8">
        <f t="shared" si="109"/>
        <v>2070</v>
      </c>
      <c r="AR78" s="8"/>
      <c r="AS78" s="8"/>
      <c r="AT78" s="8"/>
      <c r="AU78" s="8"/>
      <c r="AV78" s="8"/>
      <c r="AW78" s="8"/>
    </row>
    <row r="79" spans="1:43" s="8" customFormat="1" ht="15">
      <c r="A79" s="8" t="s">
        <v>16</v>
      </c>
      <c r="C79" s="7" t="s">
        <v>760</v>
      </c>
      <c r="D79" s="7" t="s">
        <v>761</v>
      </c>
      <c r="K79" s="8">
        <f t="shared" si="110" ref="K79:AQ79">SUMIF($B$10:$B$25,$D79,K$10:K$25)*SUMIF($B$10:$B$25,$D79,K$47:K$62)</f>
        <v>186.51301855651582</v>
      </c>
      <c r="L79" s="8">
        <f t="shared" si="110"/>
        <v>191.72764997425244</v>
      </c>
      <c r="M79" s="8">
        <f t="shared" si="110"/>
        <v>193.25080325111884</v>
      </c>
      <c r="N79" s="8">
        <f t="shared" si="110"/>
        <v>199.99778725841253</v>
      </c>
      <c r="O79" s="8">
        <f t="shared" si="110"/>
        <v>197.80224330122689</v>
      </c>
      <c r="P79" s="8">
        <f t="shared" si="110"/>
        <v>204.56882730948811</v>
      </c>
      <c r="Q79" s="8">
        <f t="shared" si="110"/>
        <v>203.94770491309214</v>
      </c>
      <c r="R79" s="8">
        <f t="shared" si="110"/>
        <v>201.87293671790277</v>
      </c>
      <c r="S79" s="8">
        <f t="shared" si="110"/>
        <v>194.31413122982036</v>
      </c>
      <c r="T79" s="8">
        <f t="shared" si="110"/>
        <v>229.21092512542506</v>
      </c>
      <c r="U79" s="8">
        <f t="shared" si="110"/>
        <v>215.01543152042333</v>
      </c>
      <c r="V79" s="8">
        <f t="shared" si="110"/>
        <v>216.35074393219992</v>
      </c>
      <c r="W79" s="8">
        <f t="shared" si="110"/>
        <v>215.9616223084185</v>
      </c>
      <c r="X79" s="8">
        <f t="shared" si="110"/>
        <v>217.39229663866129</v>
      </c>
      <c r="Y79" s="8">
        <f t="shared" si="110"/>
        <v>221.48128479336688</v>
      </c>
      <c r="Z79" s="8">
        <f t="shared" si="110"/>
        <v>224.13973637605918</v>
      </c>
      <c r="AA79" s="8">
        <f t="shared" si="110"/>
        <v>226.94982363204187</v>
      </c>
      <c r="AB79" s="8">
        <f t="shared" si="110"/>
        <v>231.15069048059212</v>
      </c>
      <c r="AC79" s="8">
        <f t="shared" si="110"/>
        <v>235.9081305017809</v>
      </c>
      <c r="AD79" s="8">
        <f t="shared" si="110"/>
        <v>241.58731486049626</v>
      </c>
      <c r="AE79" s="8">
        <f t="shared" si="110"/>
        <v>247.48168713049023</v>
      </c>
      <c r="AF79" s="8">
        <f t="shared" si="110"/>
        <v>253.71518398454742</v>
      </c>
      <c r="AG79" s="8">
        <f t="shared" si="110"/>
        <v>260.46173892835986</v>
      </c>
      <c r="AH79" s="8">
        <f t="shared" si="110"/>
        <v>269.4276720300723</v>
      </c>
      <c r="AI79" s="8">
        <f t="shared" si="110"/>
        <v>275.67869749189379</v>
      </c>
      <c r="AJ79" s="8">
        <f t="shared" si="110"/>
        <v>281.9523156848179</v>
      </c>
      <c r="AK79" s="8">
        <f t="shared" si="110"/>
        <v>288.503263222925</v>
      </c>
      <c r="AL79" s="8">
        <f t="shared" si="110"/>
        <v>295.30195103968441</v>
      </c>
      <c r="AM79" s="8">
        <f t="shared" si="110"/>
        <v>302.94992196638117</v>
      </c>
      <c r="AN79" s="8">
        <f t="shared" si="110"/>
        <v>339.51989244103419</v>
      </c>
      <c r="AO79" s="8">
        <f t="shared" si="110"/>
        <v>391.67434651238233</v>
      </c>
      <c r="AP79" s="8">
        <f t="shared" si="110"/>
        <v>450.45987509604896</v>
      </c>
      <c r="AQ79" s="8">
        <f t="shared" si="110"/>
        <v>502.58438235787708</v>
      </c>
    </row>
    <row r="80" spans="1:43" ht="15">
      <c r="A80" s="48" t="str">
        <f>'[4]TS BYDem'!A10</f>
        <v/>
      </c>
      <c r="B80" t="s">
        <v>272</v>
      </c>
      <c r="C80" t="s">
        <v>125</v>
      </c>
      <c r="D80" s="9" t="s">
        <v>320</v>
      </c>
      <c r="E80" t="s">
        <v>125</v>
      </c>
      <c r="F80" t="s">
        <v>125</v>
      </c>
      <c r="G80" t="s">
        <v>125</v>
      </c>
      <c r="I80" t="s">
        <v>125</v>
      </c>
      <c r="J80">
        <v>0</v>
      </c>
      <c r="K80">
        <f>INDEX('[4]TS BYDem'!$J$10:$J$203,MATCH(D80,'[4]TS BYDem'!$D$10:$D$203,0))</f>
        <v>2.1376388478991801</v>
      </c>
      <c r="L80">
        <f t="shared" si="111" ref="L80:AA89">L$79/K$79*K80</f>
        <v>2.1974041060152065</v>
      </c>
      <c r="M80">
        <f t="shared" si="111"/>
        <v>2.2148610730469636</v>
      </c>
      <c r="N80" s="166">
        <f>P80</f>
        <v>1.54836715990045</v>
      </c>
      <c r="O80" s="166">
        <f>P80</f>
        <v>1.54836715990045</v>
      </c>
      <c r="P80" s="288">
        <f>IFERROR(INDEX('BY-DMD'!$I$5:$I$138,MATCH(D80,'BY-DMD'!$H$5:$H$138,0)),"")</f>
        <v>1.54836715990045</v>
      </c>
      <c r="Q80">
        <f t="shared" si="111"/>
        <v>1.5436659278823224</v>
      </c>
      <c r="R80">
        <f t="shared" si="111"/>
        <v>1.5279621523849098</v>
      </c>
      <c r="S80">
        <f t="shared" si="111"/>
        <v>1.4707500818082153</v>
      </c>
      <c r="T80">
        <f t="shared" si="111"/>
        <v>1.7348814764318121</v>
      </c>
      <c r="U80">
        <f t="shared" si="111"/>
        <v>1.6274367772288947</v>
      </c>
      <c r="V80">
        <f t="shared" si="111"/>
        <v>1.6375436635702549</v>
      </c>
      <c r="W80">
        <f t="shared" si="111"/>
        <v>1.634598429189267</v>
      </c>
      <c r="X80">
        <f t="shared" si="111"/>
        <v>1.6454271032281966</v>
      </c>
      <c r="Y80">
        <f t="shared" si="111"/>
        <v>1.6763763688579481</v>
      </c>
      <c r="Z80">
        <f t="shared" si="111"/>
        <v>1.6964980031311832</v>
      </c>
      <c r="AA80">
        <f t="shared" si="111"/>
        <v>1.7177673572201897</v>
      </c>
      <c r="AB80">
        <f t="shared" si="112" ref="AB80:AQ89">AB$79/AA$79*AA80</f>
        <v>1.7495634248662597</v>
      </c>
      <c r="AC80">
        <f t="shared" si="112"/>
        <v>1.7855721559661379</v>
      </c>
      <c r="AD80">
        <f t="shared" si="112"/>
        <v>1.8285575055509586</v>
      </c>
      <c r="AE80">
        <f t="shared" si="112"/>
        <v>1.8731715974002463</v>
      </c>
      <c r="AF80">
        <f t="shared" si="112"/>
        <v>1.9203524995303789</v>
      </c>
      <c r="AG80">
        <f t="shared" si="112"/>
        <v>1.9714167024925413</v>
      </c>
      <c r="AH80">
        <f t="shared" si="112"/>
        <v>2.0392792236554227</v>
      </c>
      <c r="AI80">
        <f t="shared" si="112"/>
        <v>2.0865927985929327</v>
      </c>
      <c r="AJ80">
        <f t="shared" si="112"/>
        <v>2.1340773763335177</v>
      </c>
      <c r="AK80">
        <f t="shared" si="112"/>
        <v>2.1836610405097323</v>
      </c>
      <c r="AL80">
        <f t="shared" si="112"/>
        <v>2.2351198335445073</v>
      </c>
      <c r="AM80">
        <f t="shared" si="112"/>
        <v>2.2930067910957441</v>
      </c>
      <c r="AN80">
        <f t="shared" si="112"/>
        <v>2.5698023423349214</v>
      </c>
      <c r="AO80">
        <f t="shared" si="112"/>
        <v>2.964555760970109</v>
      </c>
      <c r="AP80">
        <f t="shared" si="112"/>
        <v>3.4094993192505401</v>
      </c>
      <c r="AQ80">
        <f t="shared" si="112"/>
        <v>3.8040260725769688</v>
      </c>
    </row>
    <row r="81" spans="1:43" ht="15">
      <c r="A81" s="48" t="str">
        <f>'[4]TS BYDem'!A11</f>
        <v/>
      </c>
      <c r="B81" t="s">
        <v>272</v>
      </c>
      <c r="C81" t="s">
        <v>125</v>
      </c>
      <c r="D81" s="9" t="s">
        <v>315</v>
      </c>
      <c r="E81" t="s">
        <v>125</v>
      </c>
      <c r="F81" t="s">
        <v>125</v>
      </c>
      <c r="G81" t="s">
        <v>125</v>
      </c>
      <c r="I81" t="s">
        <v>125</v>
      </c>
      <c r="J81">
        <v>0</v>
      </c>
      <c r="K81">
        <f>INDEX('[4]TS BYDem'!$J$10:$J$203,MATCH(D81,'[4]TS BYDem'!$D$10:$D$203,0))</f>
        <v>0.99318058118269703</v>
      </c>
      <c r="L81">
        <f t="shared" si="111"/>
        <v>1.0209484587400048</v>
      </c>
      <c r="M81">
        <f t="shared" si="111"/>
        <v>1.0290592397914096</v>
      </c>
      <c r="N81" s="166">
        <f t="shared" si="113" ref="N81:N88">P81</f>
        <v>0.71939570019765298</v>
      </c>
      <c r="O81" s="166">
        <f t="shared" si="114" ref="O81:O89">P81</f>
        <v>0.71939570019765298</v>
      </c>
      <c r="P81" s="288">
        <f>IFERROR(INDEX('BY-DMD'!$I$5:$I$138,MATCH(D81,'BY-DMD'!$H$5:$H$138,0)),"")</f>
        <v>0.71939570019765298</v>
      </c>
      <c r="Q81">
        <f t="shared" si="111"/>
        <v>0.71721143396735521</v>
      </c>
      <c r="R81">
        <f t="shared" si="111"/>
        <v>0.70991521323736106</v>
      </c>
      <c r="S81">
        <f t="shared" si="111"/>
        <v>0.68333358670962918</v>
      </c>
      <c r="T81">
        <f t="shared" si="111"/>
        <v>0.80605318093793976</v>
      </c>
      <c r="U81">
        <f t="shared" si="111"/>
        <v>0.75613268622751295</v>
      </c>
      <c r="V81">
        <f t="shared" si="111"/>
        <v>0.76082850435428617</v>
      </c>
      <c r="W81">
        <f t="shared" si="111"/>
        <v>0.75946010220482874</v>
      </c>
      <c r="X81">
        <f t="shared" si="111"/>
        <v>0.76449127423184893</v>
      </c>
      <c r="Y81">
        <f t="shared" si="111"/>
        <v>0.77887078911367424</v>
      </c>
      <c r="Z81">
        <f t="shared" si="111"/>
        <v>0.7882196164151043</v>
      </c>
      <c r="AA81">
        <f t="shared" si="111"/>
        <v>0.79810169236832751</v>
      </c>
      <c r="AB81">
        <f t="shared" si="112"/>
        <v>0.81287464476628923</v>
      </c>
      <c r="AC81">
        <f t="shared" si="112"/>
        <v>0.82960486676640666</v>
      </c>
      <c r="AD81">
        <f t="shared" si="112"/>
        <v>0.84957653528513266</v>
      </c>
      <c r="AE81">
        <f t="shared" si="112"/>
        <v>0.87030494303996009</v>
      </c>
      <c r="AF81">
        <f t="shared" si="112"/>
        <v>0.89222593116402094</v>
      </c>
      <c r="AG81">
        <f t="shared" si="112"/>
        <v>0.91595116184339143</v>
      </c>
      <c r="AH81">
        <f t="shared" si="112"/>
        <v>0.94748115498293062</v>
      </c>
      <c r="AI81">
        <f t="shared" si="112"/>
        <v>0.96946378497697694</v>
      </c>
      <c r="AJ81">
        <f t="shared" si="112"/>
        <v>0.99152586555899747</v>
      </c>
      <c r="AK81">
        <f t="shared" si="112"/>
        <v>1.0145632146659798</v>
      </c>
      <c r="AL81">
        <f t="shared" si="112"/>
        <v>1.0384717780902764</v>
      </c>
      <c r="AM81">
        <f t="shared" si="112"/>
        <v>1.0653669677057429</v>
      </c>
      <c r="AN81">
        <f t="shared" si="112"/>
        <v>1.193970527993153</v>
      </c>
      <c r="AO81">
        <f t="shared" si="112"/>
        <v>1.3773791660468924</v>
      </c>
      <c r="AP81">
        <f t="shared" si="112"/>
        <v>1.5841069312354576</v>
      </c>
      <c r="AQ81">
        <f t="shared" si="112"/>
        <v>1.7674102570268808</v>
      </c>
    </row>
    <row r="82" spans="1:43" ht="15">
      <c r="A82" s="48" t="str">
        <f>'[4]TS BYDem'!A12</f>
        <v/>
      </c>
      <c r="B82" t="s">
        <v>272</v>
      </c>
      <c r="C82" t="s">
        <v>125</v>
      </c>
      <c r="D82" s="9" t="s">
        <v>321</v>
      </c>
      <c r="E82" t="s">
        <v>125</v>
      </c>
      <c r="F82" t="s">
        <v>125</v>
      </c>
      <c r="G82" t="s">
        <v>125</v>
      </c>
      <c r="I82" t="s">
        <v>125</v>
      </c>
      <c r="J82">
        <v>0</v>
      </c>
      <c r="K82">
        <f>INDEX('[4]TS BYDem'!$J$10:$J$203,MATCH(D82,'[4]TS BYDem'!$D$10:$D$203,0))</f>
        <v>1.44290622233195</v>
      </c>
      <c r="L82">
        <f t="shared" si="111"/>
        <v>1.4832477715602679</v>
      </c>
      <c r="M82">
        <f t="shared" si="111"/>
        <v>1.4950312243067037</v>
      </c>
      <c r="N82" s="166">
        <f t="shared" si="113"/>
        <v>1.0451478329328101</v>
      </c>
      <c r="O82" s="166">
        <f t="shared" si="114"/>
        <v>1.0451478329328101</v>
      </c>
      <c r="P82" s="288">
        <f>IFERROR(INDEX('BY-DMD'!$I$5:$I$138,MATCH(D82,'BY-DMD'!$H$5:$H$138,0)),"")</f>
        <v>1.0451478329328101</v>
      </c>
      <c r="Q82">
        <f t="shared" si="111"/>
        <v>1.0419745013205739</v>
      </c>
      <c r="R82">
        <f t="shared" si="111"/>
        <v>1.0313744528598203</v>
      </c>
      <c r="S82">
        <f t="shared" si="111"/>
        <v>0.99275630522055125</v>
      </c>
      <c r="T82">
        <f t="shared" si="111"/>
        <v>1.1710449965914802</v>
      </c>
      <c r="U82">
        <f t="shared" si="111"/>
        <v>1.0985198246295105</v>
      </c>
      <c r="V82">
        <f t="shared" si="111"/>
        <v>1.1053419729099287</v>
      </c>
      <c r="W82">
        <f t="shared" si="111"/>
        <v>1.1033539397027619</v>
      </c>
      <c r="X82">
        <f t="shared" si="111"/>
        <v>1.1106632946790393</v>
      </c>
      <c r="Y82">
        <f t="shared" si="111"/>
        <v>1.1315540489791216</v>
      </c>
      <c r="Z82">
        <f t="shared" si="111"/>
        <v>1.1451361521135555</v>
      </c>
      <c r="AA82">
        <f t="shared" si="111"/>
        <v>1.1594929661236351</v>
      </c>
      <c r="AB82">
        <f t="shared" si="112"/>
        <v>1.1809553117847325</v>
      </c>
      <c r="AC82">
        <f t="shared" si="112"/>
        <v>1.2052612052771503</v>
      </c>
      <c r="AD82">
        <f t="shared" si="112"/>
        <v>1.2342763162469044</v>
      </c>
      <c r="AE82">
        <f t="shared" si="112"/>
        <v>1.2643908282451737</v>
      </c>
      <c r="AF82">
        <f t="shared" si="112"/>
        <v>1.2962379371830133</v>
      </c>
      <c r="AG82">
        <f t="shared" si="112"/>
        <v>1.3307062741824731</v>
      </c>
      <c r="AH82">
        <f t="shared" si="112"/>
        <v>1.3765134759674182</v>
      </c>
      <c r="AI82">
        <f t="shared" si="112"/>
        <v>1.4084501390502375</v>
      </c>
      <c r="AJ82">
        <f t="shared" si="112"/>
        <v>1.4405022290251326</v>
      </c>
      <c r="AK82">
        <f t="shared" si="112"/>
        <v>1.4739712023440776</v>
      </c>
      <c r="AL82">
        <f t="shared" si="112"/>
        <v>1.5087058876425508</v>
      </c>
      <c r="AM82">
        <f t="shared" si="112"/>
        <v>1.547779583989636</v>
      </c>
      <c r="AN82">
        <f t="shared" si="112"/>
        <v>1.7346165810760816</v>
      </c>
      <c r="AO82">
        <f t="shared" si="112"/>
        <v>2.0010751386548349</v>
      </c>
      <c r="AP82">
        <f t="shared" si="112"/>
        <v>2.3014120404941276</v>
      </c>
      <c r="AQ82">
        <f t="shared" si="112"/>
        <v>2.5677175989894687</v>
      </c>
    </row>
    <row r="83" spans="1:43" ht="15">
      <c r="A83" s="48" t="str">
        <f>'[4]TS BYDem'!A13</f>
        <v/>
      </c>
      <c r="B83" t="s">
        <v>272</v>
      </c>
      <c r="C83" t="s">
        <v>125</v>
      </c>
      <c r="D83" s="9" t="s">
        <v>316</v>
      </c>
      <c r="E83" t="s">
        <v>125</v>
      </c>
      <c r="F83" t="s">
        <v>125</v>
      </c>
      <c r="G83" t="s">
        <v>125</v>
      </c>
      <c r="I83" t="s">
        <v>125</v>
      </c>
      <c r="J83">
        <v>0</v>
      </c>
      <c r="K83">
        <f>INDEX('[4]TS BYDem'!$J$10:$J$203,MATCH(D83,'[4]TS BYDem'!$D$10:$D$203,0))</f>
        <v>17.353240259083101</v>
      </c>
      <c r="L83">
        <f t="shared" si="111"/>
        <v>17.838411495680333</v>
      </c>
      <c r="M83">
        <f t="shared" si="111"/>
        <v>17.9801262401493</v>
      </c>
      <c r="N83" s="166">
        <f t="shared" si="113"/>
        <v>12.569563545045501</v>
      </c>
      <c r="O83" s="166">
        <f t="shared" si="114"/>
        <v>12.569563545045501</v>
      </c>
      <c r="P83" s="288">
        <f>IFERROR(INDEX('BY-DMD'!$I$5:$I$138,MATCH(D83,'BY-DMD'!$H$5:$H$138,0)),"")</f>
        <v>12.569563545045501</v>
      </c>
      <c r="Q83">
        <f t="shared" si="111"/>
        <v>12.531399189637925</v>
      </c>
      <c r="R83">
        <f t="shared" si="111"/>
        <v>12.403916762262918</v>
      </c>
      <c r="S83">
        <f t="shared" si="111"/>
        <v>11.93947216844731</v>
      </c>
      <c r="T83">
        <f t="shared" si="111"/>
        <v>14.083677002381041</v>
      </c>
      <c r="U83">
        <f t="shared" si="111"/>
        <v>13.211446559120928</v>
      </c>
      <c r="V83">
        <f t="shared" si="111"/>
        <v>13.293493733331498</v>
      </c>
      <c r="W83">
        <f t="shared" si="111"/>
        <v>13.269584474813472</v>
      </c>
      <c r="X83">
        <f t="shared" si="111"/>
        <v>13.357491083766391</v>
      </c>
      <c r="Y83">
        <f t="shared" si="111"/>
        <v>13.608735601914569</v>
      </c>
      <c r="Z83">
        <f t="shared" si="111"/>
        <v>13.772081975551075</v>
      </c>
      <c r="AA83">
        <f t="shared" si="111"/>
        <v>13.944745478567395</v>
      </c>
      <c r="AB83">
        <f t="shared" si="112"/>
        <v>14.202864291152865</v>
      </c>
      <c r="AC83">
        <f t="shared" si="112"/>
        <v>14.495181285117964</v>
      </c>
      <c r="AD83">
        <f t="shared" si="112"/>
        <v>14.844134102708811</v>
      </c>
      <c r="AE83">
        <f t="shared" si="112"/>
        <v>15.206308964735832</v>
      </c>
      <c r="AF83">
        <f t="shared" si="112"/>
        <v>15.58932105824691</v>
      </c>
      <c r="AG83">
        <f t="shared" si="112"/>
        <v>16.003857584616576</v>
      </c>
      <c r="AH83">
        <f t="shared" si="112"/>
        <v>16.554761978725963</v>
      </c>
      <c r="AI83">
        <f t="shared" si="112"/>
        <v>16.938851103141737</v>
      </c>
      <c r="AJ83">
        <f t="shared" si="112"/>
        <v>17.324328419360654</v>
      </c>
      <c r="AK83">
        <f t="shared" si="112"/>
        <v>17.726846009374121</v>
      </c>
      <c r="AL83">
        <f t="shared" si="112"/>
        <v>18.144585797295957</v>
      </c>
      <c r="AM83">
        <f t="shared" si="112"/>
        <v>18.614509088239693</v>
      </c>
      <c r="AN83">
        <f t="shared" si="112"/>
        <v>20.861520882593705</v>
      </c>
      <c r="AO83">
        <f t="shared" si="112"/>
        <v>24.066108469221383</v>
      </c>
      <c r="AP83">
        <f t="shared" si="112"/>
        <v>27.678136981970329</v>
      </c>
      <c r="AQ83">
        <f t="shared" si="112"/>
        <v>30.880884511487725</v>
      </c>
    </row>
    <row r="84" spans="1:43" ht="15">
      <c r="A84" s="48" t="str">
        <f>'[4]TS BYDem'!A14</f>
        <v/>
      </c>
      <c r="B84" t="s">
        <v>272</v>
      </c>
      <c r="C84" t="s">
        <v>125</v>
      </c>
      <c r="D84" s="9" t="s">
        <v>319</v>
      </c>
      <c r="E84" t="s">
        <v>125</v>
      </c>
      <c r="F84" t="s">
        <v>125</v>
      </c>
      <c r="G84" t="s">
        <v>125</v>
      </c>
      <c r="I84" t="s">
        <v>125</v>
      </c>
      <c r="J84">
        <v>0</v>
      </c>
      <c r="K84">
        <f>INDEX('[4]TS BYDem'!$J$10:$J$203,MATCH(D84,'[4]TS BYDem'!$D$10:$D$203,0))</f>
        <v>7.6954998524370497</v>
      </c>
      <c r="L84">
        <f t="shared" si="111"/>
        <v>7.9106547816547454</v>
      </c>
      <c r="M84">
        <f t="shared" si="111"/>
        <v>7.9734998629690699</v>
      </c>
      <c r="N84" s="166">
        <f t="shared" si="113"/>
        <v>5.5741217756416299</v>
      </c>
      <c r="O84" s="166">
        <f t="shared" si="114"/>
        <v>5.5741217756416299</v>
      </c>
      <c r="P84" s="288">
        <f>IFERROR(INDEX('BY-DMD'!$I$5:$I$138,MATCH(D84,'BY-DMD'!$H$5:$H$138,0)),"")</f>
        <v>5.5741217756416299</v>
      </c>
      <c r="Q84">
        <f t="shared" si="111"/>
        <v>5.5571973403763701</v>
      </c>
      <c r="R84">
        <f t="shared" si="111"/>
        <v>5.5006637485856853</v>
      </c>
      <c r="S84">
        <f t="shared" si="111"/>
        <v>5.2947002945095845</v>
      </c>
      <c r="T84">
        <f t="shared" si="111"/>
        <v>6.2455733151545347</v>
      </c>
      <c r="U84">
        <f t="shared" si="111"/>
        <v>5.8587723980240307</v>
      </c>
      <c r="V84">
        <f t="shared" si="111"/>
        <v>5.8951571888529273</v>
      </c>
      <c r="W84">
        <f t="shared" si="111"/>
        <v>5.8845543450813702</v>
      </c>
      <c r="X84">
        <f t="shared" si="111"/>
        <v>5.9235375716215168</v>
      </c>
      <c r="Y84">
        <f t="shared" si="111"/>
        <v>6.0349549278886219</v>
      </c>
      <c r="Z84">
        <f t="shared" si="111"/>
        <v>6.1073928112722689</v>
      </c>
      <c r="AA84">
        <f t="shared" si="111"/>
        <v>6.1839624859926925</v>
      </c>
      <c r="AB84">
        <f t="shared" si="112"/>
        <v>6.2984283295185453</v>
      </c>
      <c r="AC84">
        <f t="shared" si="112"/>
        <v>6.4280597614781074</v>
      </c>
      <c r="AD84">
        <f t="shared" si="112"/>
        <v>6.5828070199834618</v>
      </c>
      <c r="AE84">
        <f t="shared" si="112"/>
        <v>6.7434177506408979</v>
      </c>
      <c r="AF84">
        <f t="shared" si="112"/>
        <v>6.9132689983093751</v>
      </c>
      <c r="AG84">
        <f t="shared" si="112"/>
        <v>7.0971001289731603</v>
      </c>
      <c r="AH84">
        <f t="shared" si="112"/>
        <v>7.3414052051595329</v>
      </c>
      <c r="AI84">
        <f t="shared" si="112"/>
        <v>7.5117340749345685</v>
      </c>
      <c r="AJ84">
        <f t="shared" si="112"/>
        <v>7.682678554800674</v>
      </c>
      <c r="AK84">
        <f t="shared" si="112"/>
        <v>7.861179745835047</v>
      </c>
      <c r="AL84">
        <f t="shared" si="112"/>
        <v>8.0464314007602358</v>
      </c>
      <c r="AM84">
        <f t="shared" si="112"/>
        <v>8.2548244479446886</v>
      </c>
      <c r="AN84">
        <f t="shared" si="112"/>
        <v>9.2512884324057278</v>
      </c>
      <c r="AO84">
        <f t="shared" si="112"/>
        <v>10.672400739492405</v>
      </c>
      <c r="AP84">
        <f t="shared" si="112"/>
        <v>12.274197549301958</v>
      </c>
      <c r="AQ84">
        <f t="shared" si="112"/>
        <v>13.694493861277103</v>
      </c>
    </row>
    <row r="85" spans="1:43" ht="15">
      <c r="A85" s="48" t="str">
        <f>'[4]TS BYDem'!A15</f>
        <v/>
      </c>
      <c r="B85" t="s">
        <v>272</v>
      </c>
      <c r="C85" t="s">
        <v>125</v>
      </c>
      <c r="D85" s="9" t="s">
        <v>323</v>
      </c>
      <c r="E85" t="s">
        <v>125</v>
      </c>
      <c r="F85" t="s">
        <v>125</v>
      </c>
      <c r="G85" t="s">
        <v>125</v>
      </c>
      <c r="I85" t="s">
        <v>125</v>
      </c>
      <c r="J85">
        <v>0</v>
      </c>
      <c r="K85">
        <f>INDEX('[4]TS BYDem'!$J$10:$J$203,MATCH(D85,'[4]TS BYDem'!$D$10:$D$203,0))</f>
        <v>15.2945172722485</v>
      </c>
      <c r="L85">
        <f t="shared" si="111"/>
        <v>15.722129622872785</v>
      </c>
      <c r="M85">
        <f t="shared" si="111"/>
        <v>15.847031864451466</v>
      </c>
      <c r="N85" s="166">
        <f t="shared" si="113"/>
        <v>11.078357924751099</v>
      </c>
      <c r="O85" s="166">
        <f t="shared" si="114"/>
        <v>11.078357924751099</v>
      </c>
      <c r="P85" s="288">
        <f>IFERROR(INDEX('BY-DMD'!$I$5:$I$138,MATCH(D85,'BY-DMD'!$H$5:$H$138,0)),"")</f>
        <v>11.078357924751099</v>
      </c>
      <c r="Q85">
        <f t="shared" si="111"/>
        <v>11.044721244554738</v>
      </c>
      <c r="R85">
        <f t="shared" si="111"/>
        <v>10.932362851638773</v>
      </c>
      <c r="S85">
        <f t="shared" si="111"/>
        <v>10.523018213054799</v>
      </c>
      <c r="T85">
        <f t="shared" si="111"/>
        <v>12.412842671093559</v>
      </c>
      <c r="U85">
        <f t="shared" si="111"/>
        <v>11.644090358519538</v>
      </c>
      <c r="V85">
        <f t="shared" si="111"/>
        <v>11.716403765374256</v>
      </c>
      <c r="W85">
        <f t="shared" si="111"/>
        <v>11.695331011127152</v>
      </c>
      <c r="X85">
        <f t="shared" si="111"/>
        <v>11.772808711481785</v>
      </c>
      <c r="Y85">
        <f t="shared" si="111"/>
        <v>11.994246527417268</v>
      </c>
      <c r="Z85">
        <f t="shared" si="111"/>
        <v>12.138214103249972</v>
      </c>
      <c r="AA85">
        <f t="shared" si="111"/>
        <v>12.290393459366923</v>
      </c>
      <c r="AB85">
        <f t="shared" si="112"/>
        <v>12.517890029370003</v>
      </c>
      <c r="AC85">
        <f t="shared" si="112"/>
        <v>12.775527637472086</v>
      </c>
      <c r="AD85">
        <f t="shared" si="112"/>
        <v>13.083082008653539</v>
      </c>
      <c r="AE85">
        <f t="shared" si="112"/>
        <v>13.402289810778395</v>
      </c>
      <c r="AF85">
        <f t="shared" si="112"/>
        <v>13.739862793819359</v>
      </c>
      <c r="AG85">
        <f t="shared" si="112"/>
        <v>14.105220269880361</v>
      </c>
      <c r="AH85">
        <f t="shared" si="112"/>
        <v>14.590767444083365</v>
      </c>
      <c r="AI85">
        <f t="shared" si="112"/>
        <v>14.929289683143878</v>
      </c>
      <c r="AJ85">
        <f t="shared" si="112"/>
        <v>15.269035424166757</v>
      </c>
      <c r="AK85">
        <f t="shared" si="112"/>
        <v>15.623799845158533</v>
      </c>
      <c r="AL85">
        <f t="shared" si="112"/>
        <v>15.991980559900362</v>
      </c>
      <c r="AM85">
        <f t="shared" si="112"/>
        <v>16.406153923644855</v>
      </c>
      <c r="AN85">
        <f t="shared" si="112"/>
        <v>18.386588711995401</v>
      </c>
      <c r="AO85">
        <f t="shared" si="112"/>
        <v>21.210996111556167</v>
      </c>
      <c r="AP85">
        <f t="shared" si="112"/>
        <v>24.394507182186132</v>
      </c>
      <c r="AQ85">
        <f t="shared" si="112"/>
        <v>27.217292822073489</v>
      </c>
    </row>
    <row r="86" spans="1:43" ht="15">
      <c r="A86" s="48" t="str">
        <f>'[4]TS BYDem'!A16</f>
        <v/>
      </c>
      <c r="B86" t="s">
        <v>272</v>
      </c>
      <c r="C86" t="s">
        <v>125</v>
      </c>
      <c r="D86" s="9" t="s">
        <v>318</v>
      </c>
      <c r="E86" t="s">
        <v>125</v>
      </c>
      <c r="F86" t="s">
        <v>125</v>
      </c>
      <c r="G86" t="s">
        <v>125</v>
      </c>
      <c r="I86" t="s">
        <v>125</v>
      </c>
      <c r="J86">
        <v>0</v>
      </c>
      <c r="K86">
        <f>INDEX('[4]TS BYDem'!$J$10:$J$203,MATCH(D86,'[4]TS BYDem'!$D$10:$D$203,0))</f>
        <v>5.8889063414920697</v>
      </c>
      <c r="L86">
        <f t="shared" si="111"/>
        <v>6.0535515564058375</v>
      </c>
      <c r="M86">
        <f t="shared" si="111"/>
        <v>6.1016431430447886</v>
      </c>
      <c r="N86" s="166">
        <f t="shared" si="113"/>
        <v>4.2655424211891404</v>
      </c>
      <c r="O86" s="166">
        <f t="shared" si="114"/>
        <v>4.2655424211891404</v>
      </c>
      <c r="P86" s="288">
        <f>IFERROR(INDEX('BY-DMD'!$I$5:$I$138,MATCH(D86,'BY-DMD'!$H$5:$H$138,0)),"")</f>
        <v>4.2655424211891404</v>
      </c>
      <c r="Q86">
        <f t="shared" si="111"/>
        <v>4.2525911618725418</v>
      </c>
      <c r="R86">
        <f t="shared" si="111"/>
        <v>4.2093293811451913</v>
      </c>
      <c r="S86">
        <f t="shared" si="111"/>
        <v>4.0517178530986726</v>
      </c>
      <c r="T86">
        <f t="shared" si="111"/>
        <v>4.7793641747936109</v>
      </c>
      <c r="U86">
        <f t="shared" si="111"/>
        <v>4.4833685387124262</v>
      </c>
      <c r="V86">
        <f t="shared" si="111"/>
        <v>4.5112116456651599</v>
      </c>
      <c r="W86">
        <f t="shared" si="111"/>
        <v>4.5030979226944039</v>
      </c>
      <c r="X86">
        <f t="shared" si="111"/>
        <v>4.5329294572777474</v>
      </c>
      <c r="Y86">
        <f t="shared" si="111"/>
        <v>4.6181905044423255</v>
      </c>
      <c r="Z86">
        <f t="shared" si="111"/>
        <v>4.6736228894727958</v>
      </c>
      <c r="AA86">
        <f t="shared" si="111"/>
        <v>4.7322170875981184</v>
      </c>
      <c r="AB86">
        <f t="shared" si="112"/>
        <v>4.81981095995849</v>
      </c>
      <c r="AC86">
        <f t="shared" si="112"/>
        <v>4.9190101512211095</v>
      </c>
      <c r="AD86">
        <f t="shared" si="112"/>
        <v>5.0374289842293516</v>
      </c>
      <c r="AE86">
        <f t="shared" si="112"/>
        <v>5.1603347822173431</v>
      </c>
      <c r="AF86">
        <f t="shared" si="112"/>
        <v>5.2903117958857244</v>
      </c>
      <c r="AG86">
        <f t="shared" si="112"/>
        <v>5.4309867789132129</v>
      </c>
      <c r="AH86">
        <f t="shared" si="112"/>
        <v>5.6179388599995406</v>
      </c>
      <c r="AI86">
        <f t="shared" si="112"/>
        <v>5.7482813693350101</v>
      </c>
      <c r="AJ86">
        <f t="shared" si="112"/>
        <v>5.8790949682993157</v>
      </c>
      <c r="AK86">
        <f t="shared" si="112"/>
        <v>6.0156912669157485</v>
      </c>
      <c r="AL86">
        <f t="shared" si="112"/>
        <v>6.1574532923045693</v>
      </c>
      <c r="AM86">
        <f t="shared" si="112"/>
        <v>6.3169240428236204</v>
      </c>
      <c r="AN86">
        <f t="shared" si="112"/>
        <v>7.0794584057217929</v>
      </c>
      <c r="AO86">
        <f t="shared" si="112"/>
        <v>8.1669507632877387</v>
      </c>
      <c r="AP86">
        <f t="shared" si="112"/>
        <v>9.3927101774838171</v>
      </c>
      <c r="AQ86">
        <f t="shared" si="112"/>
        <v>10.479578102734894</v>
      </c>
    </row>
    <row r="87" spans="1:43" ht="15">
      <c r="A87" s="48" t="str">
        <f>'[4]TS BYDem'!A17</f>
        <v/>
      </c>
      <c r="B87" t="s">
        <v>272</v>
      </c>
      <c r="C87" t="s">
        <v>125</v>
      </c>
      <c r="D87" s="9" t="s">
        <v>322</v>
      </c>
      <c r="E87" t="s">
        <v>125</v>
      </c>
      <c r="F87" t="s">
        <v>125</v>
      </c>
      <c r="G87" t="s">
        <v>125</v>
      </c>
      <c r="I87" t="s">
        <v>125</v>
      </c>
      <c r="J87">
        <v>0</v>
      </c>
      <c r="K87">
        <f>INDEX('[4]TS BYDem'!$J$10:$J$203,MATCH(D87,'[4]TS BYDem'!$D$10:$D$203,0))</f>
        <v>28.894976807848298</v>
      </c>
      <c r="L87">
        <f t="shared" si="111"/>
        <v>29.702838130575859</v>
      </c>
      <c r="M87">
        <f t="shared" si="111"/>
        <v>29.938808139267326</v>
      </c>
      <c r="N87" s="166">
        <f t="shared" si="113"/>
        <v>20.9296501227637</v>
      </c>
      <c r="O87" s="166">
        <f t="shared" si="114"/>
        <v>20.9296501227637</v>
      </c>
      <c r="P87" s="288">
        <f>IFERROR(INDEX('BY-DMD'!$I$5:$I$138,MATCH(D87,'BY-DMD'!$H$5:$H$138,0)),"")</f>
        <v>20.9296501227637</v>
      </c>
      <c r="Q87">
        <f t="shared" si="111"/>
        <v>20.866102442450156</v>
      </c>
      <c r="R87">
        <f t="shared" si="111"/>
        <v>20.653830744057636</v>
      </c>
      <c r="S87">
        <f t="shared" si="111"/>
        <v>19.880481469428183</v>
      </c>
      <c r="T87">
        <f t="shared" si="111"/>
        <v>23.450808856289665</v>
      </c>
      <c r="U87">
        <f t="shared" si="111"/>
        <v>21.998453097202631</v>
      </c>
      <c r="V87">
        <f t="shared" si="111"/>
        <v>22.135070303013691</v>
      </c>
      <c r="W87">
        <f t="shared" si="111"/>
        <v>22.095258863763341</v>
      </c>
      <c r="X87">
        <f t="shared" si="111"/>
        <v>22.241632646931684</v>
      </c>
      <c r="Y87">
        <f t="shared" si="111"/>
        <v>22.659981290562708</v>
      </c>
      <c r="Z87">
        <f t="shared" si="111"/>
        <v>22.931970245213552</v>
      </c>
      <c r="AA87">
        <f t="shared" si="111"/>
        <v>23.219473203781018</v>
      </c>
      <c r="AB87">
        <f t="shared" si="112"/>
        <v>23.649268273288147</v>
      </c>
      <c r="AC87">
        <f t="shared" si="112"/>
        <v>24.136006924690175</v>
      </c>
      <c r="AD87">
        <f t="shared" si="112"/>
        <v>24.717050200803591</v>
      </c>
      <c r="AE87">
        <f t="shared" si="112"/>
        <v>25.320109576598199</v>
      </c>
      <c r="AF87">
        <f t="shared" si="112"/>
        <v>25.957865142354009</v>
      </c>
      <c r="AG87">
        <f t="shared" si="112"/>
        <v>26.648112216481159</v>
      </c>
      <c r="AH87">
        <f t="shared" si="112"/>
        <v>27.565426185139</v>
      </c>
      <c r="AI87">
        <f t="shared" si="112"/>
        <v>28.204975121040551</v>
      </c>
      <c r="AJ87">
        <f t="shared" si="112"/>
        <v>28.846835542829343</v>
      </c>
      <c r="AK87">
        <f t="shared" si="112"/>
        <v>29.517069819226361</v>
      </c>
      <c r="AL87">
        <f t="shared" si="112"/>
        <v>30.212650661968333</v>
      </c>
      <c r="AM87">
        <f t="shared" si="112"/>
        <v>30.995122545637422</v>
      </c>
      <c r="AN87">
        <f t="shared" si="112"/>
        <v>34.736634373714402</v>
      </c>
      <c r="AO87">
        <f t="shared" si="112"/>
        <v>40.072610975885773</v>
      </c>
      <c r="AP87">
        <f t="shared" si="112"/>
        <v>46.087019728772056</v>
      </c>
      <c r="AQ87">
        <f t="shared" si="112"/>
        <v>51.419932441621732</v>
      </c>
    </row>
    <row r="88" spans="1:43" ht="15">
      <c r="A88" s="48" t="str">
        <f>'[4]TS BYDem'!A18</f>
        <v/>
      </c>
      <c r="B88" t="s">
        <v>272</v>
      </c>
      <c r="C88" t="s">
        <v>125</v>
      </c>
      <c r="D88" s="9" t="s">
        <v>317</v>
      </c>
      <c r="E88" t="s">
        <v>125</v>
      </c>
      <c r="F88" t="s">
        <v>125</v>
      </c>
      <c r="G88" t="s">
        <v>125</v>
      </c>
      <c r="I88" t="s">
        <v>125</v>
      </c>
      <c r="J88">
        <v>0</v>
      </c>
      <c r="K88">
        <f>INDEX('[4]TS BYDem'!$J$10:$J$203,MATCH(D88,'[4]TS BYDem'!$D$10:$D$203,0))</f>
        <v>0.18682963530638799</v>
      </c>
      <c r="L88">
        <f t="shared" si="111"/>
        <v>0.19205311886572871</v>
      </c>
      <c r="M88">
        <f t="shared" si="111"/>
        <v>0.19357885778430425</v>
      </c>
      <c r="N88" s="166">
        <f t="shared" si="113"/>
        <v>0.13532728977530001</v>
      </c>
      <c r="O88" s="166">
        <f t="shared" si="114"/>
        <v>0.13532728977530001</v>
      </c>
      <c r="P88" s="288">
        <f>IFERROR(INDEX('BY-DMD'!$I$5:$I$138,MATCH(D88,'BY-DMD'!$H$5:$H$138,0)),"")</f>
        <v>0.13532728977530001</v>
      </c>
      <c r="Q88">
        <f t="shared" si="111"/>
        <v>0.13491640209691566</v>
      </c>
      <c r="R88">
        <f t="shared" si="111"/>
        <v>0.13354389211844181</v>
      </c>
      <c r="S88">
        <f t="shared" si="111"/>
        <v>0.12854355715003868</v>
      </c>
      <c r="T88">
        <f t="shared" si="111"/>
        <v>0.15162864104014115</v>
      </c>
      <c r="U88">
        <f t="shared" si="111"/>
        <v>0.14223797432980612</v>
      </c>
      <c r="V88">
        <f t="shared" si="111"/>
        <v>0.14312131619604102</v>
      </c>
      <c r="W88">
        <f t="shared" si="111"/>
        <v>0.14286390271114266</v>
      </c>
      <c r="X88">
        <f t="shared" si="111"/>
        <v>0.14381032882214512</v>
      </c>
      <c r="Y88">
        <f t="shared" si="111"/>
        <v>0.14651529463818541</v>
      </c>
      <c r="Z88">
        <f t="shared" si="111"/>
        <v>0.14827392547366616</v>
      </c>
      <c r="AA88">
        <f t="shared" si="111"/>
        <v>0.15013286702104536</v>
      </c>
      <c r="AB88">
        <f t="shared" si="112"/>
        <v>0.1529118433333119</v>
      </c>
      <c r="AC88">
        <f t="shared" si="112"/>
        <v>0.15605900643144127</v>
      </c>
      <c r="AD88">
        <f t="shared" si="112"/>
        <v>0.15981592598515462</v>
      </c>
      <c r="AE88">
        <f t="shared" si="112"/>
        <v>0.16371519761278239</v>
      </c>
      <c r="AF88">
        <f t="shared" si="112"/>
        <v>0.16783880845895599</v>
      </c>
      <c r="AG88">
        <f t="shared" si="112"/>
        <v>0.172301819797849</v>
      </c>
      <c r="AH88">
        <f t="shared" si="112"/>
        <v>0.17823300414748486</v>
      </c>
      <c r="AI88">
        <f t="shared" si="112"/>
        <v>0.18236821059702324</v>
      </c>
      <c r="AJ88">
        <f t="shared" si="112"/>
        <v>0.18651836269155039</v>
      </c>
      <c r="AK88">
        <f t="shared" si="112"/>
        <v>0.19085197494055156</v>
      </c>
      <c r="AL88">
        <f t="shared" si="112"/>
        <v>0.19534947345179091</v>
      </c>
      <c r="AM88">
        <f t="shared" si="112"/>
        <v>0.20040879354176905</v>
      </c>
      <c r="AN88">
        <f t="shared" si="112"/>
        <v>0.22460072472007328</v>
      </c>
      <c r="AO88">
        <f t="shared" si="112"/>
        <v>0.25910217350878884</v>
      </c>
      <c r="AP88">
        <f t="shared" si="112"/>
        <v>0.29799024050249873</v>
      </c>
      <c r="AQ88">
        <f t="shared" si="112"/>
        <v>0.33247187874322881</v>
      </c>
    </row>
    <row r="89" spans="1:43" ht="15">
      <c r="A89" s="48" t="str">
        <f>'[4]TS BYDem'!A20</f>
        <v/>
      </c>
      <c r="B89" t="s">
        <v>272</v>
      </c>
      <c r="C89" t="s">
        <v>125</v>
      </c>
      <c r="D89" s="9" t="s">
        <v>325</v>
      </c>
      <c r="E89" t="s">
        <v>125</v>
      </c>
      <c r="F89" t="s">
        <v>125</v>
      </c>
      <c r="G89" t="s">
        <v>125</v>
      </c>
      <c r="I89" t="s">
        <v>125</v>
      </c>
      <c r="J89">
        <v>0</v>
      </c>
      <c r="K89">
        <f>INDEX('[4]TS BYDem'!$J$10:$J$203,MATCH(D89,'[4]TS BYDem'!$D$10:$D$203,0))</f>
        <v>20.275122960000001</v>
      </c>
      <c r="L89">
        <f t="shared" si="111"/>
        <v>20.841985766703505</v>
      </c>
      <c r="M89">
        <f t="shared" si="111"/>
        <v>21.007561983390147</v>
      </c>
      <c r="N89" s="166">
        <f t="shared" si="115" ref="N89">P89</f>
        <v>25.233177191199999</v>
      </c>
      <c r="O89" s="166">
        <f t="shared" si="114"/>
        <v>25.233177191199999</v>
      </c>
      <c r="P89" s="288">
        <f>IFERROR(INDEX('BY-DMD'!$I$5:$I$138,MATCH(D89,'BY-DMD'!$H$5:$H$138,0)),"")</f>
        <v>25.233177191199999</v>
      </c>
      <c r="Q89">
        <f t="shared" si="111"/>
        <v>25.156562920629973</v>
      </c>
      <c r="R89">
        <f t="shared" si="111"/>
        <v>24.900644195433998</v>
      </c>
      <c r="S89">
        <f t="shared" si="111"/>
        <v>23.968279862396869</v>
      </c>
      <c r="T89">
        <f t="shared" si="111"/>
        <v>28.27273326008098</v>
      </c>
      <c r="U89">
        <f t="shared" si="111"/>
        <v>26.521746024329538</v>
      </c>
      <c r="V89">
        <f t="shared" si="111"/>
        <v>26.686454279908439</v>
      </c>
      <c r="W89">
        <f t="shared" si="111"/>
        <v>26.638456864999522</v>
      </c>
      <c r="X89">
        <f t="shared" si="111"/>
        <v>26.81492783251063</v>
      </c>
      <c r="Y89">
        <f t="shared" si="111"/>
        <v>27.319296772771054</v>
      </c>
      <c r="Z89">
        <f t="shared" si="111"/>
        <v>27.647211737736928</v>
      </c>
      <c r="AA89">
        <f t="shared" si="111"/>
        <v>27.993830675653943</v>
      </c>
      <c r="AB89">
        <f t="shared" si="112"/>
        <v>28.511999640790254</v>
      </c>
      <c r="AC89">
        <f t="shared" si="112"/>
        <v>29.09882085206673</v>
      </c>
      <c r="AD89">
        <f t="shared" si="112"/>
        <v>29.799337480673856</v>
      </c>
      <c r="AE89">
        <f t="shared" si="112"/>
        <v>30.526397130356639</v>
      </c>
      <c r="AF89">
        <f t="shared" si="112"/>
        <v>31.295287154843365</v>
      </c>
      <c r="AG89">
        <f t="shared" si="112"/>
        <v>32.127461922457584</v>
      </c>
      <c r="AH89">
        <f t="shared" si="112"/>
        <v>33.233392780132604</v>
      </c>
      <c r="AI89">
        <f t="shared" si="112"/>
        <v>34.00444492517039</v>
      </c>
      <c r="AJ89">
        <f t="shared" si="112"/>
        <v>34.77828384077651</v>
      </c>
      <c r="AK89">
        <f t="shared" si="112"/>
        <v>35.586330805572523</v>
      </c>
      <c r="AL89">
        <f t="shared" si="112"/>
        <v>36.424936064273076</v>
      </c>
      <c r="AM89">
        <f t="shared" si="112"/>
        <v>37.368298785194995</v>
      </c>
      <c r="AN89">
        <f t="shared" si="112"/>
        <v>41.879135343239206</v>
      </c>
      <c r="AO89">
        <f t="shared" si="112"/>
        <v>48.312288420377612</v>
      </c>
      <c r="AP89">
        <f t="shared" si="112"/>
        <v>55.56337197274059</v>
      </c>
      <c r="AQ89">
        <f t="shared" si="112"/>
        <v>61.992831167673842</v>
      </c>
    </row>
    <row r="90" spans="1:43" ht="15">
      <c r="A90" s="48" t="str">
        <f>'[4]TS BYDem'!A27</f>
        <v/>
      </c>
      <c r="B90" t="s">
        <v>272</v>
      </c>
      <c r="C90" t="s">
        <v>125</v>
      </c>
      <c r="D90" s="9" t="s">
        <v>324</v>
      </c>
      <c r="E90" t="s">
        <v>125</v>
      </c>
      <c r="F90" t="s">
        <v>125</v>
      </c>
      <c r="G90" t="s">
        <v>125</v>
      </c>
      <c r="I90" t="s">
        <v>125</v>
      </c>
      <c r="J90">
        <v>0</v>
      </c>
      <c r="K90">
        <f>INDEX('[4]TS BYDem'!$J$10:$J$203,MATCH(D90,'[4]TS BYDem'!$D$10:$D$203,0))</f>
        <v>51.4885232177635</v>
      </c>
      <c r="L90">
        <f t="shared" si="116" ref="L90:AA90">L$79/K$79*K90</f>
        <v>52.928067078573704</v>
      </c>
      <c r="M90">
        <f t="shared" si="116"/>
        <v>53.348546643309206</v>
      </c>
      <c r="N90" s="166">
        <f t="shared" si="117" ref="N90">P90</f>
        <v>25.406351025250501</v>
      </c>
      <c r="O90" s="166">
        <f t="shared" si="118" ref="O90">P90</f>
        <v>25.406351025250501</v>
      </c>
      <c r="P90" s="288">
        <f>IFERROR(INDEX('BY-DMD'!$I$5:$I$138,MATCH(D90,'BY-DMD'!$H$5:$H$138,0)),"")</f>
        <v>25.406351025250501</v>
      </c>
      <c r="Q90">
        <f t="shared" si="116"/>
        <v>25.329210955377555</v>
      </c>
      <c r="R90">
        <f t="shared" si="116"/>
        <v>25.071535874788374</v>
      </c>
      <c r="S90">
        <f t="shared" si="116"/>
        <v>24.132772779317943</v>
      </c>
      <c r="T90">
        <f t="shared" si="116"/>
        <v>28.466767391440502</v>
      </c>
      <c r="U90">
        <f t="shared" si="116"/>
        <v>26.703763231673072</v>
      </c>
      <c r="V90">
        <f t="shared" si="116"/>
        <v>26.869601870473328</v>
      </c>
      <c r="W90">
        <f t="shared" si="116"/>
        <v>26.821275052084964</v>
      </c>
      <c r="X90">
        <f t="shared" si="116"/>
        <v>26.998957129628348</v>
      </c>
      <c r="Y90">
        <f t="shared" si="116"/>
        <v>27.506787524722583</v>
      </c>
      <c r="Z90">
        <f t="shared" si="116"/>
        <v>27.836952951106589</v>
      </c>
      <c r="AA90">
        <f t="shared" si="116"/>
        <v>28.185950714725131</v>
      </c>
      <c r="AB90">
        <f t="shared" si="119" ref="AB90:AP90">AB$79/AA$79*AA90</f>
        <v>28.707675843466948</v>
      </c>
      <c r="AC90">
        <f t="shared" si="119"/>
        <v>29.298524374739195</v>
      </c>
      <c r="AD90">
        <f t="shared" si="119"/>
        <v>30.003848608408212</v>
      </c>
      <c r="AE90">
        <f t="shared" si="119"/>
        <v>30.735898026369675</v>
      </c>
      <c r="AF90">
        <f t="shared" si="119"/>
        <v>31.510064898575362</v>
      </c>
      <c r="AG90">
        <f t="shared" si="119"/>
        <v>32.347950833436407</v>
      </c>
      <c r="AH90">
        <f t="shared" si="119"/>
        <v>33.461471630553739</v>
      </c>
      <c r="AI90">
        <f t="shared" si="119"/>
        <v>34.237815461818641</v>
      </c>
      <c r="AJ90">
        <f t="shared" si="119"/>
        <v>35.016965189096929</v>
      </c>
      <c r="AK90">
        <f t="shared" si="119"/>
        <v>35.830557733426041</v>
      </c>
      <c r="AL90">
        <f t="shared" si="119"/>
        <v>36.674918291461424</v>
      </c>
      <c r="AM90">
        <f t="shared" si="119"/>
        <v>37.62475525611589</v>
      </c>
      <c r="AN90">
        <f t="shared" si="119"/>
        <v>42.166549424278422</v>
      </c>
      <c r="AO90">
        <f t="shared" si="119"/>
        <v>48.643852858502676</v>
      </c>
      <c r="AP90">
        <f t="shared" si="119"/>
        <v>55.94470017744441</v>
      </c>
      <c r="AQ90">
        <f t="shared" si="120" ref="AQ90">AQ$79/AP$79*AP90</f>
        <v>62.418284378563804</v>
      </c>
    </row>
    <row r="91" spans="1:43" s="8" customFormat="1" ht="15">
      <c r="A91" s="48" t="str">
        <f>'[4]TS BYDem'!A70</f>
        <v>*</v>
      </c>
      <c r="C91" s="7" t="s">
        <v>762</v>
      </c>
      <c r="D91" s="7" t="s">
        <v>740</v>
      </c>
      <c r="K91" s="8">
        <f t="shared" si="121" ref="K91:AB91">SUMIF($B$10:$B$25,$D91,K$10:K$25)*SUMIF($B$10:$B$25,$D91,K$47:K$62)</f>
        <v>72.107894835057621</v>
      </c>
      <c r="L91" s="8">
        <f t="shared" si="121"/>
        <v>74.266300997437128</v>
      </c>
      <c r="M91" s="8">
        <f t="shared" si="121"/>
        <v>75.801027741220466</v>
      </c>
      <c r="N91" s="8">
        <f t="shared" si="121"/>
        <v>76.644854367250801</v>
      </c>
      <c r="O91" s="8">
        <f t="shared" si="121"/>
        <v>77.466834349241523</v>
      </c>
      <c r="P91" s="8">
        <f t="shared" si="121"/>
        <v>78.131791577197461</v>
      </c>
      <c r="Q91" s="8">
        <f t="shared" si="121"/>
        <v>79.016580660802092</v>
      </c>
      <c r="R91" s="8">
        <f t="shared" si="121"/>
        <v>78.849999999999994</v>
      </c>
      <c r="S91" s="8">
        <f t="shared" si="121"/>
        <v>77.700000000000003</v>
      </c>
      <c r="T91" s="8">
        <f t="shared" si="121"/>
        <v>82.753256042111019</v>
      </c>
      <c r="U91" s="7">
        <f t="shared" si="121"/>
        <v>89.395838150049386</v>
      </c>
      <c r="V91" s="8">
        <f t="shared" si="121"/>
        <v>87.739636677571283</v>
      </c>
      <c r="W91" s="8">
        <f t="shared" si="121"/>
        <v>87.702790955176141</v>
      </c>
      <c r="X91" s="8">
        <f t="shared" si="121"/>
        <v>88.051696533293821</v>
      </c>
      <c r="Y91" s="8">
        <f t="shared" si="121"/>
        <v>89.089743103937465</v>
      </c>
      <c r="Z91" s="8">
        <f t="shared" si="121"/>
        <v>90.501262613264259</v>
      </c>
      <c r="AA91" s="8">
        <f t="shared" si="121"/>
        <v>92.524512869880013</v>
      </c>
      <c r="AB91" s="8">
        <f t="shared" si="121"/>
        <v>94.555017489107215</v>
      </c>
      <c r="AC91" s="8">
        <f>SUMIF($B$10:$B$25,$D91,AC$10:AC$25)*SUMIF($B$10:$B$25,$D91,AC$46:AC$62)</f>
        <v>97.370246061885936</v>
      </c>
      <c r="AD91" s="8">
        <f t="shared" si="122" ref="AD91:AQ91">SUMIF($B$10:$B$25,$D91,AD$10:AD$25)*SUMIF($B$10:$B$25,$D91,AD$47:AD$62)</f>
        <v>100.34120480604236</v>
      </c>
      <c r="AE91" s="8">
        <f t="shared" si="122"/>
        <v>103.35479000417058</v>
      </c>
      <c r="AF91" s="8">
        <f t="shared" si="122"/>
        <v>106.5663758251315</v>
      </c>
      <c r="AG91" s="8">
        <f t="shared" si="122"/>
        <v>110.66597123273992</v>
      </c>
      <c r="AH91" s="8">
        <f t="shared" si="122"/>
        <v>114.9776031810505</v>
      </c>
      <c r="AI91" s="8">
        <f t="shared" si="122"/>
        <v>117.89596263922971</v>
      </c>
      <c r="AJ91" s="8">
        <f t="shared" si="122"/>
        <v>121.16247158937216</v>
      </c>
      <c r="AK91" s="8">
        <f t="shared" si="122"/>
        <v>124.59418949623409</v>
      </c>
      <c r="AL91" s="8">
        <f t="shared" si="122"/>
        <v>126.70812926730011</v>
      </c>
      <c r="AM91" s="8">
        <f t="shared" si="122"/>
        <v>130.39590265112787</v>
      </c>
      <c r="AN91" s="8">
        <f t="shared" si="122"/>
        <v>150.26953593639826</v>
      </c>
      <c r="AO91" s="8">
        <f t="shared" si="122"/>
        <v>170.10242637450975</v>
      </c>
      <c r="AP91" s="8">
        <f t="shared" si="122"/>
        <v>197.06374567745283</v>
      </c>
      <c r="AQ91" s="8">
        <f t="shared" si="122"/>
        <v>220.66816692504625</v>
      </c>
    </row>
    <row r="92" spans="1:43" ht="15">
      <c r="A92" s="48" t="str">
        <f>'[4]TS BYDem'!A73</f>
        <v/>
      </c>
      <c r="B92" t="s">
        <v>272</v>
      </c>
      <c r="C92" t="s">
        <v>125</v>
      </c>
      <c r="D92" s="9" t="s">
        <v>299</v>
      </c>
      <c r="E92" t="s">
        <v>125</v>
      </c>
      <c r="F92" t="s">
        <v>125</v>
      </c>
      <c r="G92" t="s">
        <v>125</v>
      </c>
      <c r="I92" t="s">
        <v>125</v>
      </c>
      <c r="J92">
        <v>0</v>
      </c>
      <c r="K92">
        <f>INDEX('[4]TS BYDem'!$J$10:$J$203,MATCH(D92,'[4]TS BYDem'!$D$10:$D$203,0))</f>
        <v>0.55647663194961805</v>
      </c>
      <c r="L92">
        <f t="shared" si="123" ref="L92:L102">L$91/K$91*K92</f>
        <v>0.5731336511895736</v>
      </c>
      <c r="M92">
        <f t="shared" si="124" ref="M92:AB92">M$91/L$91*L92</f>
        <v>0.58497756330623041</v>
      </c>
      <c r="N92" s="166">
        <f t="shared" si="125" ref="N92:N100">P92</f>
        <v>0.80918000000000001</v>
      </c>
      <c r="O92" s="166">
        <f t="shared" si="126" ref="O92:O100">P92</f>
        <v>0.80918000000000001</v>
      </c>
      <c r="P92" s="288">
        <f>IFERROR(INDEX('BY-DMD'!$I$5:$I$138,MATCH(D92,'BY-DMD'!$H$5:$H$138,0)),"")</f>
        <v>0.80918000000000001</v>
      </c>
      <c r="Q92">
        <f t="shared" si="124"/>
        <v>0.81834340987731991</v>
      </c>
      <c r="R92">
        <f t="shared" si="124"/>
        <v>0.81661819999300977</v>
      </c>
      <c r="S92">
        <f t="shared" si="124"/>
        <v>0.804708105763562</v>
      </c>
      <c r="T92">
        <f t="shared" si="124"/>
        <v>0.85704267587405669</v>
      </c>
      <c r="U92">
        <f t="shared" si="124"/>
        <v>0.92583726616309159</v>
      </c>
      <c r="V92">
        <f t="shared" si="124"/>
        <v>0.90868464390207904</v>
      </c>
      <c r="W92">
        <f t="shared" si="124"/>
        <v>0.90830304735801104</v>
      </c>
      <c r="X92">
        <f t="shared" si="124"/>
        <v>0.9119165241515429</v>
      </c>
      <c r="Y92">
        <f t="shared" si="124"/>
        <v>0.92266716108277846</v>
      </c>
      <c r="Z92">
        <f t="shared" si="124"/>
        <v>0.93728570922433152</v>
      </c>
      <c r="AA92">
        <f t="shared" si="124"/>
        <v>0.95823971027306909</v>
      </c>
      <c r="AB92">
        <f t="shared" si="124"/>
        <v>0.97926884188030838</v>
      </c>
      <c r="AC92">
        <f t="shared" si="127" ref="AB92:AQ101">AC$91/AB$91*AB92</f>
        <v>1.0084250484709418</v>
      </c>
      <c r="AD92">
        <f t="shared" si="127"/>
        <v>1.039194090727207</v>
      </c>
      <c r="AE92">
        <f t="shared" si="127"/>
        <v>1.0704045982734474</v>
      </c>
      <c r="AF92">
        <f t="shared" si="127"/>
        <v>1.1036657197983197</v>
      </c>
      <c r="AG92">
        <f t="shared" si="127"/>
        <v>1.1461236046741701</v>
      </c>
      <c r="AH92">
        <f t="shared" si="127"/>
        <v>1.1907774679672802</v>
      </c>
      <c r="AI92">
        <f t="shared" si="127"/>
        <v>1.2210017602649452</v>
      </c>
      <c r="AJ92">
        <f t="shared" si="127"/>
        <v>1.2548316988714943</v>
      </c>
      <c r="AK92">
        <f t="shared" si="127"/>
        <v>1.2903726411668066</v>
      </c>
      <c r="AL92">
        <f t="shared" si="127"/>
        <v>1.3122658775744358</v>
      </c>
      <c r="AM92">
        <f t="shared" si="127"/>
        <v>1.3504586849642082</v>
      </c>
      <c r="AN92">
        <f t="shared" si="127"/>
        <v>1.5562820285373047</v>
      </c>
      <c r="AO92">
        <f t="shared" si="127"/>
        <v>1.7616834145896725</v>
      </c>
      <c r="AP92">
        <f t="shared" si="127"/>
        <v>2.040911113240353</v>
      </c>
      <c r="AQ92">
        <f t="shared" si="127"/>
        <v>2.2853727491450644</v>
      </c>
    </row>
    <row r="93" spans="1:43" ht="15">
      <c r="A93" s="48" t="str">
        <f>'[4]TS BYDem'!A74</f>
        <v/>
      </c>
      <c r="B93" t="s">
        <v>272</v>
      </c>
      <c r="C93" t="s">
        <v>125</v>
      </c>
      <c r="D93" s="9" t="s">
        <v>294</v>
      </c>
      <c r="E93" t="s">
        <v>125</v>
      </c>
      <c r="F93" t="s">
        <v>125</v>
      </c>
      <c r="G93" t="s">
        <v>125</v>
      </c>
      <c r="I93" t="s">
        <v>125</v>
      </c>
      <c r="J93">
        <v>0</v>
      </c>
      <c r="K93">
        <f>INDEX('[4]TS BYDem'!$J$10:$J$203,MATCH(D93,'[4]TS BYDem'!$D$10:$D$203,0))</f>
        <v>0.208678736981107</v>
      </c>
      <c r="L93">
        <f t="shared" si="123"/>
        <v>0.21492511919609036</v>
      </c>
      <c r="M93">
        <f t="shared" si="128" ref="M93:M102">M$91/L$91*L93</f>
        <v>0.21936658623983668</v>
      </c>
      <c r="N93" s="166">
        <f t="shared" si="125"/>
        <v>0.3034425</v>
      </c>
      <c r="O93" s="166">
        <f t="shared" si="126"/>
        <v>0.3034425</v>
      </c>
      <c r="P93" s="288">
        <f>IFERROR(INDEX('BY-DMD'!$I$5:$I$138,MATCH(D93,'BY-DMD'!$H$5:$H$138,0)),"")</f>
        <v>0.3034425</v>
      </c>
      <c r="Q93">
        <f t="shared" si="129" ref="Q93:AA93">Q$91/P$91*P93</f>
        <v>0.30687877870399499</v>
      </c>
      <c r="R93">
        <f t="shared" si="129"/>
        <v>0.30623182499737867</v>
      </c>
      <c r="S93">
        <f t="shared" si="129"/>
        <v>0.30176553966133574</v>
      </c>
      <c r="T93">
        <f t="shared" si="129"/>
        <v>0.32139100345277122</v>
      </c>
      <c r="U93">
        <f t="shared" si="129"/>
        <v>0.34718897481115929</v>
      </c>
      <c r="V93">
        <f t="shared" si="129"/>
        <v>0.34075674146327956</v>
      </c>
      <c r="W93">
        <f t="shared" si="129"/>
        <v>0.34061364275925404</v>
      </c>
      <c r="X93">
        <f t="shared" si="129"/>
        <v>0.34196869655682849</v>
      </c>
      <c r="Y93">
        <f t="shared" si="129"/>
        <v>0.34600018540604183</v>
      </c>
      <c r="Z93">
        <f t="shared" si="129"/>
        <v>0.35148214095912422</v>
      </c>
      <c r="AA93">
        <f t="shared" si="129"/>
        <v>0.3593398913524008</v>
      </c>
      <c r="AB93">
        <f t="shared" si="127"/>
        <v>0.36722581570511553</v>
      </c>
      <c r="AC93">
        <f t="shared" si="127"/>
        <v>0.37815939317660308</v>
      </c>
      <c r="AD93">
        <f t="shared" si="127"/>
        <v>0.38969778402270255</v>
      </c>
      <c r="AE93">
        <f t="shared" si="127"/>
        <v>0.40140172435254268</v>
      </c>
      <c r="AF93">
        <f t="shared" si="127"/>
        <v>0.41387464492436976</v>
      </c>
      <c r="AG93">
        <f t="shared" si="127"/>
        <v>0.42979635175281361</v>
      </c>
      <c r="AH93">
        <f t="shared" si="127"/>
        <v>0.44654155048772992</v>
      </c>
      <c r="AI93">
        <f t="shared" si="127"/>
        <v>0.45787566009935426</v>
      </c>
      <c r="AJ93">
        <f t="shared" si="127"/>
        <v>0.47056188707681013</v>
      </c>
      <c r="AK93">
        <f t="shared" si="127"/>
        <v>0.48388974043755223</v>
      </c>
      <c r="AL93">
        <f t="shared" si="127"/>
        <v>0.4920997040904132</v>
      </c>
      <c r="AM93">
        <f t="shared" si="127"/>
        <v>0.50642200686157779</v>
      </c>
      <c r="AN93">
        <f t="shared" si="127"/>
        <v>0.58360576070148895</v>
      </c>
      <c r="AO93">
        <f t="shared" si="127"/>
        <v>0.66063128047112685</v>
      </c>
      <c r="AP93">
        <f t="shared" si="127"/>
        <v>0.76534166746513199</v>
      </c>
      <c r="AQ93">
        <f t="shared" si="127"/>
        <v>0.85701478092939876</v>
      </c>
    </row>
    <row r="94" spans="1:43" ht="15">
      <c r="A94" s="48" t="str">
        <f>'[4]TS BYDem'!A75</f>
        <v/>
      </c>
      <c r="B94" t="s">
        <v>272</v>
      </c>
      <c r="C94" t="s">
        <v>125</v>
      </c>
      <c r="D94" s="9" t="s">
        <v>300</v>
      </c>
      <c r="E94" t="s">
        <v>125</v>
      </c>
      <c r="F94" t="s">
        <v>125</v>
      </c>
      <c r="G94" t="s">
        <v>125</v>
      </c>
      <c r="I94" t="s">
        <v>125</v>
      </c>
      <c r="J94">
        <v>0</v>
      </c>
      <c r="K94">
        <f>INDEX('[4]TS BYDem'!$J$10:$J$203,MATCH(D94,'[4]TS BYDem'!$D$10:$D$203,0))</f>
        <v>0.33388597916977097</v>
      </c>
      <c r="L94">
        <f t="shared" si="123"/>
        <v>0.34388019071374432</v>
      </c>
      <c r="M94">
        <f t="shared" si="128"/>
        <v>0.35098653798373841</v>
      </c>
      <c r="N94" s="166">
        <f t="shared" si="125"/>
        <v>0.485508</v>
      </c>
      <c r="O94" s="166">
        <f t="shared" si="126"/>
        <v>0.485508</v>
      </c>
      <c r="P94" s="288">
        <f>IFERROR(INDEX('BY-DMD'!$I$5:$I$138,MATCH(D94,'BY-DMD'!$H$5:$H$138,0)),"")</f>
        <v>0.485508</v>
      </c>
      <c r="Q94">
        <f t="shared" si="130" ref="Q94:AA94">Q$91/P$91*P94</f>
        <v>0.49100604592639197</v>
      </c>
      <c r="R94">
        <f t="shared" si="130"/>
        <v>0.48997091999580583</v>
      </c>
      <c r="S94">
        <f t="shared" si="130"/>
        <v>0.48282486345813719</v>
      </c>
      <c r="T94">
        <f t="shared" si="130"/>
        <v>0.51422560552443397</v>
      </c>
      <c r="U94">
        <f t="shared" si="130"/>
        <v>0.55550235969785489</v>
      </c>
      <c r="V94">
        <f t="shared" si="130"/>
        <v>0.54521078634124731</v>
      </c>
      <c r="W94">
        <f t="shared" si="130"/>
        <v>0.54498182841480647</v>
      </c>
      <c r="X94">
        <f t="shared" si="130"/>
        <v>0.54714991449092554</v>
      </c>
      <c r="Y94">
        <f t="shared" si="130"/>
        <v>0.55360029664966692</v>
      </c>
      <c r="Z94">
        <f t="shared" si="130"/>
        <v>0.56237142553459873</v>
      </c>
      <c r="AA94">
        <f t="shared" si="130"/>
        <v>0.57494382616384121</v>
      </c>
      <c r="AB94">
        <f t="shared" si="127"/>
        <v>0.58756130512818472</v>
      </c>
      <c r="AC94">
        <f t="shared" si="127"/>
        <v>0.60505502908256481</v>
      </c>
      <c r="AD94">
        <f t="shared" si="127"/>
        <v>0.62351645443632397</v>
      </c>
      <c r="AE94">
        <f t="shared" si="127"/>
        <v>0.64224275896406813</v>
      </c>
      <c r="AF94">
        <f t="shared" si="127"/>
        <v>0.66219943187899144</v>
      </c>
      <c r="AG94">
        <f t="shared" si="127"/>
        <v>0.68767416280450155</v>
      </c>
      <c r="AH94">
        <f t="shared" si="127"/>
        <v>0.71446648078036767</v>
      </c>
      <c r="AI94">
        <f t="shared" si="127"/>
        <v>0.73260105615896665</v>
      </c>
      <c r="AJ94">
        <f t="shared" si="127"/>
        <v>0.75289901932289605</v>
      </c>
      <c r="AK94">
        <f t="shared" si="127"/>
        <v>0.77422358470008334</v>
      </c>
      <c r="AL94">
        <f t="shared" si="127"/>
        <v>0.7873595265446609</v>
      </c>
      <c r="AM94">
        <f t="shared" si="127"/>
        <v>0.81027521097852429</v>
      </c>
      <c r="AN94">
        <f t="shared" si="127"/>
        <v>0.93376921712238214</v>
      </c>
      <c r="AO94">
        <f t="shared" si="127"/>
        <v>1.0570100487538028</v>
      </c>
      <c r="AP94">
        <f t="shared" si="127"/>
        <v>1.224546667944211</v>
      </c>
      <c r="AQ94">
        <f t="shared" si="127"/>
        <v>1.3712236494870378</v>
      </c>
    </row>
    <row r="95" spans="1:43" ht="15">
      <c r="A95" s="48" t="str">
        <f>'[4]TS BYDem'!A76</f>
        <v/>
      </c>
      <c r="B95" t="s">
        <v>272</v>
      </c>
      <c r="C95" t="s">
        <v>125</v>
      </c>
      <c r="D95" s="9" t="s">
        <v>295</v>
      </c>
      <c r="E95" t="s">
        <v>125</v>
      </c>
      <c r="F95" t="s">
        <v>125</v>
      </c>
      <c r="G95" t="s">
        <v>125</v>
      </c>
      <c r="I95" t="s">
        <v>125</v>
      </c>
      <c r="J95">
        <v>0</v>
      </c>
      <c r="K95">
        <f>INDEX('[4]TS BYDem'!$J$10:$J$203,MATCH(D95,'[4]TS BYDem'!$D$10:$D$203,0))</f>
        <v>2.7823831597480901</v>
      </c>
      <c r="L95">
        <f t="shared" si="123"/>
        <v>2.8656682559478681</v>
      </c>
      <c r="M95">
        <f t="shared" si="128"/>
        <v>2.924887816531152</v>
      </c>
      <c r="N95" s="166">
        <f t="shared" si="125"/>
        <v>4.0458999999999996</v>
      </c>
      <c r="O95" s="166">
        <f t="shared" si="126"/>
        <v>4.0458999999999996</v>
      </c>
      <c r="P95" s="288">
        <f>IFERROR(INDEX('BY-DMD'!$I$5:$I$138,MATCH(D95,'BY-DMD'!$H$5:$H$138,0)),"")</f>
        <v>4.0458999999999996</v>
      </c>
      <c r="Q95">
        <f t="shared" si="131" ref="Q95:AA95">Q$91/P$91*P95</f>
        <v>4.0917170493865989</v>
      </c>
      <c r="R95">
        <f t="shared" si="131"/>
        <v>4.083090999965048</v>
      </c>
      <c r="S95">
        <f t="shared" si="131"/>
        <v>4.0235405288178097</v>
      </c>
      <c r="T95">
        <f t="shared" si="131"/>
        <v>4.2852133793702833</v>
      </c>
      <c r="U95">
        <f t="shared" si="131"/>
        <v>4.6291863308154575</v>
      </c>
      <c r="V95">
        <f t="shared" si="131"/>
        <v>4.5434232195103945</v>
      </c>
      <c r="W95">
        <f t="shared" si="131"/>
        <v>4.5415152367900546</v>
      </c>
      <c r="X95">
        <f t="shared" si="131"/>
        <v>4.5595826207577135</v>
      </c>
      <c r="Y95">
        <f t="shared" si="131"/>
        <v>4.6133358054138913</v>
      </c>
      <c r="Z95">
        <f t="shared" si="131"/>
        <v>4.6864285461216566</v>
      </c>
      <c r="AA95">
        <f t="shared" si="131"/>
        <v>4.7911985513653441</v>
      </c>
      <c r="AB95">
        <f t="shared" si="127"/>
        <v>4.8963442094015406</v>
      </c>
      <c r="AC95">
        <f t="shared" si="127"/>
        <v>5.0421252423547074</v>
      </c>
      <c r="AD95">
        <f t="shared" si="127"/>
        <v>5.1959704536360336</v>
      </c>
      <c r="AE95">
        <f t="shared" si="127"/>
        <v>5.3520229913672352</v>
      </c>
      <c r="AF95">
        <f t="shared" si="127"/>
        <v>5.5183285989915962</v>
      </c>
      <c r="AG95">
        <f t="shared" si="127"/>
        <v>5.7306180233708472</v>
      </c>
      <c r="AH95">
        <f t="shared" si="127"/>
        <v>5.9538873398363981</v>
      </c>
      <c r="AI95">
        <f t="shared" si="127"/>
        <v>6.1050088013247228</v>
      </c>
      <c r="AJ95">
        <f t="shared" si="127"/>
        <v>6.2741584943574678</v>
      </c>
      <c r="AK95">
        <f t="shared" si="127"/>
        <v>6.4518632058340293</v>
      </c>
      <c r="AL95">
        <f t="shared" si="127"/>
        <v>6.5613293878721759</v>
      </c>
      <c r="AM95">
        <f t="shared" si="127"/>
        <v>6.7522934248210378</v>
      </c>
      <c r="AN95">
        <f t="shared" si="127"/>
        <v>7.7814101426865205</v>
      </c>
      <c r="AO95">
        <f t="shared" si="127"/>
        <v>8.8084170729483589</v>
      </c>
      <c r="AP95">
        <f t="shared" si="127"/>
        <v>10.204555566201762</v>
      </c>
      <c r="AQ95">
        <f t="shared" si="127"/>
        <v>11.426863745725319</v>
      </c>
    </row>
    <row r="96" spans="1:43" ht="15">
      <c r="A96" s="48" t="str">
        <f>'[4]TS BYDem'!A77</f>
        <v/>
      </c>
      <c r="B96" t="s">
        <v>272</v>
      </c>
      <c r="C96" t="s">
        <v>125</v>
      </c>
      <c r="D96" s="9" t="s">
        <v>298</v>
      </c>
      <c r="E96" t="s">
        <v>125</v>
      </c>
      <c r="F96" t="s">
        <v>125</v>
      </c>
      <c r="G96" t="s">
        <v>125</v>
      </c>
      <c r="I96" t="s">
        <v>125</v>
      </c>
      <c r="J96">
        <v>0</v>
      </c>
      <c r="K96">
        <f>INDEX('[4]TS BYDem'!$J$10:$J$203,MATCH(D96,'[4]TS BYDem'!$D$10:$D$203,0))</f>
        <v>0.50082896875465599</v>
      </c>
      <c r="L96">
        <f t="shared" si="123"/>
        <v>0.51582028607061603</v>
      </c>
      <c r="M96">
        <f t="shared" si="128"/>
        <v>0.52647980697560715</v>
      </c>
      <c r="N96" s="166">
        <f t="shared" si="125"/>
        <v>0.72826199999999996</v>
      </c>
      <c r="O96" s="166">
        <f t="shared" si="126"/>
        <v>0.72826199999999996</v>
      </c>
      <c r="P96" s="288">
        <f>IFERROR(INDEX('BY-DMD'!$I$5:$I$138,MATCH(D96,'BY-DMD'!$H$5:$H$138,0)),"")</f>
        <v>0.72826199999999996</v>
      </c>
      <c r="Q96">
        <f t="shared" si="132" ref="Q96:AA96">Q$91/P$91*P96</f>
        <v>0.73650906888958789</v>
      </c>
      <c r="R96">
        <f t="shared" si="132"/>
        <v>0.73495637999370877</v>
      </c>
      <c r="S96">
        <f t="shared" si="132"/>
        <v>0.72423729518720581</v>
      </c>
      <c r="T96">
        <f t="shared" si="132"/>
        <v>0.77133840828665101</v>
      </c>
      <c r="U96">
        <f t="shared" si="132"/>
        <v>0.83325353954678238</v>
      </c>
      <c r="V96">
        <f t="shared" si="132"/>
        <v>0.81781617951187102</v>
      </c>
      <c r="W96">
        <f t="shared" si="132"/>
        <v>0.81747274262220981</v>
      </c>
      <c r="X96">
        <f t="shared" si="132"/>
        <v>0.82072487173638842</v>
      </c>
      <c r="Y96">
        <f t="shared" si="132"/>
        <v>0.8304004449745005</v>
      </c>
      <c r="Z96">
        <f t="shared" si="132"/>
        <v>0.84355713830189827</v>
      </c>
      <c r="AA96">
        <f t="shared" si="132"/>
        <v>0.86241573924576209</v>
      </c>
      <c r="AB96">
        <f t="shared" si="127"/>
        <v>0.88134195769227741</v>
      </c>
      <c r="AC96">
        <f t="shared" si="127"/>
        <v>0.90758254362384749</v>
      </c>
      <c r="AD96">
        <f t="shared" si="127"/>
        <v>0.93527468165448624</v>
      </c>
      <c r="AE96">
        <f t="shared" si="127"/>
        <v>0.96336413844610247</v>
      </c>
      <c r="AF96">
        <f t="shared" si="127"/>
        <v>0.99329914781848749</v>
      </c>
      <c r="AG96">
        <f t="shared" si="127"/>
        <v>1.0315112442067527</v>
      </c>
      <c r="AH96">
        <f t="shared" si="127"/>
        <v>1.0716997211705519</v>
      </c>
      <c r="AI96">
        <f t="shared" si="127"/>
        <v>1.0989015842384504</v>
      </c>
      <c r="AJ96">
        <f t="shared" si="127"/>
        <v>1.1293485289843446</v>
      </c>
      <c r="AK96">
        <f t="shared" si="127"/>
        <v>1.1613353770501256</v>
      </c>
      <c r="AL96">
        <f t="shared" si="127"/>
        <v>1.1810392898169919</v>
      </c>
      <c r="AM96">
        <f t="shared" si="127"/>
        <v>1.2154128164677871</v>
      </c>
      <c r="AN96">
        <f t="shared" si="127"/>
        <v>1.4006538256835739</v>
      </c>
      <c r="AO96">
        <f t="shared" si="127"/>
        <v>1.5855150731307048</v>
      </c>
      <c r="AP96">
        <f t="shared" si="127"/>
        <v>1.8368200019163174</v>
      </c>
      <c r="AQ96">
        <f t="shared" si="127"/>
        <v>2.0568354742305575</v>
      </c>
    </row>
    <row r="97" spans="1:43" ht="15">
      <c r="A97" s="48" t="str">
        <f>'[4]TS BYDem'!A78</f>
        <v/>
      </c>
      <c r="B97" t="s">
        <v>272</v>
      </c>
      <c r="C97" t="s">
        <v>125</v>
      </c>
      <c r="D97" s="9" t="s">
        <v>302</v>
      </c>
      <c r="E97" t="s">
        <v>125</v>
      </c>
      <c r="F97" t="s">
        <v>125</v>
      </c>
      <c r="G97" t="s">
        <v>125</v>
      </c>
      <c r="I97" t="s">
        <v>125</v>
      </c>
      <c r="J97">
        <v>0</v>
      </c>
      <c r="K97">
        <f>INDEX('[4]TS BYDem'!$J$10:$J$203,MATCH(D97,'[4]TS BYDem'!$D$10:$D$203,0))</f>
        <v>7.7906728472946503</v>
      </c>
      <c r="L97">
        <f t="shared" si="123"/>
        <v>8.0238711166540284</v>
      </c>
      <c r="M97">
        <f t="shared" si="128"/>
        <v>8.1896858862872239</v>
      </c>
      <c r="N97" s="166">
        <f t="shared" si="125"/>
        <v>11.328519999999999</v>
      </c>
      <c r="O97" s="166">
        <f t="shared" si="126"/>
        <v>11.328519999999999</v>
      </c>
      <c r="P97" s="288">
        <f>IFERROR(INDEX('BY-DMD'!$I$5:$I$138,MATCH(D97,'BY-DMD'!$H$5:$H$138,0)),"")</f>
        <v>11.328519999999999</v>
      </c>
      <c r="Q97">
        <f t="shared" si="133" ref="Q97:AA97">Q$91/P$91*P97</f>
        <v>11.456807738282478</v>
      </c>
      <c r="R97">
        <f t="shared" si="133"/>
        <v>11.432654799902135</v>
      </c>
      <c r="S97">
        <f t="shared" si="133"/>
        <v>11.265913480689866</v>
      </c>
      <c r="T97">
        <f t="shared" si="133"/>
        <v>11.998597462236791</v>
      </c>
      <c r="U97">
        <f t="shared" si="133"/>
        <v>12.96172172628328</v>
      </c>
      <c r="V97">
        <f t="shared" si="133"/>
        <v>12.721585014629103</v>
      </c>
      <c r="W97">
        <f t="shared" si="133"/>
        <v>12.716242663012149</v>
      </c>
      <c r="X97">
        <f t="shared" si="133"/>
        <v>12.766831338121595</v>
      </c>
      <c r="Y97">
        <f t="shared" si="133"/>
        <v>12.917340255158893</v>
      </c>
      <c r="Z97">
        <f t="shared" si="133"/>
        <v>13.121999929140635</v>
      </c>
      <c r="AA97">
        <f t="shared" si="133"/>
        <v>13.415355943822961</v>
      </c>
      <c r="AB97">
        <f t="shared" si="127"/>
        <v>13.709763786324311</v>
      </c>
      <c r="AC97">
        <f t="shared" si="127"/>
        <v>14.117950678593179</v>
      </c>
      <c r="AD97">
        <f t="shared" si="127"/>
        <v>14.548717270180891</v>
      </c>
      <c r="AE97">
        <f t="shared" si="127"/>
        <v>14.985664375828254</v>
      </c>
      <c r="AF97">
        <f t="shared" si="127"/>
        <v>15.451320077176465</v>
      </c>
      <c r="AG97">
        <f t="shared" si="127"/>
        <v>16.045730465438368</v>
      </c>
      <c r="AH97">
        <f t="shared" si="127"/>
        <v>16.67088455154191</v>
      </c>
      <c r="AI97">
        <f t="shared" si="127"/>
        <v>17.094024643709218</v>
      </c>
      <c r="AJ97">
        <f t="shared" si="127"/>
        <v>17.567643784200904</v>
      </c>
      <c r="AK97">
        <f t="shared" si="127"/>
        <v>18.065216976335275</v>
      </c>
      <c r="AL97">
        <f t="shared" si="127"/>
        <v>18.371722286042086</v>
      </c>
      <c r="AM97">
        <f t="shared" si="127"/>
        <v>18.906421589498898</v>
      </c>
      <c r="AN97">
        <f t="shared" si="127"/>
        <v>21.787948399522246</v>
      </c>
      <c r="AO97">
        <f t="shared" si="127"/>
        <v>24.66356780425539</v>
      </c>
      <c r="AP97">
        <f t="shared" si="127"/>
        <v>28.572755585364916</v>
      </c>
      <c r="AQ97">
        <f t="shared" si="127"/>
        <v>31.995218488030872</v>
      </c>
    </row>
    <row r="98" spans="1:43" ht="15">
      <c r="A98" s="48" t="str">
        <f>'[4]TS BYDem'!A79</f>
        <v/>
      </c>
      <c r="B98" t="s">
        <v>272</v>
      </c>
      <c r="C98" t="s">
        <v>125</v>
      </c>
      <c r="D98" s="9" t="s">
        <v>297</v>
      </c>
      <c r="E98" t="s">
        <v>125</v>
      </c>
      <c r="F98" t="s">
        <v>125</v>
      </c>
      <c r="G98" t="s">
        <v>125</v>
      </c>
      <c r="I98" t="s">
        <v>125</v>
      </c>
      <c r="J98">
        <v>0</v>
      </c>
      <c r="K98">
        <f>INDEX('[4]TS BYDem'!$J$10:$J$203,MATCH(D98,'[4]TS BYDem'!$D$10:$D$203,0))</f>
        <v>1.7807252222387799</v>
      </c>
      <c r="L98">
        <f t="shared" si="123"/>
        <v>1.8340276838066378</v>
      </c>
      <c r="M98">
        <f t="shared" si="128"/>
        <v>1.8719282025799397</v>
      </c>
      <c r="N98" s="166">
        <f t="shared" si="125"/>
        <v>2.5893760000000001</v>
      </c>
      <c r="O98" s="166">
        <f t="shared" si="126"/>
        <v>2.5893760000000001</v>
      </c>
      <c r="P98" s="288">
        <f>IFERROR(INDEX('BY-DMD'!$I$5:$I$138,MATCH(D98,'BY-DMD'!$H$5:$H$138,0)),"")</f>
        <v>2.5893760000000001</v>
      </c>
      <c r="Q98">
        <f t="shared" si="134" ref="Q98:AA98">Q$91/P$91*P98</f>
        <v>2.618698911607424</v>
      </c>
      <c r="R98">
        <f t="shared" si="134"/>
        <v>2.6131782399776315</v>
      </c>
      <c r="S98">
        <f t="shared" si="134"/>
        <v>2.5750659384433989</v>
      </c>
      <c r="T98">
        <f t="shared" si="134"/>
        <v>2.7425365627969818</v>
      </c>
      <c r="U98">
        <f t="shared" si="134"/>
        <v>2.9626792517218932</v>
      </c>
      <c r="V98">
        <f t="shared" si="134"/>
        <v>2.9077908604866529</v>
      </c>
      <c r="W98">
        <f t="shared" si="134"/>
        <v>2.9065697515456352</v>
      </c>
      <c r="X98">
        <f t="shared" si="134"/>
        <v>2.9181328772849371</v>
      </c>
      <c r="Y98">
        <f t="shared" si="134"/>
        <v>2.952534915464891</v>
      </c>
      <c r="Z98">
        <f t="shared" si="134"/>
        <v>2.999314269517861</v>
      </c>
      <c r="AA98">
        <f t="shared" si="134"/>
        <v>3.0663670728738213</v>
      </c>
      <c r="AB98">
        <f t="shared" si="127"/>
        <v>3.1336602940169871</v>
      </c>
      <c r="AC98">
        <f t="shared" si="127"/>
        <v>3.226960155107014</v>
      </c>
      <c r="AD98">
        <f t="shared" si="127"/>
        <v>3.3254210903270627</v>
      </c>
      <c r="AE98">
        <f t="shared" si="127"/>
        <v>3.4252947144750316</v>
      </c>
      <c r="AF98">
        <f t="shared" si="127"/>
        <v>3.5317303033546228</v>
      </c>
      <c r="AG98">
        <f t="shared" si="127"/>
        <v>3.6675955349573437</v>
      </c>
      <c r="AH98">
        <f t="shared" si="127"/>
        <v>3.8104878974952965</v>
      </c>
      <c r="AI98">
        <f t="shared" si="127"/>
        <v>3.9072056328478242</v>
      </c>
      <c r="AJ98">
        <f t="shared" si="127"/>
        <v>4.0154614363887813</v>
      </c>
      <c r="AK98">
        <f t="shared" si="127"/>
        <v>4.1291924517337808</v>
      </c>
      <c r="AL98">
        <f t="shared" si="127"/>
        <v>4.1992508082381947</v>
      </c>
      <c r="AM98">
        <f t="shared" si="127"/>
        <v>4.3214677918854658</v>
      </c>
      <c r="AN98">
        <f t="shared" si="127"/>
        <v>4.980102491319375</v>
      </c>
      <c r="AO98">
        <f t="shared" si="127"/>
        <v>5.6373869266869514</v>
      </c>
      <c r="AP98">
        <f t="shared" si="127"/>
        <v>6.5309155623691293</v>
      </c>
      <c r="AQ98">
        <f t="shared" si="127"/>
        <v>7.3131927972642057</v>
      </c>
    </row>
    <row r="99" spans="1:43" ht="15">
      <c r="A99" s="48" t="str">
        <f>'[4]TS BYDem'!A80</f>
        <v/>
      </c>
      <c r="B99" t="s">
        <v>272</v>
      </c>
      <c r="C99" t="s">
        <v>125</v>
      </c>
      <c r="D99" s="9" t="s">
        <v>301</v>
      </c>
      <c r="E99" t="s">
        <v>125</v>
      </c>
      <c r="F99" t="s">
        <v>125</v>
      </c>
      <c r="G99" t="s">
        <v>125</v>
      </c>
      <c r="I99" t="s">
        <v>125</v>
      </c>
      <c r="J99">
        <v>0</v>
      </c>
      <c r="K99">
        <f>INDEX('[4]TS BYDem'!$J$10:$J$203,MATCH(D99,'[4]TS BYDem'!$D$10:$D$203,0))</f>
        <v>4.45181305559694</v>
      </c>
      <c r="L99">
        <f t="shared" si="123"/>
        <v>4.5850692095165844</v>
      </c>
      <c r="M99">
        <f t="shared" si="128"/>
        <v>4.6798205064498388</v>
      </c>
      <c r="N99" s="166">
        <f t="shared" si="125"/>
        <v>6.4734400000000001</v>
      </c>
      <c r="O99" s="166">
        <f t="shared" si="126"/>
        <v>6.4734400000000001</v>
      </c>
      <c r="P99" s="288">
        <f>IFERROR(INDEX('BY-DMD'!$I$5:$I$138,MATCH(D99,'BY-DMD'!$H$5:$H$138,0)),"")</f>
        <v>6.4734400000000001</v>
      </c>
      <c r="Q99">
        <f t="shared" si="135" ref="Q99:AA99">Q$91/P$91*P99</f>
        <v>6.5467472790185592</v>
      </c>
      <c r="R99">
        <f t="shared" si="135"/>
        <v>6.5329455999440782</v>
      </c>
      <c r="S99">
        <f t="shared" si="135"/>
        <v>6.437664846108496</v>
      </c>
      <c r="T99">
        <f t="shared" si="135"/>
        <v>6.8563414069924535</v>
      </c>
      <c r="U99">
        <f t="shared" si="135"/>
        <v>7.4066981293047327</v>
      </c>
      <c r="V99">
        <f t="shared" si="135"/>
        <v>7.2694771512166323</v>
      </c>
      <c r="W99">
        <f t="shared" si="135"/>
        <v>7.2664243788640883</v>
      </c>
      <c r="X99">
        <f t="shared" si="135"/>
        <v>7.2953321932123432</v>
      </c>
      <c r="Y99">
        <f t="shared" si="135"/>
        <v>7.3813372886622277</v>
      </c>
      <c r="Z99">
        <f t="shared" si="135"/>
        <v>7.4982856737946522</v>
      </c>
      <c r="AA99">
        <f t="shared" si="135"/>
        <v>7.6659176821845527</v>
      </c>
      <c r="AB99">
        <f t="shared" si="127"/>
        <v>7.8341507350424671</v>
      </c>
      <c r="AC99">
        <f t="shared" si="127"/>
        <v>8.0674003877675347</v>
      </c>
      <c r="AD99">
        <f t="shared" si="127"/>
        <v>8.3135527258176563</v>
      </c>
      <c r="AE99">
        <f t="shared" si="127"/>
        <v>8.5632367861875789</v>
      </c>
      <c r="AF99">
        <f t="shared" si="127"/>
        <v>8.8293257583865579</v>
      </c>
      <c r="AG99">
        <f t="shared" si="127"/>
        <v>9.1689888373933606</v>
      </c>
      <c r="AH99">
        <f t="shared" si="127"/>
        <v>9.5262197437382419</v>
      </c>
      <c r="AI99">
        <f t="shared" si="127"/>
        <v>9.7680140821195618</v>
      </c>
      <c r="AJ99">
        <f t="shared" si="127"/>
        <v>10.038653590971954</v>
      </c>
      <c r="AK99">
        <f t="shared" si="127"/>
        <v>10.322981129334453</v>
      </c>
      <c r="AL99">
        <f t="shared" si="127"/>
        <v>10.498127020595486</v>
      </c>
      <c r="AM99">
        <f t="shared" si="127"/>
        <v>10.803669479713665</v>
      </c>
      <c r="AN99">
        <f t="shared" si="127"/>
        <v>12.450256228298437</v>
      </c>
      <c r="AO99">
        <f t="shared" si="127"/>
        <v>14.09346731671738</v>
      </c>
      <c r="AP99">
        <f t="shared" si="127"/>
        <v>16.327288905922824</v>
      </c>
      <c r="AQ99">
        <f t="shared" si="127"/>
        <v>18.282981993160515</v>
      </c>
    </row>
    <row r="100" spans="1:43" ht="15">
      <c r="A100" s="48" t="str">
        <f>'[4]TS BYDem'!A81</f>
        <v/>
      </c>
      <c r="B100" t="s">
        <v>272</v>
      </c>
      <c r="C100" t="s">
        <v>125</v>
      </c>
      <c r="D100" s="9" t="s">
        <v>296</v>
      </c>
      <c r="E100" t="s">
        <v>125</v>
      </c>
      <c r="F100" t="s">
        <v>125</v>
      </c>
      <c r="G100" t="s">
        <v>125</v>
      </c>
      <c r="I100" t="s">
        <v>125</v>
      </c>
      <c r="J100">
        <v>0</v>
      </c>
      <c r="K100">
        <f>INDEX('[4]TS BYDem'!$J$10:$J$203,MATCH(D100,'[4]TS BYDem'!$D$10:$D$203,0))</f>
        <v>1.69168896112684</v>
      </c>
      <c r="L100">
        <f t="shared" si="123"/>
        <v>1.7423262996163049</v>
      </c>
      <c r="M100">
        <f t="shared" si="128"/>
        <v>1.7783317924509416</v>
      </c>
      <c r="N100" s="166">
        <f t="shared" si="125"/>
        <v>2.4599072</v>
      </c>
      <c r="O100" s="166">
        <f t="shared" si="126"/>
        <v>2.4599072</v>
      </c>
      <c r="P100" s="288">
        <f>IFERROR(INDEX('BY-DMD'!$I$5:$I$138,MATCH(D100,'BY-DMD'!$H$5:$H$138,0)),"")</f>
        <v>2.4599072</v>
      </c>
      <c r="Q100">
        <f t="shared" si="136" ref="Q100:AA100">Q$91/P$91*P100</f>
        <v>2.4877639660270527</v>
      </c>
      <c r="R100">
        <f t="shared" si="136"/>
        <v>2.4825193279787499</v>
      </c>
      <c r="S100">
        <f t="shared" si="136"/>
        <v>2.4463126415212288</v>
      </c>
      <c r="T100">
        <f t="shared" si="136"/>
        <v>2.6054097346571328</v>
      </c>
      <c r="U100">
        <f t="shared" si="136"/>
        <v>2.8145452891357987</v>
      </c>
      <c r="V100">
        <f t="shared" si="136"/>
        <v>2.7624013174623205</v>
      </c>
      <c r="W100">
        <f t="shared" si="136"/>
        <v>2.7612412639683539</v>
      </c>
      <c r="X100">
        <f t="shared" si="136"/>
        <v>2.7722262334206906</v>
      </c>
      <c r="Y100">
        <f t="shared" si="136"/>
        <v>2.8049081696916471</v>
      </c>
      <c r="Z100">
        <f t="shared" si="136"/>
        <v>2.8493485560419685</v>
      </c>
      <c r="AA100">
        <f t="shared" si="136"/>
        <v>2.9130487192301304</v>
      </c>
      <c r="AB100">
        <f t="shared" si="127"/>
        <v>2.9769772793161375</v>
      </c>
      <c r="AC100">
        <f t="shared" si="127"/>
        <v>3.0656121473516631</v>
      </c>
      <c r="AD100">
        <f t="shared" si="127"/>
        <v>3.1591500358107094</v>
      </c>
      <c r="AE100">
        <f t="shared" si="127"/>
        <v>3.2540299787512796</v>
      </c>
      <c r="AF100">
        <f t="shared" si="127"/>
        <v>3.3551437881868913</v>
      </c>
      <c r="AG100">
        <f t="shared" si="127"/>
        <v>3.4842157582094759</v>
      </c>
      <c r="AH100">
        <f t="shared" si="127"/>
        <v>3.6199635026205308</v>
      </c>
      <c r="AI100">
        <f t="shared" si="127"/>
        <v>3.7118453512054321</v>
      </c>
      <c r="AJ100">
        <f t="shared" si="127"/>
        <v>3.8146883645693412</v>
      </c>
      <c r="AK100">
        <f t="shared" si="127"/>
        <v>3.9227328291470904</v>
      </c>
      <c r="AL100">
        <f t="shared" si="127"/>
        <v>3.9892882678262835</v>
      </c>
      <c r="AM100">
        <f t="shared" si="127"/>
        <v>4.105394402291191</v>
      </c>
      <c r="AN100">
        <f t="shared" si="127"/>
        <v>4.7310973667534046</v>
      </c>
      <c r="AO100">
        <f t="shared" si="127"/>
        <v>5.3555175803526023</v>
      </c>
      <c r="AP100">
        <f t="shared" si="127"/>
        <v>6.2043697842506713</v>
      </c>
      <c r="AQ100">
        <f t="shared" si="127"/>
        <v>6.9475331574009935</v>
      </c>
    </row>
    <row r="101" spans="1:43" ht="15">
      <c r="A101" s="48" t="str">
        <f>'[4]TS BYDem'!A83</f>
        <v/>
      </c>
      <c r="B101" t="s">
        <v>272</v>
      </c>
      <c r="C101" t="s">
        <v>125</v>
      </c>
      <c r="D101" s="9" t="s">
        <v>303</v>
      </c>
      <c r="E101" t="s">
        <v>125</v>
      </c>
      <c r="F101" t="s">
        <v>125</v>
      </c>
      <c r="G101" t="s">
        <v>125</v>
      </c>
      <c r="I101" t="s">
        <v>125</v>
      </c>
      <c r="J101">
        <v>0</v>
      </c>
      <c r="K101">
        <f>INDEX('[4]TS BYDem'!$J$10:$J$203,MATCH(D101,'[4]TS BYDem'!$D$10:$D$203,0))</f>
        <v>27.2881971201409</v>
      </c>
      <c r="L101">
        <f t="shared" si="123"/>
        <v>28.105014931270553</v>
      </c>
      <c r="M101">
        <f t="shared" si="128"/>
        <v>28.685810224292339</v>
      </c>
      <c r="N101" s="166">
        <f t="shared" si="137" ref="N101">P101</f>
        <v>19.307168399999998</v>
      </c>
      <c r="O101" s="166">
        <f t="shared" si="138" ref="O101">P101</f>
        <v>19.307168399999998</v>
      </c>
      <c r="P101" s="288">
        <f>IFERROR(INDEX('BY-DMD'!$I$5:$I$138,MATCH(D101,'BY-DMD'!$H$5:$H$138,0)),"")</f>
        <v>19.307168399999998</v>
      </c>
      <c r="Q101">
        <f t="shared" si="139" ref="Q101:AA101">Q$91/P$91*P101</f>
        <v>19.525808872601445</v>
      </c>
      <c r="R101">
        <f t="shared" si="139"/>
        <v>19.484645079920309</v>
      </c>
      <c r="S101">
        <f t="shared" si="139"/>
        <v>19.200468265184632</v>
      </c>
      <c r="T101">
        <f t="shared" si="139"/>
        <v>20.449179748741972</v>
      </c>
      <c r="U101">
        <f t="shared" si="139"/>
        <v>22.090630031397748</v>
      </c>
      <c r="V101">
        <f t="shared" si="139"/>
        <v>21.681365632259165</v>
      </c>
      <c r="W101">
        <f t="shared" si="139"/>
        <v>21.672260675714046</v>
      </c>
      <c r="X101">
        <f t="shared" si="139"/>
        <v>21.758478828612301</v>
      </c>
      <c r="Y101">
        <f t="shared" si="139"/>
        <v>22.014990800779959</v>
      </c>
      <c r="Z101">
        <f t="shared" si="139"/>
        <v>22.363791773038876</v>
      </c>
      <c r="AA101">
        <f t="shared" si="139"/>
        <v>22.8637576976808</v>
      </c>
      <c r="AB101">
        <f t="shared" si="127"/>
        <v>23.365516249853037</v>
      </c>
      <c r="AC101">
        <f t="shared" si="127"/>
        <v>24.06118815295315</v>
      </c>
      <c r="AD101">
        <f t="shared" si="127"/>
        <v>24.795342581323141</v>
      </c>
      <c r="AE101">
        <f t="shared" si="127"/>
        <v>25.540030444400244</v>
      </c>
      <c r="AF101">
        <f t="shared" si="127"/>
        <v>26.333646295574983</v>
      </c>
      <c r="AG101">
        <f t="shared" si="127"/>
        <v>27.346698438739487</v>
      </c>
      <c r="AH101">
        <f t="shared" si="127"/>
        <v>28.412146989507743</v>
      </c>
      <c r="AI101">
        <f t="shared" si="127"/>
        <v>29.13330359392436</v>
      </c>
      <c r="AJ101">
        <f t="shared" si="127"/>
        <v>29.940491514582686</v>
      </c>
      <c r="AK101">
        <f t="shared" si="127"/>
        <v>30.788504265750873</v>
      </c>
      <c r="AL101">
        <f t="shared" si="127"/>
        <v>31.3108805011288</v>
      </c>
      <c r="AM101">
        <f t="shared" si="127"/>
        <v>32.222167191288094</v>
      </c>
      <c r="AN101">
        <f t="shared" si="127"/>
        <v>37.133146151490806</v>
      </c>
      <c r="AO101">
        <f t="shared" si="127"/>
        <v>42.034057135581456</v>
      </c>
      <c r="AP101">
        <f t="shared" si="127"/>
        <v>48.696476127391854</v>
      </c>
      <c r="AQ101">
        <f t="shared" si="127"/>
        <v>54.529371122018198</v>
      </c>
    </row>
    <row r="102" spans="1:43" ht="15">
      <c r="A102" s="48" t="str">
        <f>'[4]TS BYDem'!A90</f>
        <v/>
      </c>
      <c r="B102" t="s">
        <v>272</v>
      </c>
      <c r="C102" t="s">
        <v>125</v>
      </c>
      <c r="D102" s="9" t="s">
        <v>304</v>
      </c>
      <c r="E102" t="s">
        <v>125</v>
      </c>
      <c r="F102" t="s">
        <v>125</v>
      </c>
      <c r="G102" t="s">
        <v>125</v>
      </c>
      <c r="I102" t="s">
        <v>125</v>
      </c>
      <c r="J102">
        <v>0</v>
      </c>
      <c r="K102">
        <f>INDEX('[4]TS BYDem'!$J$10:$J$203,MATCH(D102,'[4]TS BYDem'!$D$10:$D$203,0))</f>
        <v>26.600000000000001</v>
      </c>
      <c r="L102">
        <f t="shared" si="123"/>
        <v>27.396218001518768</v>
      </c>
      <c r="M102">
        <f t="shared" si="128"/>
        <v>27.962365875867597</v>
      </c>
      <c r="N102" s="166">
        <f t="shared" si="140" ref="N102">P102</f>
        <v>26.600000000000001</v>
      </c>
      <c r="O102" s="166">
        <f t="shared" si="141" ref="O102">P102</f>
        <v>26.600000000000001</v>
      </c>
      <c r="P102" s="288">
        <f>IFERROR(INDEX('BY-DMD'!$I$5:$I$138,MATCH(D102,'BY-DMD'!$H$5:$H$138,0)),"")</f>
        <v>26.600000000000001</v>
      </c>
      <c r="Q102">
        <f t="shared" si="142" ref="Q102:AA102">Q$91/P$91*P102</f>
        <v>26.901226800880782</v>
      </c>
      <c r="R102">
        <f t="shared" si="142"/>
        <v>26.844514347628536</v>
      </c>
      <c r="S102">
        <f t="shared" si="142"/>
        <v>26.452996383141883</v>
      </c>
      <c r="T102">
        <f t="shared" si="142"/>
        <v>28.173379443695971</v>
      </c>
      <c r="U102">
        <f t="shared" si="142"/>
        <v>30.434849205292064</v>
      </c>
      <c r="V102">
        <f t="shared" si="142"/>
        <v>29.870994745044733</v>
      </c>
      <c r="W102">
        <f t="shared" si="142"/>
        <v>29.858450603973267</v>
      </c>
      <c r="X102">
        <f t="shared" si="142"/>
        <v>29.9772356489669</v>
      </c>
      <c r="Y102">
        <f t="shared" si="142"/>
        <v>30.330639023211035</v>
      </c>
      <c r="Z102">
        <f t="shared" si="142"/>
        <v>30.811191410276102</v>
      </c>
      <c r="AA102">
        <f t="shared" si="142"/>
        <v>31.500007777334627</v>
      </c>
      <c r="AB102">
        <f t="shared" si="143" ref="AB102:AQ102">AB$91/AA$91*AA102</f>
        <v>32.191293895074267</v>
      </c>
      <c r="AC102">
        <f t="shared" si="143"/>
        <v>33.149739599751655</v>
      </c>
      <c r="AD102">
        <f t="shared" si="143"/>
        <v>34.161203704174227</v>
      </c>
      <c r="AE102">
        <f t="shared" si="143"/>
        <v>35.187180002068381</v>
      </c>
      <c r="AF102">
        <f t="shared" si="143"/>
        <v>36.280565691978666</v>
      </c>
      <c r="AG102">
        <f t="shared" si="143"/>
        <v>37.676274604331439</v>
      </c>
      <c r="AH102">
        <f t="shared" si="143"/>
        <v>39.144171442608126</v>
      </c>
      <c r="AI102">
        <f t="shared" si="143"/>
        <v>40.137728098874824</v>
      </c>
      <c r="AJ102">
        <f t="shared" si="143"/>
        <v>41.249812390298494</v>
      </c>
      <c r="AK102">
        <f t="shared" si="143"/>
        <v>42.418142137765443</v>
      </c>
      <c r="AL102">
        <f t="shared" si="143"/>
        <v>43.137833786648187</v>
      </c>
      <c r="AM102">
        <f t="shared" si="143"/>
        <v>44.393337724669323</v>
      </c>
      <c r="AN102">
        <f t="shared" si="143"/>
        <v>51.159324203628721</v>
      </c>
      <c r="AO102">
        <f t="shared" si="143"/>
        <v>57.911439763816787</v>
      </c>
      <c r="AP102">
        <f t="shared" si="143"/>
        <v>67.090431810219442</v>
      </c>
      <c r="AQ102">
        <f t="shared" si="143"/>
        <v>75.126566557822343</v>
      </c>
    </row>
    <row r="103" spans="1:43" s="8" customFormat="1" ht="15">
      <c r="A103" s="48" t="str">
        <f>'[4]TS BYDem'!A89</f>
        <v>*</v>
      </c>
      <c r="C103" s="7" t="s">
        <v>763</v>
      </c>
      <c r="D103" s="7" t="s">
        <v>741</v>
      </c>
      <c r="K103" s="8">
        <f t="shared" si="144" ref="K103:AB103">SUMIF($B$10:$B$25,$D103,K$10:K$25)*SUMIF($B$10:$B$25,$D103,K$47:K$62)</f>
        <v>18.748363502594032</v>
      </c>
      <c r="L103" s="8">
        <f t="shared" si="144"/>
        <v>15.909210489014884</v>
      </c>
      <c r="M103" s="8">
        <f t="shared" si="144"/>
        <v>14.603991495393339</v>
      </c>
      <c r="N103" s="8">
        <f t="shared" si="144"/>
        <v>14.80978596739901</v>
      </c>
      <c r="O103" s="8">
        <f t="shared" si="144"/>
        <v>14.414883061658401</v>
      </c>
      <c r="P103" s="8">
        <f t="shared" si="144"/>
        <v>13.877221828490436</v>
      </c>
      <c r="Q103" s="8">
        <f t="shared" si="144"/>
        <v>13.621369241672575</v>
      </c>
      <c r="R103" s="8">
        <f t="shared" si="144"/>
        <v>13.08</v>
      </c>
      <c r="S103" s="8">
        <f t="shared" si="144"/>
        <v>12.33</v>
      </c>
      <c r="T103" s="8">
        <f t="shared" si="144"/>
        <v>12.01370638494922</v>
      </c>
      <c r="U103" s="8">
        <f t="shared" si="144"/>
        <v>13.729255335062895</v>
      </c>
      <c r="V103" s="8">
        <f t="shared" si="144"/>
        <v>12.881527638069921</v>
      </c>
      <c r="W103" s="8">
        <f t="shared" si="144"/>
        <v>12.683219626855555</v>
      </c>
      <c r="X103" s="8">
        <f t="shared" si="144"/>
        <v>12.633116678662716</v>
      </c>
      <c r="Y103" s="8">
        <f t="shared" si="144"/>
        <v>12.929633447361994</v>
      </c>
      <c r="Z103" s="8">
        <f t="shared" si="144"/>
        <v>12.917324323615013</v>
      </c>
      <c r="AA103" s="8">
        <f t="shared" si="144"/>
        <v>12.911730124076415</v>
      </c>
      <c r="AB103" s="8">
        <f t="shared" si="144"/>
        <v>13.068570563401574</v>
      </c>
      <c r="AC103" s="8">
        <f>SUMIF($B$10:$B$25,$D103,AC$10:AC$25)*SUMIF($B$10:$B$25,$D103,AC$46:AC$62)</f>
        <v>13.302149418580994</v>
      </c>
      <c r="AD103" s="8">
        <f t="shared" si="145" ref="AD103:AQ103">SUMIF($B$10:$B$25,$D103,AD$10:AD$25)*SUMIF($B$10:$B$25,$D103,AD$47:AD$62)</f>
        <v>13.584325379189437</v>
      </c>
      <c r="AE103" s="8">
        <f t="shared" si="145"/>
        <v>13.881987690166961</v>
      </c>
      <c r="AF103" s="8">
        <f t="shared" si="145"/>
        <v>14.214872562871648</v>
      </c>
      <c r="AG103" s="8">
        <f t="shared" si="145"/>
        <v>14.525653785759708</v>
      </c>
      <c r="AH103" s="8">
        <f t="shared" si="145"/>
        <v>15.429942608869467</v>
      </c>
      <c r="AI103" s="8">
        <f t="shared" si="145"/>
        <v>15.690162283568247</v>
      </c>
      <c r="AJ103" s="8">
        <f t="shared" si="145"/>
        <v>16.053536173266973</v>
      </c>
      <c r="AK103" s="8">
        <f t="shared" si="145"/>
        <v>16.440227818320505</v>
      </c>
      <c r="AL103" s="8">
        <f t="shared" si="145"/>
        <v>16.87327915658015</v>
      </c>
      <c r="AM103" s="8">
        <f t="shared" si="145"/>
        <v>17.326760565570382</v>
      </c>
      <c r="AN103" s="8">
        <f t="shared" si="145"/>
        <v>19.329719446953234</v>
      </c>
      <c r="AO103" s="8">
        <f t="shared" si="145"/>
        <v>21.96573564727386</v>
      </c>
      <c r="AP103" s="8">
        <f t="shared" si="145"/>
        <v>25.428221920854099</v>
      </c>
      <c r="AQ103" s="8">
        <f t="shared" si="145"/>
        <v>28.474030573956355</v>
      </c>
    </row>
    <row r="104" spans="1:43" ht="15">
      <c r="A104" s="48" t="str">
        <f>'[4]TS BYDem'!A94</f>
        <v/>
      </c>
      <c r="B104" t="s">
        <v>272</v>
      </c>
      <c r="C104" t="s">
        <v>125</v>
      </c>
      <c r="D104" s="9" t="s">
        <v>331</v>
      </c>
      <c r="E104" t="s">
        <v>125</v>
      </c>
      <c r="F104" t="s">
        <v>125</v>
      </c>
      <c r="G104" t="s">
        <v>125</v>
      </c>
      <c r="I104" t="s">
        <v>125</v>
      </c>
      <c r="J104">
        <v>0</v>
      </c>
      <c r="K104">
        <f>INDEX('[4]TS BYDem'!$J$10:$J$203,MATCH(D104,'[4]TS BYDem'!$D$10:$D$203,0))</f>
        <v>0.66789588210349704</v>
      </c>
      <c r="L104">
        <f>L$103/K$103*K104</f>
        <v>0.56675326204661158</v>
      </c>
      <c r="M104">
        <f t="shared" si="146" ref="M104:AQ112">M$103/L$103*L104</f>
        <v>0.52025584956778459</v>
      </c>
      <c r="N104" s="166">
        <f t="shared" si="147" ref="N104:N112">P104</f>
        <v>0.100629421670275</v>
      </c>
      <c r="O104" s="166">
        <f t="shared" si="148" ref="O104:O112">P104</f>
        <v>0.100629421670275</v>
      </c>
      <c r="P104" s="288">
        <f>IFERROR(INDEX('BY-DMD'!$I$5:$I$138,MATCH(D104,'BY-DMD'!$H$5:$H$138,0)),"")</f>
        <v>0.100629421670275</v>
      </c>
      <c r="Q104">
        <f t="shared" si="146"/>
        <v>0.098774129727656701</v>
      </c>
      <c r="R104">
        <f t="shared" si="146"/>
        <v>0.094848439530232462</v>
      </c>
      <c r="S104">
        <f t="shared" si="146"/>
        <v>0.08940988221771913</v>
      </c>
      <c r="T104">
        <f t="shared" si="146"/>
        <v>0.087116307613671534</v>
      </c>
      <c r="U104">
        <f t="shared" si="146"/>
        <v>0.099556455997158594</v>
      </c>
      <c r="V104">
        <f t="shared" si="146"/>
        <v>0.09340923510982363</v>
      </c>
      <c r="W104">
        <f t="shared" si="146"/>
        <v>0.091971222463797145</v>
      </c>
      <c r="X104">
        <f t="shared" si="146"/>
        <v>0.091607905456766961</v>
      </c>
      <c r="Y104">
        <f t="shared" si="146"/>
        <v>0.09375807004435667</v>
      </c>
      <c r="Z104">
        <f t="shared" si="146"/>
        <v>0.093668811544403638</v>
      </c>
      <c r="AA104">
        <f t="shared" si="146"/>
        <v>0.0936282457113259</v>
      </c>
      <c r="AB104">
        <f t="shared" si="146"/>
        <v>0.094765560002245411</v>
      </c>
      <c r="AC104">
        <f t="shared" si="146"/>
        <v>0.096459335990091447</v>
      </c>
      <c r="AD104">
        <f t="shared" si="146"/>
        <v>0.098505509502068142</v>
      </c>
      <c r="AE104">
        <f t="shared" si="146"/>
        <v>0.10066398088610339</v>
      </c>
      <c r="AF104">
        <f t="shared" si="146"/>
        <v>0.10307786549766758</v>
      </c>
      <c r="AG104">
        <f t="shared" si="146"/>
        <v>0.1053314674874405</v>
      </c>
      <c r="AH104">
        <f t="shared" si="146"/>
        <v>0.1118888362761707</v>
      </c>
      <c r="AI104">
        <f t="shared" si="146"/>
        <v>0.1137757957624279</v>
      </c>
      <c r="AJ104">
        <f t="shared" si="146"/>
        <v>0.11641076872909112</v>
      </c>
      <c r="AK104">
        <f t="shared" si="146"/>
        <v>0.1192148282942827</v>
      </c>
      <c r="AL104">
        <f t="shared" si="146"/>
        <v>0.12235506099079695</v>
      </c>
      <c r="AM104">
        <f t="shared" si="146"/>
        <v>0.1256434405014005</v>
      </c>
      <c r="AN104">
        <f t="shared" si="146"/>
        <v>0.14016771606274481</v>
      </c>
      <c r="AO104">
        <f t="shared" si="146"/>
        <v>0.15928254963895458</v>
      </c>
      <c r="AP104">
        <f t="shared" si="146"/>
        <v>0.18439045636249701</v>
      </c>
      <c r="AQ104">
        <f t="shared" si="146"/>
        <v>0.20647686292629119</v>
      </c>
    </row>
    <row r="105" spans="1:43" ht="15">
      <c r="A105" s="48" t="str">
        <f>'[4]TS BYDem'!A95</f>
        <v/>
      </c>
      <c r="B105" t="s">
        <v>272</v>
      </c>
      <c r="C105" t="s">
        <v>125</v>
      </c>
      <c r="D105" s="9" t="s">
        <v>326</v>
      </c>
      <c r="E105" t="s">
        <v>125</v>
      </c>
      <c r="F105" t="s">
        <v>125</v>
      </c>
      <c r="G105" t="s">
        <v>125</v>
      </c>
      <c r="I105" t="s">
        <v>125</v>
      </c>
      <c r="J105">
        <v>0</v>
      </c>
      <c r="K105">
        <f>INDEX('[4]TS BYDem'!$J$10:$J$203,MATCH(D105,'[4]TS BYDem'!$D$10:$D$203,0))</f>
        <v>0</v>
      </c>
      <c r="L105">
        <f t="shared" si="149" ref="L105:M113">L$103/K$103*K105</f>
        <v>0</v>
      </c>
      <c r="M105">
        <f t="shared" si="146"/>
        <v>0</v>
      </c>
      <c r="N105" s="166">
        <f t="shared" si="147"/>
        <v>0</v>
      </c>
      <c r="O105" s="166">
        <f t="shared" si="148"/>
        <v>0</v>
      </c>
      <c r="P105" s="288">
        <f>IFERROR(INDEX('BY-DMD'!$I$5:$I$138,MATCH(D105,'BY-DMD'!$H$5:$H$138,0)),"")</f>
        <v>0</v>
      </c>
      <c r="Q105">
        <f t="shared" si="146"/>
        <v>0</v>
      </c>
      <c r="R105">
        <f t="shared" si="146"/>
        <v>0</v>
      </c>
      <c r="S105">
        <f t="shared" si="146"/>
        <v>0</v>
      </c>
      <c r="T105">
        <f t="shared" si="146"/>
        <v>0</v>
      </c>
      <c r="U105">
        <f t="shared" si="146"/>
        <v>0</v>
      </c>
      <c r="V105">
        <f t="shared" si="146"/>
        <v>0</v>
      </c>
      <c r="W105">
        <f t="shared" si="146"/>
        <v>0</v>
      </c>
      <c r="X105">
        <f t="shared" si="146"/>
        <v>0</v>
      </c>
      <c r="Y105">
        <f t="shared" si="146"/>
        <v>0</v>
      </c>
      <c r="Z105">
        <f t="shared" si="146"/>
        <v>0</v>
      </c>
      <c r="AA105">
        <f t="shared" si="146"/>
        <v>0</v>
      </c>
      <c r="AB105">
        <f t="shared" si="146"/>
        <v>0</v>
      </c>
      <c r="AC105">
        <f t="shared" si="146"/>
        <v>0</v>
      </c>
      <c r="AD105">
        <f t="shared" si="146"/>
        <v>0</v>
      </c>
      <c r="AE105">
        <f t="shared" si="146"/>
        <v>0</v>
      </c>
      <c r="AF105">
        <f t="shared" si="146"/>
        <v>0</v>
      </c>
      <c r="AG105">
        <f t="shared" si="146"/>
        <v>0</v>
      </c>
      <c r="AH105">
        <f t="shared" si="146"/>
        <v>0</v>
      </c>
      <c r="AI105">
        <f t="shared" si="146"/>
        <v>0</v>
      </c>
      <c r="AJ105">
        <f t="shared" si="146"/>
        <v>0</v>
      </c>
      <c r="AK105">
        <f t="shared" si="146"/>
        <v>0</v>
      </c>
      <c r="AL105">
        <f t="shared" si="146"/>
        <v>0</v>
      </c>
      <c r="AM105">
        <f t="shared" si="146"/>
        <v>0</v>
      </c>
      <c r="AN105">
        <f t="shared" si="146"/>
        <v>0</v>
      </c>
      <c r="AO105">
        <f t="shared" si="146"/>
        <v>0</v>
      </c>
      <c r="AP105">
        <f t="shared" si="146"/>
        <v>0</v>
      </c>
      <c r="AQ105">
        <f t="shared" si="146"/>
        <v>0</v>
      </c>
    </row>
    <row r="106" spans="1:43" ht="15">
      <c r="A106" s="48" t="str">
        <f>'[4]TS BYDem'!A96</f>
        <v/>
      </c>
      <c r="B106" t="s">
        <v>272</v>
      </c>
      <c r="C106" t="s">
        <v>125</v>
      </c>
      <c r="D106" s="9" t="s">
        <v>332</v>
      </c>
      <c r="E106" t="s">
        <v>125</v>
      </c>
      <c r="F106" t="s">
        <v>125</v>
      </c>
      <c r="G106" t="s">
        <v>125</v>
      </c>
      <c r="I106" t="s">
        <v>125</v>
      </c>
      <c r="J106">
        <v>0</v>
      </c>
      <c r="K106">
        <f>INDEX('[4]TS BYDem'!$J$10:$J$203,MATCH(D106,'[4]TS BYDem'!$D$10:$D$203,0))</f>
        <v>0.200368764631049</v>
      </c>
      <c r="L106">
        <f t="shared" si="149"/>
        <v>0.17002597861398339</v>
      </c>
      <c r="M106">
        <f t="shared" si="146"/>
        <v>0.15607675487033529</v>
      </c>
      <c r="N106" s="166">
        <f t="shared" si="147"/>
        <v>0.0301888265010824</v>
      </c>
      <c r="O106" s="166">
        <f t="shared" si="148"/>
        <v>0.0301888265010824</v>
      </c>
      <c r="P106" s="288">
        <f>IFERROR(INDEX('BY-DMD'!$I$5:$I$138,MATCH(D106,'BY-DMD'!$H$5:$H$138,0)),"")</f>
        <v>0.0301888265010824</v>
      </c>
      <c r="Q106">
        <f t="shared" si="146"/>
        <v>0.029632238918296912</v>
      </c>
      <c r="R106">
        <f t="shared" si="146"/>
        <v>0.028454531859069643</v>
      </c>
      <c r="S106">
        <f t="shared" si="146"/>
        <v>0.026822964665315648</v>
      </c>
      <c r="T106">
        <f t="shared" si="146"/>
        <v>0.026134892284101374</v>
      </c>
      <c r="U106">
        <f t="shared" si="146"/>
        <v>0.029866936799147481</v>
      </c>
      <c r="V106">
        <f t="shared" si="146"/>
        <v>0.028022770532946998</v>
      </c>
      <c r="W106">
        <f t="shared" si="146"/>
        <v>0.027591366739139055</v>
      </c>
      <c r="X106">
        <f t="shared" si="146"/>
        <v>0.027482371637029997</v>
      </c>
      <c r="Y106">
        <f t="shared" si="146"/>
        <v>0.028127421013306907</v>
      </c>
      <c r="Z106">
        <f t="shared" si="146"/>
        <v>0.028100643463320998</v>
      </c>
      <c r="AA106">
        <f t="shared" si="146"/>
        <v>0.028088473713397677</v>
      </c>
      <c r="AB106">
        <f t="shared" si="146"/>
        <v>0.028429668000673532</v>
      </c>
      <c r="AC106">
        <f t="shared" si="146"/>
        <v>0.02893780079702734</v>
      </c>
      <c r="AD106">
        <f t="shared" si="146"/>
        <v>0.029551652850620346</v>
      </c>
      <c r="AE106">
        <f t="shared" si="146"/>
        <v>0.030199194265830915</v>
      </c>
      <c r="AF106">
        <f t="shared" si="146"/>
        <v>0.03092335964930017</v>
      </c>
      <c r="AG106">
        <f t="shared" si="146"/>
        <v>0.031599440246232048</v>
      </c>
      <c r="AH106">
        <f t="shared" si="146"/>
        <v>0.033566650882851101</v>
      </c>
      <c r="AI106">
        <f t="shared" si="146"/>
        <v>0.034132738728728254</v>
      </c>
      <c r="AJ106">
        <f t="shared" si="146"/>
        <v>0.034923230618727215</v>
      </c>
      <c r="AK106">
        <f t="shared" si="146"/>
        <v>0.035764448488284688</v>
      </c>
      <c r="AL106">
        <f t="shared" si="146"/>
        <v>0.036706518297238956</v>
      </c>
      <c r="AM106">
        <f t="shared" si="146"/>
        <v>0.037693032150420025</v>
      </c>
      <c r="AN106">
        <f t="shared" si="146"/>
        <v>0.042050314818823299</v>
      </c>
      <c r="AO106">
        <f t="shared" si="146"/>
        <v>0.047784764891686218</v>
      </c>
      <c r="AP106">
        <f t="shared" si="146"/>
        <v>0.055317136908748926</v>
      </c>
      <c r="AQ106">
        <f t="shared" si="146"/>
        <v>0.061943058877887161</v>
      </c>
    </row>
    <row r="107" spans="1:43" ht="15">
      <c r="A107" s="48" t="str">
        <f>'[4]TS BYDem'!A97</f>
        <v/>
      </c>
      <c r="B107" t="s">
        <v>272</v>
      </c>
      <c r="C107" t="s">
        <v>125</v>
      </c>
      <c r="D107" s="9" t="s">
        <v>327</v>
      </c>
      <c r="E107" t="s">
        <v>125</v>
      </c>
      <c r="F107" t="s">
        <v>125</v>
      </c>
      <c r="G107" t="s">
        <v>125</v>
      </c>
      <c r="I107" t="s">
        <v>125</v>
      </c>
      <c r="J107">
        <v>0</v>
      </c>
      <c r="K107">
        <f>INDEX('[4]TS BYDem'!$J$10:$J$203,MATCH(D107,'[4]TS BYDem'!$D$10:$D$203,0))</f>
        <v>0</v>
      </c>
      <c r="L107">
        <f t="shared" si="149"/>
        <v>0</v>
      </c>
      <c r="M107">
        <f t="shared" si="146"/>
        <v>0</v>
      </c>
      <c r="N107" s="166">
        <f t="shared" si="147"/>
        <v>0</v>
      </c>
      <c r="O107" s="166">
        <f t="shared" si="148"/>
        <v>0</v>
      </c>
      <c r="P107" s="288">
        <f>IFERROR(INDEX('BY-DMD'!$I$5:$I$138,MATCH(D107,'BY-DMD'!$H$5:$H$138,0)),"")</f>
        <v>0</v>
      </c>
      <c r="Q107">
        <f t="shared" si="146"/>
        <v>0</v>
      </c>
      <c r="R107">
        <f t="shared" si="146"/>
        <v>0</v>
      </c>
      <c r="S107">
        <f t="shared" si="146"/>
        <v>0</v>
      </c>
      <c r="T107">
        <f t="shared" si="146"/>
        <v>0</v>
      </c>
      <c r="U107">
        <f t="shared" si="146"/>
        <v>0</v>
      </c>
      <c r="V107">
        <f t="shared" si="146"/>
        <v>0</v>
      </c>
      <c r="W107">
        <f t="shared" si="146"/>
        <v>0</v>
      </c>
      <c r="X107">
        <f t="shared" si="146"/>
        <v>0</v>
      </c>
      <c r="Y107">
        <f t="shared" si="146"/>
        <v>0</v>
      </c>
      <c r="Z107">
        <f t="shared" si="146"/>
        <v>0</v>
      </c>
      <c r="AA107">
        <f t="shared" si="146"/>
        <v>0</v>
      </c>
      <c r="AB107">
        <f t="shared" si="146"/>
        <v>0</v>
      </c>
      <c r="AC107">
        <f t="shared" si="146"/>
        <v>0</v>
      </c>
      <c r="AD107">
        <f t="shared" si="146"/>
        <v>0</v>
      </c>
      <c r="AE107">
        <f t="shared" si="146"/>
        <v>0</v>
      </c>
      <c r="AF107">
        <f t="shared" si="146"/>
        <v>0</v>
      </c>
      <c r="AG107">
        <f t="shared" si="146"/>
        <v>0</v>
      </c>
      <c r="AH107">
        <f t="shared" si="146"/>
        <v>0</v>
      </c>
      <c r="AI107">
        <f t="shared" si="146"/>
        <v>0</v>
      </c>
      <c r="AJ107">
        <f t="shared" si="146"/>
        <v>0</v>
      </c>
      <c r="AK107">
        <f t="shared" si="146"/>
        <v>0</v>
      </c>
      <c r="AL107">
        <f t="shared" si="146"/>
        <v>0</v>
      </c>
      <c r="AM107">
        <f t="shared" si="146"/>
        <v>0</v>
      </c>
      <c r="AN107">
        <f t="shared" si="146"/>
        <v>0</v>
      </c>
      <c r="AO107">
        <f t="shared" si="146"/>
        <v>0</v>
      </c>
      <c r="AP107">
        <f t="shared" si="146"/>
        <v>0</v>
      </c>
      <c r="AQ107">
        <f t="shared" si="146"/>
        <v>0</v>
      </c>
    </row>
    <row r="108" spans="1:43" ht="15">
      <c r="A108" s="48" t="str">
        <f>'[4]TS BYDem'!A98</f>
        <v/>
      </c>
      <c r="B108" t="s">
        <v>272</v>
      </c>
      <c r="C108" t="s">
        <v>125</v>
      </c>
      <c r="D108" s="9" t="s">
        <v>330</v>
      </c>
      <c r="E108" t="s">
        <v>125</v>
      </c>
      <c r="F108" t="s">
        <v>125</v>
      </c>
      <c r="G108" t="s">
        <v>125</v>
      </c>
      <c r="I108" t="s">
        <v>125</v>
      </c>
      <c r="J108">
        <v>0</v>
      </c>
      <c r="K108">
        <f>INDEX('[4]TS BYDem'!$J$10:$J$203,MATCH(D108,'[4]TS BYDem'!$D$10:$D$203,0))</f>
        <v>0.60110629389314796</v>
      </c>
      <c r="L108">
        <f t="shared" si="149"/>
        <v>0.51007793584195094</v>
      </c>
      <c r="M108">
        <f t="shared" si="146"/>
        <v>0.46823026461100659</v>
      </c>
      <c r="N108" s="166">
        <f t="shared" si="147"/>
        <v>0.090566479503247102</v>
      </c>
      <c r="O108" s="166">
        <f t="shared" si="148"/>
        <v>0.090566479503247102</v>
      </c>
      <c r="P108" s="288">
        <f>IFERROR(INDEX('BY-DMD'!$I$5:$I$138,MATCH(D108,'BY-DMD'!$H$5:$H$138,0)),"")</f>
        <v>0.090566479503247102</v>
      </c>
      <c r="Q108">
        <f t="shared" si="146"/>
        <v>0.088896716754890637</v>
      </c>
      <c r="R108">
        <f t="shared" si="146"/>
        <v>0.085363595577208837</v>
      </c>
      <c r="S108">
        <f t="shared" si="146"/>
        <v>0.080468893995946852</v>
      </c>
      <c r="T108">
        <f t="shared" si="146"/>
        <v>0.078404676852304026</v>
      </c>
      <c r="U108">
        <f t="shared" si="146"/>
        <v>0.089600810397442332</v>
      </c>
      <c r="V108">
        <f t="shared" si="146"/>
        <v>0.084068311598840886</v>
      </c>
      <c r="W108">
        <f t="shared" si="146"/>
        <v>0.08277410021741706</v>
      </c>
      <c r="X108">
        <f t="shared" si="146"/>
        <v>0.082447114911089886</v>
      </c>
      <c r="Y108">
        <f t="shared" si="146"/>
        <v>0.084382263039920621</v>
      </c>
      <c r="Z108">
        <f t="shared" si="146"/>
        <v>0.084301930389962892</v>
      </c>
      <c r="AA108">
        <f t="shared" si="146"/>
        <v>0.084265421140192934</v>
      </c>
      <c r="AB108">
        <f t="shared" si="146"/>
        <v>0.085289004002020496</v>
      </c>
      <c r="AC108">
        <f t="shared" si="146"/>
        <v>0.086813402391081915</v>
      </c>
      <c r="AD108">
        <f t="shared" si="146"/>
        <v>0.088654958551860938</v>
      </c>
      <c r="AE108">
        <f t="shared" si="146"/>
        <v>0.090597582797492651</v>
      </c>
      <c r="AF108">
        <f t="shared" si="146"/>
        <v>0.092770078947900417</v>
      </c>
      <c r="AG108">
        <f t="shared" si="146"/>
        <v>0.09479832073869604</v>
      </c>
      <c r="AH108">
        <f t="shared" si="146"/>
        <v>0.10069995264855319</v>
      </c>
      <c r="AI108">
        <f t="shared" si="146"/>
        <v>0.10239821618618465</v>
      </c>
      <c r="AJ108">
        <f t="shared" si="146"/>
        <v>0.10476969185618154</v>
      </c>
      <c r="AK108">
        <f t="shared" si="146"/>
        <v>0.10729334546485396</v>
      </c>
      <c r="AL108">
        <f t="shared" si="146"/>
        <v>0.11011955489171676</v>
      </c>
      <c r="AM108">
        <f t="shared" si="146"/>
        <v>0.11307909645125996</v>
      </c>
      <c r="AN108">
        <f t="shared" si="146"/>
        <v>0.12615094445646977</v>
      </c>
      <c r="AO108">
        <f t="shared" si="146"/>
        <v>0.1433542946750585</v>
      </c>
      <c r="AP108">
        <f t="shared" si="146"/>
        <v>0.16595141072624661</v>
      </c>
      <c r="AQ108">
        <f t="shared" si="146"/>
        <v>0.1858291766336613</v>
      </c>
    </row>
    <row r="109" spans="1:43" ht="15">
      <c r="A109" s="48" t="str">
        <f>'[4]TS BYDem'!A99</f>
        <v/>
      </c>
      <c r="B109" t="s">
        <v>272</v>
      </c>
      <c r="C109" t="s">
        <v>125</v>
      </c>
      <c r="D109" s="9" t="s">
        <v>334</v>
      </c>
      <c r="E109" t="s">
        <v>125</v>
      </c>
      <c r="F109" t="s">
        <v>125</v>
      </c>
      <c r="G109" t="s">
        <v>125</v>
      </c>
      <c r="I109" t="s">
        <v>125</v>
      </c>
      <c r="J109">
        <v>0</v>
      </c>
      <c r="K109">
        <f>INDEX('[4]TS BYDem'!$J$10:$J$203,MATCH(D109,'[4]TS BYDem'!$D$10:$D$203,0))</f>
        <v>0</v>
      </c>
      <c r="L109">
        <f t="shared" si="149"/>
        <v>0</v>
      </c>
      <c r="M109">
        <f t="shared" si="146"/>
        <v>0</v>
      </c>
      <c r="N109" s="166">
        <f t="shared" si="147"/>
        <v>0</v>
      </c>
      <c r="O109" s="166">
        <f t="shared" si="148"/>
        <v>0</v>
      </c>
      <c r="P109" s="288">
        <f>IFERROR(INDEX('BY-DMD'!$I$5:$I$138,MATCH(D109,'BY-DMD'!$H$5:$H$138,0)),"")</f>
        <v>0</v>
      </c>
      <c r="Q109">
        <f t="shared" si="146"/>
        <v>0</v>
      </c>
      <c r="R109">
        <f t="shared" si="146"/>
        <v>0</v>
      </c>
      <c r="S109">
        <f t="shared" si="146"/>
        <v>0</v>
      </c>
      <c r="T109">
        <f t="shared" si="146"/>
        <v>0</v>
      </c>
      <c r="U109">
        <f t="shared" si="146"/>
        <v>0</v>
      </c>
      <c r="V109">
        <f t="shared" si="146"/>
        <v>0</v>
      </c>
      <c r="W109">
        <f t="shared" si="146"/>
        <v>0</v>
      </c>
      <c r="X109">
        <f t="shared" si="146"/>
        <v>0</v>
      </c>
      <c r="Y109">
        <f t="shared" si="146"/>
        <v>0</v>
      </c>
      <c r="Z109">
        <f t="shared" si="146"/>
        <v>0</v>
      </c>
      <c r="AA109">
        <f t="shared" si="146"/>
        <v>0</v>
      </c>
      <c r="AB109">
        <f t="shared" si="146"/>
        <v>0</v>
      </c>
      <c r="AC109">
        <f t="shared" si="146"/>
        <v>0</v>
      </c>
      <c r="AD109">
        <f t="shared" si="146"/>
        <v>0</v>
      </c>
      <c r="AE109">
        <f t="shared" si="146"/>
        <v>0</v>
      </c>
      <c r="AF109">
        <f t="shared" si="146"/>
        <v>0</v>
      </c>
      <c r="AG109">
        <f t="shared" si="146"/>
        <v>0</v>
      </c>
      <c r="AH109">
        <f t="shared" si="146"/>
        <v>0</v>
      </c>
      <c r="AI109">
        <f t="shared" si="146"/>
        <v>0</v>
      </c>
      <c r="AJ109">
        <f t="shared" si="146"/>
        <v>0</v>
      </c>
      <c r="AK109">
        <f t="shared" si="146"/>
        <v>0</v>
      </c>
      <c r="AL109">
        <f t="shared" si="146"/>
        <v>0</v>
      </c>
      <c r="AM109">
        <f t="shared" si="146"/>
        <v>0</v>
      </c>
      <c r="AN109">
        <f t="shared" si="146"/>
        <v>0</v>
      </c>
      <c r="AO109">
        <f t="shared" si="146"/>
        <v>0</v>
      </c>
      <c r="AP109">
        <f t="shared" si="146"/>
        <v>0</v>
      </c>
      <c r="AQ109">
        <f t="shared" si="146"/>
        <v>0</v>
      </c>
    </row>
    <row r="110" spans="1:43" ht="15">
      <c r="A110" s="48" t="str">
        <f>'[4]TS BYDem'!A100</f>
        <v/>
      </c>
      <c r="B110" t="s">
        <v>272</v>
      </c>
      <c r="C110" t="s">
        <v>125</v>
      </c>
      <c r="D110" s="9" t="s">
        <v>329</v>
      </c>
      <c r="E110" t="s">
        <v>125</v>
      </c>
      <c r="F110" t="s">
        <v>125</v>
      </c>
      <c r="G110" t="s">
        <v>125</v>
      </c>
      <c r="I110" t="s">
        <v>125</v>
      </c>
      <c r="J110">
        <v>0</v>
      </c>
      <c r="K110">
        <f>INDEX('[4]TS BYDem'!$J$10:$J$203,MATCH(D110,'[4]TS BYDem'!$D$10:$D$203,0))</f>
        <v>0</v>
      </c>
      <c r="L110">
        <f t="shared" si="149"/>
        <v>0</v>
      </c>
      <c r="M110">
        <f t="shared" si="146"/>
        <v>0</v>
      </c>
      <c r="N110" s="166">
        <f t="shared" si="147"/>
        <v>0</v>
      </c>
      <c r="O110" s="166">
        <f t="shared" si="148"/>
        <v>0</v>
      </c>
      <c r="P110" s="288">
        <f>IFERROR(INDEX('BY-DMD'!$I$5:$I$138,MATCH(D110,'BY-DMD'!$H$5:$H$138,0)),"")</f>
        <v>0</v>
      </c>
      <c r="Q110">
        <f t="shared" si="146"/>
        <v>0</v>
      </c>
      <c r="R110">
        <f t="shared" si="146"/>
        <v>0</v>
      </c>
      <c r="S110">
        <f t="shared" si="146"/>
        <v>0</v>
      </c>
      <c r="T110">
        <f t="shared" si="146"/>
        <v>0</v>
      </c>
      <c r="U110">
        <f t="shared" si="146"/>
        <v>0</v>
      </c>
      <c r="V110">
        <f t="shared" si="146"/>
        <v>0</v>
      </c>
      <c r="W110">
        <f t="shared" si="146"/>
        <v>0</v>
      </c>
      <c r="X110">
        <f t="shared" si="146"/>
        <v>0</v>
      </c>
      <c r="Y110">
        <f t="shared" si="146"/>
        <v>0</v>
      </c>
      <c r="Z110">
        <f t="shared" si="146"/>
        <v>0</v>
      </c>
      <c r="AA110">
        <f t="shared" si="146"/>
        <v>0</v>
      </c>
      <c r="AB110">
        <f t="shared" si="146"/>
        <v>0</v>
      </c>
      <c r="AC110">
        <f t="shared" si="146"/>
        <v>0</v>
      </c>
      <c r="AD110">
        <f t="shared" si="146"/>
        <v>0</v>
      </c>
      <c r="AE110">
        <f t="shared" si="146"/>
        <v>0</v>
      </c>
      <c r="AF110">
        <f t="shared" si="146"/>
        <v>0</v>
      </c>
      <c r="AG110">
        <f t="shared" si="146"/>
        <v>0</v>
      </c>
      <c r="AH110">
        <f t="shared" si="146"/>
        <v>0</v>
      </c>
      <c r="AI110">
        <f t="shared" si="146"/>
        <v>0</v>
      </c>
      <c r="AJ110">
        <f t="shared" si="146"/>
        <v>0</v>
      </c>
      <c r="AK110">
        <f t="shared" si="146"/>
        <v>0</v>
      </c>
      <c r="AL110">
        <f t="shared" si="146"/>
        <v>0</v>
      </c>
      <c r="AM110">
        <f t="shared" si="146"/>
        <v>0</v>
      </c>
      <c r="AN110">
        <f t="shared" si="146"/>
        <v>0</v>
      </c>
      <c r="AO110">
        <f t="shared" si="146"/>
        <v>0</v>
      </c>
      <c r="AP110">
        <f t="shared" si="146"/>
        <v>0</v>
      </c>
      <c r="AQ110">
        <f t="shared" si="146"/>
        <v>0</v>
      </c>
    </row>
    <row r="111" spans="1:43" ht="15">
      <c r="A111" s="48" t="str">
        <f>'[4]TS BYDem'!A101</f>
        <v/>
      </c>
      <c r="B111" t="s">
        <v>272</v>
      </c>
      <c r="C111" t="s">
        <v>125</v>
      </c>
      <c r="D111" s="9" t="s">
        <v>333</v>
      </c>
      <c r="E111" t="s">
        <v>125</v>
      </c>
      <c r="F111" t="s">
        <v>125</v>
      </c>
      <c r="G111" t="s">
        <v>125</v>
      </c>
      <c r="I111" t="s">
        <v>125</v>
      </c>
      <c r="J111">
        <v>0</v>
      </c>
      <c r="K111">
        <f>INDEX('[4]TS BYDem'!$J$10:$J$203,MATCH(D111,'[4]TS BYDem'!$D$10:$D$203,0))</f>
        <v>3.7402169397795899</v>
      </c>
      <c r="L111">
        <f t="shared" si="149"/>
        <v>3.1738182674610305</v>
      </c>
      <c r="M111">
        <f t="shared" si="146"/>
        <v>2.9134327575795989</v>
      </c>
      <c r="N111" s="166">
        <f t="shared" si="147"/>
        <v>0.56352476135353802</v>
      </c>
      <c r="O111" s="166">
        <f t="shared" si="148"/>
        <v>0.56352476135353802</v>
      </c>
      <c r="P111" s="288">
        <f>IFERROR(INDEX('BY-DMD'!$I$5:$I$138,MATCH(D111,'BY-DMD'!$H$5:$H$138,0)),"")</f>
        <v>0.56352476135353802</v>
      </c>
      <c r="Q111">
        <f t="shared" si="146"/>
        <v>0.55313512647487562</v>
      </c>
      <c r="R111">
        <f t="shared" si="146"/>
        <v>0.53115126136929991</v>
      </c>
      <c r="S111">
        <f t="shared" si="146"/>
        <v>0.50069534041922537</v>
      </c>
      <c r="T111">
        <f t="shared" si="146"/>
        <v>0.48785132263655889</v>
      </c>
      <c r="U111">
        <f t="shared" si="146"/>
        <v>0.55751615358408624</v>
      </c>
      <c r="V111">
        <f t="shared" si="146"/>
        <v>0.52309171661501053</v>
      </c>
      <c r="W111">
        <f t="shared" si="146"/>
        <v>0.51503884579726222</v>
      </c>
      <c r="X111">
        <f t="shared" si="146"/>
        <v>0.51300427055789322</v>
      </c>
      <c r="Y111">
        <f t="shared" si="146"/>
        <v>0.52504519224839552</v>
      </c>
      <c r="Z111">
        <f t="shared" si="146"/>
        <v>0.52454534464865854</v>
      </c>
      <c r="AA111">
        <f t="shared" si="146"/>
        <v>0.52431817598342323</v>
      </c>
      <c r="AB111">
        <f t="shared" si="146"/>
        <v>0.53068713601257256</v>
      </c>
      <c r="AC111">
        <f t="shared" si="146"/>
        <v>0.54017228154451036</v>
      </c>
      <c r="AD111">
        <f t="shared" si="146"/>
        <v>0.55163085321157979</v>
      </c>
      <c r="AE111">
        <f t="shared" si="146"/>
        <v>0.56371829296217713</v>
      </c>
      <c r="AF111">
        <f t="shared" si="146"/>
        <v>0.57723604678693652</v>
      </c>
      <c r="AG111">
        <f t="shared" si="146"/>
        <v>0.58985621792966481</v>
      </c>
      <c r="AH111">
        <f t="shared" si="146"/>
        <v>0.62657748314655382</v>
      </c>
      <c r="AI111">
        <f t="shared" si="146"/>
        <v>0.63714445626959404</v>
      </c>
      <c r="AJ111">
        <f t="shared" si="146"/>
        <v>0.65190030488290807</v>
      </c>
      <c r="AK111">
        <f t="shared" si="146"/>
        <v>0.66760303844798097</v>
      </c>
      <c r="AL111">
        <f t="shared" si="146"/>
        <v>0.68518834154846064</v>
      </c>
      <c r="AM111">
        <f t="shared" si="146"/>
        <v>0.70360326680784058</v>
      </c>
      <c r="AN111">
        <f t="shared" si="146"/>
        <v>0.78493920995136834</v>
      </c>
      <c r="AO111">
        <f t="shared" si="146"/>
        <v>0.89198227797814278</v>
      </c>
      <c r="AP111">
        <f t="shared" si="146"/>
        <v>1.03258655562998</v>
      </c>
      <c r="AQ111">
        <f t="shared" si="146"/>
        <v>1.156270432387227</v>
      </c>
    </row>
    <row r="112" spans="1:43" ht="15">
      <c r="A112" s="48" t="str">
        <f>'[4]TS BYDem'!A102</f>
        <v/>
      </c>
      <c r="B112" t="s">
        <v>272</v>
      </c>
      <c r="C112" t="s">
        <v>125</v>
      </c>
      <c r="D112" s="9" t="s">
        <v>328</v>
      </c>
      <c r="E112" t="s">
        <v>125</v>
      </c>
      <c r="F112" t="s">
        <v>125</v>
      </c>
      <c r="G112" t="s">
        <v>125</v>
      </c>
      <c r="I112" t="s">
        <v>125</v>
      </c>
      <c r="J112">
        <v>0</v>
      </c>
      <c r="K112">
        <f>INDEX('[4]TS BYDem'!$J$10:$J$203,MATCH(D112,'[4]TS BYDem'!$D$10:$D$203,0))</f>
        <v>45.6840783358792</v>
      </c>
      <c r="L112">
        <f t="shared" si="149"/>
        <v>38.76592312398823</v>
      </c>
      <c r="M112">
        <f t="shared" si="146"/>
        <v>35.585500110436463</v>
      </c>
      <c r="N112" s="166">
        <f t="shared" si="147"/>
        <v>6.8830524422467798</v>
      </c>
      <c r="O112" s="166">
        <f t="shared" si="148"/>
        <v>6.8830524422467798</v>
      </c>
      <c r="P112" s="288">
        <f>IFERROR(INDEX('BY-DMD'!$I$5:$I$138,MATCH(D112,'BY-DMD'!$H$5:$H$138,0)),"")</f>
        <v>6.8830524422467798</v>
      </c>
      <c r="Q112">
        <f t="shared" si="146"/>
        <v>6.7561504733716884</v>
      </c>
      <c r="R112">
        <f t="shared" si="146"/>
        <v>6.4876332638678713</v>
      </c>
      <c r="S112">
        <f t="shared" si="146"/>
        <v>6.1156359436919612</v>
      </c>
      <c r="T112">
        <f t="shared" si="146"/>
        <v>5.9587554407751071</v>
      </c>
      <c r="U112">
        <f t="shared" si="146"/>
        <v>6.8096615902056179</v>
      </c>
      <c r="V112">
        <f t="shared" si="146"/>
        <v>6.3891916815119076</v>
      </c>
      <c r="W112">
        <f t="shared" si="146"/>
        <v>6.2908316165236968</v>
      </c>
      <c r="X112">
        <f t="shared" si="146"/>
        <v>6.2659807332428317</v>
      </c>
      <c r="Y112">
        <f t="shared" si="146"/>
        <v>6.4130519910339672</v>
      </c>
      <c r="Z112">
        <f t="shared" si="146"/>
        <v>6.4069467096371797</v>
      </c>
      <c r="AA112">
        <f t="shared" si="146"/>
        <v>6.4041720066546626</v>
      </c>
      <c r="AB112">
        <f t="shared" si="146"/>
        <v>6.4819643041535571</v>
      </c>
      <c r="AC112">
        <f t="shared" si="146"/>
        <v>6.5978185817222252</v>
      </c>
      <c r="AD112">
        <f t="shared" si="146"/>
        <v>6.7377768499414303</v>
      </c>
      <c r="AE112">
        <f t="shared" si="146"/>
        <v>6.88541629260944</v>
      </c>
      <c r="AF112">
        <f t="shared" si="146"/>
        <v>7.0505260000404304</v>
      </c>
      <c r="AG112">
        <f t="shared" si="146"/>
        <v>7.2046723761408975</v>
      </c>
      <c r="AH112">
        <f t="shared" si="146"/>
        <v>7.6531964012900415</v>
      </c>
      <c r="AI112">
        <f t="shared" si="146"/>
        <v>7.7822644301500326</v>
      </c>
      <c r="AJ112">
        <f t="shared" si="146"/>
        <v>7.9624965810697956</v>
      </c>
      <c r="AK112">
        <f t="shared" si="146"/>
        <v>8.1542942553288995</v>
      </c>
      <c r="AL112">
        <f t="shared" si="146"/>
        <v>8.3690861717704728</v>
      </c>
      <c r="AM112">
        <f t="shared" si="146"/>
        <v>8.5940113302957553</v>
      </c>
      <c r="AN112">
        <f t="shared" si="146"/>
        <v>9.5874717786917003</v>
      </c>
      <c r="AO112">
        <f t="shared" si="146"/>
        <v>10.894926395304443</v>
      </c>
      <c r="AP112">
        <f t="shared" si="146"/>
        <v>12.612307215194738</v>
      </c>
      <c r="AQ112">
        <f t="shared" si="146"/>
        <v>14.123017424158254</v>
      </c>
    </row>
    <row r="113" spans="1:43" ht="15">
      <c r="A113" s="48" t="str">
        <f>'[4]TS BYDem'!A104</f>
        <v/>
      </c>
      <c r="B113" t="s">
        <v>272</v>
      </c>
      <c r="C113" t="s">
        <v>125</v>
      </c>
      <c r="D113" s="9" t="s">
        <v>335</v>
      </c>
      <c r="E113" t="s">
        <v>125</v>
      </c>
      <c r="F113" t="s">
        <v>125</v>
      </c>
      <c r="G113" t="s">
        <v>125</v>
      </c>
      <c r="I113" t="s">
        <v>125</v>
      </c>
      <c r="J113">
        <v>0</v>
      </c>
      <c r="K113">
        <f>INDEX('[4]TS BYDem'!$J$10:$J$203,MATCH(D113,'[4]TS BYDem'!$D$10:$D$203,0))</f>
        <v>2.487856608</v>
      </c>
      <c r="L113">
        <f t="shared" si="149"/>
        <v>2.1111087609157093</v>
      </c>
      <c r="M113">
        <f t="shared" si="149"/>
        <v>1.9379097668958214</v>
      </c>
      <c r="N113" s="166">
        <f t="shared" si="150" ref="N113">P113</f>
        <v>1.9115200000000001</v>
      </c>
      <c r="O113" s="166">
        <f t="shared" si="151" ref="O113">P113</f>
        <v>1.9115200000000001</v>
      </c>
      <c r="P113" s="288">
        <f>IFERROR(INDEX('BY-DMD'!$I$5:$I$138,MATCH(D113,'BY-DMD'!$H$5:$H$138,0)),"")</f>
        <v>1.9115200000000001</v>
      </c>
      <c r="Q113">
        <f t="shared" si="152" ref="Q113:AE113">Q$103/P$103*P113</f>
        <v>1.8762775470941884</v>
      </c>
      <c r="R113">
        <f t="shared" si="152"/>
        <v>1.8017065597862387</v>
      </c>
      <c r="S113">
        <f t="shared" si="152"/>
        <v>1.6983976974131745</v>
      </c>
      <c r="T113">
        <f t="shared" si="152"/>
        <v>1.6548297860174945</v>
      </c>
      <c r="U113">
        <f t="shared" si="152"/>
        <v>1.8911383331928924</v>
      </c>
      <c r="V113">
        <f t="shared" si="152"/>
        <v>1.7743679545549167</v>
      </c>
      <c r="W113">
        <f t="shared" si="152"/>
        <v>1.7470519878375554</v>
      </c>
      <c r="X113">
        <f t="shared" si="152"/>
        <v>1.7401505497317704</v>
      </c>
      <c r="Y113">
        <f t="shared" si="152"/>
        <v>1.780994296463583</v>
      </c>
      <c r="Z113">
        <f t="shared" si="152"/>
        <v>1.7792987743687698</v>
      </c>
      <c r="AA113">
        <f t="shared" si="152"/>
        <v>1.7785282005151424</v>
      </c>
      <c r="AB113">
        <f t="shared" si="152"/>
        <v>1.8001322103295072</v>
      </c>
      <c r="AC113">
        <f t="shared" si="152"/>
        <v>1.832306564733492</v>
      </c>
      <c r="AD113">
        <f t="shared" si="152"/>
        <v>1.8711749347061384</v>
      </c>
      <c r="AE113">
        <f t="shared" si="152"/>
        <v>1.9121764743307055</v>
      </c>
      <c r="AF113">
        <f t="shared" si="153" ref="AF113:AQ113">AF$103/AE$103*AE113</f>
        <v>1.9580297509978035</v>
      </c>
      <c r="AG113">
        <f t="shared" si="153"/>
        <v>2.0008383571091035</v>
      </c>
      <c r="AH113">
        <f t="shared" si="153"/>
        <v>2.1253997565386316</v>
      </c>
      <c r="AI113">
        <f t="shared" si="153"/>
        <v>2.1612437546189245</v>
      </c>
      <c r="AJ113">
        <f t="shared" si="153"/>
        <v>2.2112967455000585</v>
      </c>
      <c r="AK113">
        <f t="shared" si="153"/>
        <v>2.2645616440862573</v>
      </c>
      <c r="AL113">
        <f t="shared" si="153"/>
        <v>2.3242123655592399</v>
      </c>
      <c r="AM113">
        <f t="shared" si="153"/>
        <v>2.3866772301860602</v>
      </c>
      <c r="AN113">
        <f t="shared" si="153"/>
        <v>2.662575101406977</v>
      </c>
      <c r="AO113">
        <f t="shared" si="153"/>
        <v>3.0256735478764316</v>
      </c>
      <c r="AP113">
        <f t="shared" si="153"/>
        <v>3.5026142384176642</v>
      </c>
      <c r="AQ113">
        <f t="shared" si="153"/>
        <v>3.9221596076950358</v>
      </c>
    </row>
    <row r="114" spans="1:43" s="8" customFormat="1" ht="15">
      <c r="A114" s="48" t="str">
        <f>'[4]TS BYDem'!A127</f>
        <v>*</v>
      </c>
      <c r="B114" s="284"/>
      <c r="C114" s="7" t="s">
        <v>764</v>
      </c>
      <c r="D114" s="7" t="s">
        <v>742</v>
      </c>
      <c r="K114" s="8">
        <f t="shared" si="154" ref="K114:AB114">SUMIF($B$10:$B$25,$D114,K$10:K$25)*SUMIF($B$10:$B$25,$D114,K$47:K$62)</f>
        <v>138.08343097582718</v>
      </c>
      <c r="L114" s="8">
        <f t="shared" si="154"/>
        <v>143.16360238477418</v>
      </c>
      <c r="M114" s="8">
        <f t="shared" si="154"/>
        <v>146.98438355117329</v>
      </c>
      <c r="N114" s="8">
        <f t="shared" si="154"/>
        <v>148.78204922418408</v>
      </c>
      <c r="O114" s="8">
        <f t="shared" si="154"/>
        <v>151.86270236184362</v>
      </c>
      <c r="P114" s="8">
        <f t="shared" si="154"/>
        <v>153.55950890468549</v>
      </c>
      <c r="Q114" s="8">
        <f t="shared" si="154"/>
        <v>155.74281242834212</v>
      </c>
      <c r="R114" s="8">
        <f t="shared" si="154"/>
        <v>155.24000000000001</v>
      </c>
      <c r="S114" s="8">
        <f t="shared" si="154"/>
        <v>152.88999999999999</v>
      </c>
      <c r="T114" s="8">
        <f t="shared" si="154"/>
        <v>167.13174106142739</v>
      </c>
      <c r="U114" s="8">
        <f t="shared" si="154"/>
        <v>174.81524018480468</v>
      </c>
      <c r="V114" s="8">
        <f t="shared" si="154"/>
        <v>176.15307432605368</v>
      </c>
      <c r="W114" s="8">
        <f t="shared" si="154"/>
        <v>177.87128054309295</v>
      </c>
      <c r="X114" s="8">
        <f t="shared" si="154"/>
        <v>177.09708186166216</v>
      </c>
      <c r="Y114" s="8">
        <f t="shared" si="154"/>
        <v>176.7862303163169</v>
      </c>
      <c r="Z114" s="8">
        <f t="shared" si="154"/>
        <v>179.3406898621059</v>
      </c>
      <c r="AA114" s="8">
        <f t="shared" si="154"/>
        <v>182.37090266223754</v>
      </c>
      <c r="AB114" s="8">
        <f t="shared" si="154"/>
        <v>185.39729323774759</v>
      </c>
      <c r="AC114" s="8">
        <f>SUMIF($B$10:$B$25,$D114,AC$10:AC$25)*SUMIF($B$10:$B$25,$D114,AC$46:AC$62)</f>
        <v>190.41425950751045</v>
      </c>
      <c r="AD114" s="8">
        <f t="shared" si="155" ref="AD114:AQ114">SUMIF($B$10:$B$25,$D114,AD$10:AD$25)*SUMIF($B$10:$B$25,$D114,AD$47:AD$62)</f>
        <v>195.72791784347467</v>
      </c>
      <c r="AE114" s="8">
        <f t="shared" si="155"/>
        <v>200.97793474475992</v>
      </c>
      <c r="AF114" s="8">
        <f t="shared" si="155"/>
        <v>206.18886862836951</v>
      </c>
      <c r="AG114" s="8">
        <f t="shared" si="155"/>
        <v>211.81036245014377</v>
      </c>
      <c r="AH114" s="8">
        <f t="shared" si="155"/>
        <v>219.46733540580811</v>
      </c>
      <c r="AI114" s="8">
        <f t="shared" si="155"/>
        <v>224.12361898931096</v>
      </c>
      <c r="AJ114" s="8">
        <f t="shared" si="155"/>
        <v>228.55384157341112</v>
      </c>
      <c r="AK114" s="8">
        <f t="shared" si="155"/>
        <v>232.91946178000421</v>
      </c>
      <c r="AL114" s="8">
        <f t="shared" si="155"/>
        <v>237.58304479744407</v>
      </c>
      <c r="AM114" s="8">
        <f t="shared" si="155"/>
        <v>242.22934419814229</v>
      </c>
      <c r="AN114" s="8">
        <f t="shared" si="155"/>
        <v>267.36183449681687</v>
      </c>
      <c r="AO114" s="8">
        <f t="shared" si="155"/>
        <v>296.57473830496309</v>
      </c>
      <c r="AP114" s="8">
        <f t="shared" si="155"/>
        <v>332.88469496349677</v>
      </c>
      <c r="AQ114" s="8">
        <f t="shared" si="155"/>
        <v>372.75783621422681</v>
      </c>
    </row>
    <row r="115" spans="1:43" ht="15">
      <c r="A115" s="48" t="str">
        <f>'[4]TS BYDem'!A132</f>
        <v/>
      </c>
      <c r="B115" t="s">
        <v>272</v>
      </c>
      <c r="C115" t="s">
        <v>125</v>
      </c>
      <c r="D115" s="9" t="s">
        <v>310</v>
      </c>
      <c r="E115" t="s">
        <v>125</v>
      </c>
      <c r="F115" t="s">
        <v>125</v>
      </c>
      <c r="G115" t="s">
        <v>125</v>
      </c>
      <c r="I115" t="s">
        <v>125</v>
      </c>
      <c r="J115">
        <v>0</v>
      </c>
      <c r="K115">
        <f>INDEX('[4]TS BYDem'!$J$10:$J$203,MATCH(D115,'[4]TS BYDem'!$D$10:$D$203,0))</f>
        <v>1.11760716420174</v>
      </c>
      <c r="L115">
        <f t="shared" si="156" ref="L115:M124">L$114/K$114*K115</f>
        <v>1.1587245953221033</v>
      </c>
      <c r="M115">
        <f t="shared" si="156"/>
        <v>1.1896488877896207</v>
      </c>
      <c r="N115" s="166">
        <f t="shared" si="157" ref="N115:N123">P115</f>
        <v>1.04664</v>
      </c>
      <c r="O115" s="166">
        <f t="shared" si="158" ref="O115:O123">P115</f>
        <v>1.04664</v>
      </c>
      <c r="P115" s="288">
        <f>IFERROR(INDEX('BY-DMD'!$I$5:$I$138,MATCH(D115,'BY-DMD'!$H$5:$H$138,0)),"")</f>
        <v>1.04664</v>
      </c>
      <c r="Q115">
        <f t="shared" si="159" ref="Q115:AQ115">Q$114/P$114*P115</f>
        <v>1.0615210895287399</v>
      </c>
      <c r="R115">
        <f t="shared" si="159"/>
        <v>1.0580939907853684</v>
      </c>
      <c r="S115">
        <f t="shared" si="159"/>
        <v>1.0420767215355253</v>
      </c>
      <c r="T115">
        <f t="shared" si="159"/>
        <v>1.1391464241599623</v>
      </c>
      <c r="U115">
        <f t="shared" si="159"/>
        <v>1.1915160727727563</v>
      </c>
      <c r="V115">
        <f t="shared" si="159"/>
        <v>1.200634561986381</v>
      </c>
      <c r="W115">
        <f t="shared" si="159"/>
        <v>1.2123456137332203</v>
      </c>
      <c r="X115">
        <f t="shared" si="159"/>
        <v>1.2070687844849861</v>
      </c>
      <c r="Y115">
        <f t="shared" si="159"/>
        <v>1.2049500641026352</v>
      </c>
      <c r="Z115">
        <f t="shared" si="159"/>
        <v>1.2223609008399687</v>
      </c>
      <c r="AA115">
        <f t="shared" si="159"/>
        <v>1.2430144047991298</v>
      </c>
      <c r="AB115">
        <f t="shared" si="159"/>
        <v>1.2636418570132284</v>
      </c>
      <c r="AC115">
        <f t="shared" si="159"/>
        <v>1.2978367929962802</v>
      </c>
      <c r="AD115">
        <f t="shared" si="159"/>
        <v>1.3340539403447105</v>
      </c>
      <c r="AE115">
        <f t="shared" si="159"/>
        <v>1.3698373166315665</v>
      </c>
      <c r="AF115">
        <f t="shared" si="159"/>
        <v>1.4053543085706748</v>
      </c>
      <c r="AG115">
        <f t="shared" si="159"/>
        <v>1.4436696192641585</v>
      </c>
      <c r="AH115">
        <f t="shared" si="159"/>
        <v>1.49585846925124</v>
      </c>
      <c r="AI115">
        <f t="shared" si="159"/>
        <v>1.5275950428089373</v>
      </c>
      <c r="AJ115">
        <f t="shared" si="159"/>
        <v>1.5577908164116043</v>
      </c>
      <c r="AK115">
        <f t="shared" si="159"/>
        <v>1.5875462693016285</v>
      </c>
      <c r="AL115">
        <f t="shared" si="159"/>
        <v>1.6193325947736834</v>
      </c>
      <c r="AM115">
        <f t="shared" si="159"/>
        <v>1.6510011175466057</v>
      </c>
      <c r="AN115">
        <f t="shared" si="159"/>
        <v>1.8223006341563659</v>
      </c>
      <c r="AO115">
        <f t="shared" si="159"/>
        <v>2.0214116749499151</v>
      </c>
      <c r="AP115">
        <f t="shared" si="159"/>
        <v>2.268895229098792</v>
      </c>
      <c r="AQ115">
        <f t="shared" si="159"/>
        <v>2.5406649479285632</v>
      </c>
    </row>
    <row r="116" spans="1:43" ht="15">
      <c r="A116" s="48" t="str">
        <f>'[4]TS BYDem'!A133</f>
        <v/>
      </c>
      <c r="B116" t="s">
        <v>272</v>
      </c>
      <c r="C116" t="s">
        <v>125</v>
      </c>
      <c r="D116" s="9" t="s">
        <v>305</v>
      </c>
      <c r="E116" t="s">
        <v>125</v>
      </c>
      <c r="F116" t="s">
        <v>125</v>
      </c>
      <c r="G116" t="s">
        <v>125</v>
      </c>
      <c r="I116" t="s">
        <v>125</v>
      </c>
      <c r="J116">
        <v>0</v>
      </c>
      <c r="K116">
        <f>INDEX('[4]TS BYDem'!$J$10:$J$203,MATCH(D116,'[4]TS BYDem'!$D$10:$D$203,0))</f>
        <v>0.031931633262906697</v>
      </c>
      <c r="L116">
        <f t="shared" si="156"/>
        <v>0.033106417009202783</v>
      </c>
      <c r="M116">
        <f t="shared" si="156"/>
        <v>0.033989968222560424</v>
      </c>
      <c r="N116" s="166">
        <f t="shared" si="157"/>
        <v>0.029904</v>
      </c>
      <c r="O116" s="166">
        <f t="shared" si="158"/>
        <v>0.029904</v>
      </c>
      <c r="P116" s="288">
        <f>IFERROR(INDEX('BY-DMD'!$I$5:$I$138,MATCH(D116,'BY-DMD'!$H$5:$H$138,0)),"")</f>
        <v>0.029904</v>
      </c>
      <c r="Q116">
        <f t="shared" si="160" ref="Q116:AQ116">Q$114/P$114*P116</f>
        <v>0.030329173986535427</v>
      </c>
      <c r="R116">
        <f t="shared" si="160"/>
        <v>0.030231256879581957</v>
      </c>
      <c r="S116">
        <f t="shared" si="160"/>
        <v>0.029773620615300724</v>
      </c>
      <c r="T116">
        <f t="shared" si="160"/>
        <v>0.032547040690284634</v>
      </c>
      <c r="U116">
        <f t="shared" si="160"/>
        <v>0.034043316364935891</v>
      </c>
      <c r="V116">
        <f t="shared" si="160"/>
        <v>0.034303844628182312</v>
      </c>
      <c r="W116">
        <f t="shared" si="160"/>
        <v>0.034638446106663431</v>
      </c>
      <c r="X116">
        <f t="shared" si="160"/>
        <v>0.034487679556713884</v>
      </c>
      <c r="Y116">
        <f t="shared" si="160"/>
        <v>0.034427144688646709</v>
      </c>
      <c r="Z116">
        <f t="shared" si="160"/>
        <v>0.034924597166856239</v>
      </c>
      <c r="AA116">
        <f t="shared" si="160"/>
        <v>0.035514697279975131</v>
      </c>
      <c r="AB116">
        <f t="shared" si="160"/>
        <v>0.036104053057520805</v>
      </c>
      <c r="AC116">
        <f t="shared" si="160"/>
        <v>0.037081051228465146</v>
      </c>
      <c r="AD116">
        <f t="shared" si="160"/>
        <v>0.038115826866991727</v>
      </c>
      <c r="AE116">
        <f t="shared" si="160"/>
        <v>0.039138209046616183</v>
      </c>
      <c r="AF116">
        <f t="shared" si="160"/>
        <v>0.040152980244876423</v>
      </c>
      <c r="AG116">
        <f t="shared" si="160"/>
        <v>0.041247703407547388</v>
      </c>
      <c r="AH116">
        <f t="shared" si="160"/>
        <v>0.042738813407178292</v>
      </c>
      <c r="AI116">
        <f t="shared" si="160"/>
        <v>0.04364557265168393</v>
      </c>
      <c r="AJ116">
        <f t="shared" si="160"/>
        <v>0.044508309040331553</v>
      </c>
      <c r="AK116">
        <f t="shared" si="160"/>
        <v>0.045358464837189381</v>
      </c>
      <c r="AL116">
        <f t="shared" si="160"/>
        <v>0.046266645564962378</v>
      </c>
      <c r="AM116">
        <f t="shared" si="160"/>
        <v>0.047171460501331586</v>
      </c>
      <c r="AN116">
        <f t="shared" si="160"/>
        <v>0.052065732404467595</v>
      </c>
      <c r="AO116">
        <f t="shared" si="160"/>
        <v>0.057754619284283285</v>
      </c>
      <c r="AP116">
        <f t="shared" si="160"/>
        <v>0.064825577974251189</v>
      </c>
      <c r="AQ116">
        <f t="shared" si="160"/>
        <v>0.07259042708367322</v>
      </c>
    </row>
    <row r="117" spans="1:43" ht="15">
      <c r="A117" s="48" t="str">
        <f>'[4]TS BYDem'!A134</f>
        <v/>
      </c>
      <c r="B117" t="s">
        <v>272</v>
      </c>
      <c r="C117" t="s">
        <v>125</v>
      </c>
      <c r="D117" s="9" t="s">
        <v>311</v>
      </c>
      <c r="E117" t="s">
        <v>125</v>
      </c>
      <c r="F117" t="s">
        <v>125</v>
      </c>
      <c r="G117" t="s">
        <v>125</v>
      </c>
      <c r="I117" t="s">
        <v>125</v>
      </c>
      <c r="J117">
        <v>0</v>
      </c>
      <c r="K117">
        <f>INDEX('[4]TS BYDem'!$J$10:$J$203,MATCH(D117,'[4]TS BYDem'!$D$10:$D$203,0))</f>
        <v>0.2394872494718</v>
      </c>
      <c r="L117">
        <f t="shared" si="156"/>
        <v>0.24829812756902067</v>
      </c>
      <c r="M117">
        <f t="shared" si="156"/>
        <v>0.25492476166920297</v>
      </c>
      <c r="N117" s="166">
        <f t="shared" si="157"/>
        <v>0.22428000000000001</v>
      </c>
      <c r="O117" s="166">
        <f t="shared" si="158"/>
        <v>0.22428000000000001</v>
      </c>
      <c r="P117" s="288">
        <f>IFERROR(INDEX('BY-DMD'!$I$5:$I$138,MATCH(D117,'BY-DMD'!$H$5:$H$138,0)),"")</f>
        <v>0.22428000000000001</v>
      </c>
      <c r="Q117">
        <f t="shared" si="161" ref="Q117:AQ117">Q$114/P$114*P117</f>
        <v>0.22746880489901572</v>
      </c>
      <c r="R117">
        <f t="shared" si="161"/>
        <v>0.22673442659686469</v>
      </c>
      <c r="S117">
        <f t="shared" si="161"/>
        <v>0.22330215461475544</v>
      </c>
      <c r="T117">
        <f t="shared" si="161"/>
        <v>0.24410280517713476</v>
      </c>
      <c r="U117">
        <f t="shared" si="161"/>
        <v>0.2553248727370192</v>
      </c>
      <c r="V117">
        <f t="shared" si="161"/>
        <v>0.25727883471136737</v>
      </c>
      <c r="W117">
        <f t="shared" si="161"/>
        <v>0.25978834579997578</v>
      </c>
      <c r="X117">
        <f t="shared" si="161"/>
        <v>0.25865759667535421</v>
      </c>
      <c r="Y117">
        <f t="shared" si="161"/>
        <v>0.25820358516485042</v>
      </c>
      <c r="Z117">
        <f t="shared" si="161"/>
        <v>0.2619344787514219</v>
      </c>
      <c r="AA117">
        <f t="shared" si="161"/>
        <v>0.26636022959981359</v>
      </c>
      <c r="AB117">
        <f t="shared" si="161"/>
        <v>0.27078039793140612</v>
      </c>
      <c r="AC117">
        <f t="shared" si="161"/>
        <v>0.27810788421348864</v>
      </c>
      <c r="AD117">
        <f t="shared" si="161"/>
        <v>0.28586870150243798</v>
      </c>
      <c r="AE117">
        <f t="shared" si="161"/>
        <v>0.2935365678496214</v>
      </c>
      <c r="AF117">
        <f t="shared" si="161"/>
        <v>0.30114735183657321</v>
      </c>
      <c r="AG117">
        <f t="shared" si="161"/>
        <v>0.30935777555660543</v>
      </c>
      <c r="AH117">
        <f t="shared" si="161"/>
        <v>0.32054110055383717</v>
      </c>
      <c r="AI117">
        <f t="shared" si="161"/>
        <v>0.32734179488762943</v>
      </c>
      <c r="AJ117">
        <f t="shared" si="161"/>
        <v>0.33381231780248666</v>
      </c>
      <c r="AK117">
        <f t="shared" si="161"/>
        <v>0.3401884862789204</v>
      </c>
      <c r="AL117">
        <f t="shared" si="161"/>
        <v>0.34699984173721787</v>
      </c>
      <c r="AM117">
        <f t="shared" si="161"/>
        <v>0.35378595375998689</v>
      </c>
      <c r="AN117">
        <f t="shared" si="161"/>
        <v>0.39049299303350693</v>
      </c>
      <c r="AO117">
        <f t="shared" si="161"/>
        <v>0.43315964463212459</v>
      </c>
      <c r="AP117">
        <f t="shared" si="161"/>
        <v>0.48619183480688394</v>
      </c>
      <c r="AQ117">
        <f t="shared" si="161"/>
        <v>0.54442820312754914</v>
      </c>
    </row>
    <row r="118" spans="1:43" ht="15">
      <c r="A118" s="48" t="str">
        <f>'[4]TS BYDem'!A135</f>
        <v/>
      </c>
      <c r="B118" t="s">
        <v>272</v>
      </c>
      <c r="C118" t="s">
        <v>125</v>
      </c>
      <c r="D118" s="9" t="s">
        <v>306</v>
      </c>
      <c r="E118" t="s">
        <v>125</v>
      </c>
      <c r="F118" t="s">
        <v>125</v>
      </c>
      <c r="G118" t="s">
        <v>125</v>
      </c>
      <c r="I118" t="s">
        <v>125</v>
      </c>
      <c r="J118">
        <v>0</v>
      </c>
      <c r="K118">
        <f>INDEX('[4]TS BYDem'!$J$10:$J$203,MATCH(D118,'[4]TS BYDem'!$D$10:$D$203,0))</f>
        <v>7.3442756504685498</v>
      </c>
      <c r="L118">
        <f t="shared" si="156"/>
        <v>7.6144759121166503</v>
      </c>
      <c r="M118">
        <f t="shared" si="156"/>
        <v>7.8176926911889071</v>
      </c>
      <c r="N118" s="166">
        <f t="shared" si="157"/>
        <v>6.8779199999999996</v>
      </c>
      <c r="O118" s="166">
        <f t="shared" si="158"/>
        <v>6.8779199999999996</v>
      </c>
      <c r="P118" s="288">
        <f>IFERROR(INDEX('BY-DMD'!$I$5:$I$138,MATCH(D118,'BY-DMD'!$H$5:$H$138,0)),"")</f>
        <v>6.8779199999999996</v>
      </c>
      <c r="Q118">
        <f t="shared" si="162" ref="Q118:AQ118">Q$114/P$114*P118</f>
        <v>6.9757100169031485</v>
      </c>
      <c r="R118">
        <f t="shared" si="162"/>
        <v>6.95318908230385</v>
      </c>
      <c r="S118">
        <f t="shared" si="162"/>
        <v>6.8479327415191671</v>
      </c>
      <c r="T118">
        <f t="shared" si="162"/>
        <v>7.4858193587654664</v>
      </c>
      <c r="U118">
        <f t="shared" si="162"/>
        <v>7.8299627639352565</v>
      </c>
      <c r="V118">
        <f t="shared" si="162"/>
        <v>7.8898842644819327</v>
      </c>
      <c r="W118">
        <f t="shared" si="162"/>
        <v>7.96684260453259</v>
      </c>
      <c r="X118">
        <f t="shared" si="162"/>
        <v>7.9321662980441943</v>
      </c>
      <c r="Y118">
        <f t="shared" si="162"/>
        <v>7.9182432783887444</v>
      </c>
      <c r="Z118">
        <f t="shared" si="162"/>
        <v>8.0326573483769366</v>
      </c>
      <c r="AA118">
        <f t="shared" si="162"/>
        <v>8.1683803743942818</v>
      </c>
      <c r="AB118">
        <f t="shared" si="162"/>
        <v>8.3039322032297864</v>
      </c>
      <c r="AC118">
        <f t="shared" si="162"/>
        <v>8.528641782546984</v>
      </c>
      <c r="AD118">
        <f t="shared" si="162"/>
        <v>8.7666401794080979</v>
      </c>
      <c r="AE118">
        <f t="shared" si="162"/>
        <v>9.0017880807217239</v>
      </c>
      <c r="AF118">
        <f t="shared" si="162"/>
        <v>9.2351854563215792</v>
      </c>
      <c r="AG118">
        <f t="shared" si="162"/>
        <v>9.4869717837359016</v>
      </c>
      <c r="AH118">
        <f t="shared" si="162"/>
        <v>9.8299270836510093</v>
      </c>
      <c r="AI118">
        <f t="shared" si="162"/>
        <v>10.038481709887305</v>
      </c>
      <c r="AJ118">
        <f t="shared" si="162"/>
        <v>10.236911079276259</v>
      </c>
      <c r="AK118">
        <f t="shared" si="162"/>
        <v>10.43244691255356</v>
      </c>
      <c r="AL118">
        <f t="shared" si="162"/>
        <v>10.64132847994135</v>
      </c>
      <c r="AM118">
        <f t="shared" si="162"/>
        <v>10.849435915306268</v>
      </c>
      <c r="AN118">
        <f t="shared" si="162"/>
        <v>11.97511845302755</v>
      </c>
      <c r="AO118">
        <f t="shared" si="162"/>
        <v>13.283562435385159</v>
      </c>
      <c r="AP118">
        <f t="shared" si="162"/>
        <v>14.909882934077778</v>
      </c>
      <c r="AQ118">
        <f t="shared" si="162"/>
        <v>16.695798229244843</v>
      </c>
    </row>
    <row r="119" spans="1:43" ht="15">
      <c r="A119" s="48" t="str">
        <f>'[4]TS BYDem'!A136</f>
        <v/>
      </c>
      <c r="B119" t="s">
        <v>272</v>
      </c>
      <c r="C119" t="s">
        <v>125</v>
      </c>
      <c r="D119" s="9" t="s">
        <v>309</v>
      </c>
      <c r="E119" t="s">
        <v>125</v>
      </c>
      <c r="F119" t="s">
        <v>125</v>
      </c>
      <c r="G119" t="s">
        <v>125</v>
      </c>
      <c r="I119" t="s">
        <v>125</v>
      </c>
      <c r="J119">
        <v>0</v>
      </c>
      <c r="K119">
        <f>INDEX('[4]TS BYDem'!$J$10:$J$203,MATCH(D119,'[4]TS BYDem'!$D$10:$D$203,0))</f>
        <v>0.86215409809848098</v>
      </c>
      <c r="L119">
        <f t="shared" si="156"/>
        <v>0.89387325924847538</v>
      </c>
      <c r="M119">
        <f t="shared" si="156"/>
        <v>0.91772914200913158</v>
      </c>
      <c r="N119" s="166">
        <f t="shared" si="157"/>
        <v>0.80740800000000001</v>
      </c>
      <c r="O119" s="166">
        <f t="shared" si="158"/>
        <v>0.80740800000000001</v>
      </c>
      <c r="P119" s="288">
        <f>IFERROR(INDEX('BY-DMD'!$I$5:$I$138,MATCH(D119,'BY-DMD'!$H$5:$H$138,0)),"")</f>
        <v>0.80740800000000001</v>
      </c>
      <c r="Q119">
        <f t="shared" si="163" ref="Q119:AQ119">Q$114/P$114*P119</f>
        <v>0.81888769763645664</v>
      </c>
      <c r="R119">
        <f t="shared" si="163"/>
        <v>0.8162439357487129</v>
      </c>
      <c r="S119">
        <f t="shared" si="163"/>
        <v>0.80388775661311962</v>
      </c>
      <c r="T119">
        <f t="shared" si="163"/>
        <v>0.87877009863768518</v>
      </c>
      <c r="U119">
        <f t="shared" si="163"/>
        <v>0.91916954185326916</v>
      </c>
      <c r="V119">
        <f t="shared" si="163"/>
        <v>0.92620380496092247</v>
      </c>
      <c r="W119">
        <f t="shared" si="163"/>
        <v>0.93523804487991269</v>
      </c>
      <c r="X119">
        <f t="shared" si="163"/>
        <v>0.93116734803127488</v>
      </c>
      <c r="Y119">
        <f t="shared" si="163"/>
        <v>0.92953290659346122</v>
      </c>
      <c r="Z119">
        <f t="shared" si="163"/>
        <v>0.94296412350511849</v>
      </c>
      <c r="AA119">
        <f t="shared" si="163"/>
        <v>0.95889682655932851</v>
      </c>
      <c r="AB119">
        <f t="shared" si="163"/>
        <v>0.97480943255306174</v>
      </c>
      <c r="AC119">
        <f t="shared" si="163"/>
        <v>1.0011883831685588</v>
      </c>
      <c r="AD119">
        <f t="shared" si="163"/>
        <v>1.0291273254087765</v>
      </c>
      <c r="AE119">
        <f t="shared" si="163"/>
        <v>1.056731644258637</v>
      </c>
      <c r="AF119">
        <f t="shared" si="163"/>
        <v>1.0841304666116633</v>
      </c>
      <c r="AG119">
        <f t="shared" si="163"/>
        <v>1.1136879920037794</v>
      </c>
      <c r="AH119">
        <f t="shared" si="163"/>
        <v>1.1539479619938138</v>
      </c>
      <c r="AI119">
        <f t="shared" si="163"/>
        <v>1.1784304615954659</v>
      </c>
      <c r="AJ119">
        <f t="shared" si="163"/>
        <v>1.2017243440889518</v>
      </c>
      <c r="AK119">
        <f t="shared" si="163"/>
        <v>1.2246785506041131</v>
      </c>
      <c r="AL119">
        <f t="shared" si="163"/>
        <v>1.2491994302539842</v>
      </c>
      <c r="AM119">
        <f t="shared" si="163"/>
        <v>1.2736294335359528</v>
      </c>
      <c r="AN119">
        <f t="shared" si="163"/>
        <v>1.4057747749206251</v>
      </c>
      <c r="AO119">
        <f t="shared" si="163"/>
        <v>1.5593747206756488</v>
      </c>
      <c r="AP119">
        <f t="shared" si="163"/>
        <v>1.7502906053047824</v>
      </c>
      <c r="AQ119">
        <f t="shared" si="163"/>
        <v>1.9599415312591772</v>
      </c>
    </row>
    <row r="120" spans="1:43" ht="15">
      <c r="A120" s="48" t="str">
        <f>'[4]TS BYDem'!A137</f>
        <v/>
      </c>
      <c r="B120" t="s">
        <v>272</v>
      </c>
      <c r="C120" t="s">
        <v>125</v>
      </c>
      <c r="D120" s="9" t="s">
        <v>313</v>
      </c>
      <c r="E120" t="s">
        <v>125</v>
      </c>
      <c r="F120" t="s">
        <v>125</v>
      </c>
      <c r="G120" t="s">
        <v>125</v>
      </c>
      <c r="I120" t="s">
        <v>125</v>
      </c>
      <c r="J120">
        <v>0</v>
      </c>
      <c r="K120">
        <f>INDEX('[4]TS BYDem'!$J$10:$J$203,MATCH(D120,'[4]TS BYDem'!$D$10:$D$203,0))</f>
        <v>3.5763429254455499</v>
      </c>
      <c r="L120">
        <f t="shared" si="156"/>
        <v>3.7079187050307119</v>
      </c>
      <c r="M120">
        <f t="shared" si="156"/>
        <v>3.8068764409267675</v>
      </c>
      <c r="N120" s="166">
        <f t="shared" si="157"/>
        <v>3.3492479999999998</v>
      </c>
      <c r="O120" s="166">
        <f t="shared" si="158"/>
        <v>3.3492479999999998</v>
      </c>
      <c r="P120" s="288">
        <f>IFERROR(INDEX('BY-DMD'!$I$5:$I$138,MATCH(D120,'BY-DMD'!$H$5:$H$138,0)),"")</f>
        <v>3.3492479999999998</v>
      </c>
      <c r="Q120">
        <f t="shared" si="164" ref="Q120:AQ120">Q$114/P$114*P120</f>
        <v>3.3968674864919679</v>
      </c>
      <c r="R120">
        <f t="shared" si="164"/>
        <v>3.3859007705131794</v>
      </c>
      <c r="S120">
        <f t="shared" si="164"/>
        <v>3.3346455089136815</v>
      </c>
      <c r="T120">
        <f t="shared" si="164"/>
        <v>3.6452685573118795</v>
      </c>
      <c r="U120">
        <f t="shared" si="164"/>
        <v>3.8128514328728205</v>
      </c>
      <c r="V120">
        <f t="shared" si="164"/>
        <v>3.8420305983564194</v>
      </c>
      <c r="W120">
        <f t="shared" si="164"/>
        <v>3.879505963946305</v>
      </c>
      <c r="X120">
        <f t="shared" si="164"/>
        <v>3.8626201103519557</v>
      </c>
      <c r="Y120">
        <f t="shared" si="164"/>
        <v>3.8558402051284326</v>
      </c>
      <c r="Z120">
        <f t="shared" si="164"/>
        <v>3.9115548826878999</v>
      </c>
      <c r="AA120">
        <f t="shared" si="164"/>
        <v>3.9776460953572155</v>
      </c>
      <c r="AB120">
        <f t="shared" si="164"/>
        <v>4.0436539424423312</v>
      </c>
      <c r="AC120">
        <f t="shared" si="164"/>
        <v>4.153077737588097</v>
      </c>
      <c r="AD120">
        <f t="shared" si="164"/>
        <v>4.2689726091030735</v>
      </c>
      <c r="AE120">
        <f t="shared" si="164"/>
        <v>4.3834794132210124</v>
      </c>
      <c r="AF120">
        <f t="shared" si="164"/>
        <v>4.4971337874261588</v>
      </c>
      <c r="AG120">
        <f t="shared" si="164"/>
        <v>4.6197427816453072</v>
      </c>
      <c r="AH120">
        <f t="shared" si="164"/>
        <v>4.786747101603968</v>
      </c>
      <c r="AI120">
        <f t="shared" si="164"/>
        <v>4.8883041369885998</v>
      </c>
      <c r="AJ120">
        <f t="shared" si="164"/>
        <v>4.9849306125171342</v>
      </c>
      <c r="AK120">
        <f t="shared" si="164"/>
        <v>5.0801480617652111</v>
      </c>
      <c r="AL120">
        <f t="shared" si="164"/>
        <v>5.1818643032757867</v>
      </c>
      <c r="AM120">
        <f t="shared" si="164"/>
        <v>5.2832035761491376</v>
      </c>
      <c r="AN120">
        <f t="shared" si="164"/>
        <v>5.8313620293003705</v>
      </c>
      <c r="AO120">
        <f t="shared" si="164"/>
        <v>6.4685173598397272</v>
      </c>
      <c r="AP120">
        <f t="shared" si="164"/>
        <v>7.2604647331161329</v>
      </c>
      <c r="AQ120">
        <f t="shared" si="164"/>
        <v>8.1301278333714002</v>
      </c>
    </row>
    <row r="121" spans="1:43" ht="15">
      <c r="A121" s="48" t="str">
        <f>'[4]TS BYDem'!A138</f>
        <v/>
      </c>
      <c r="B121" t="s">
        <v>272</v>
      </c>
      <c r="C121" t="s">
        <v>125</v>
      </c>
      <c r="D121" s="9" t="s">
        <v>308</v>
      </c>
      <c r="E121" t="s">
        <v>125</v>
      </c>
      <c r="F121" t="s">
        <v>125</v>
      </c>
      <c r="G121" t="s">
        <v>125</v>
      </c>
      <c r="I121" t="s">
        <v>125</v>
      </c>
      <c r="J121">
        <v>0</v>
      </c>
      <c r="K121">
        <f>INDEX('[4]TS BYDem'!$J$10:$J$203,MATCH(D121,'[4]TS BYDem'!$D$10:$D$203,0))</f>
        <v>0.51090613220650705</v>
      </c>
      <c r="L121">
        <f t="shared" si="156"/>
        <v>0.52970267214724442</v>
      </c>
      <c r="M121">
        <f t="shared" si="156"/>
        <v>0.54383949156096667</v>
      </c>
      <c r="N121" s="166">
        <f t="shared" si="157"/>
        <v>0.478464</v>
      </c>
      <c r="O121" s="166">
        <f t="shared" si="158"/>
        <v>0.478464</v>
      </c>
      <c r="P121" s="288">
        <f>IFERROR(INDEX('BY-DMD'!$I$5:$I$138,MATCH(D121,'BY-DMD'!$H$5:$H$138,0)),"")</f>
        <v>0.478464</v>
      </c>
      <c r="Q121">
        <f t="shared" si="165" ref="Q121:AQ121">Q$114/P$114*P121</f>
        <v>0.48526678378456684</v>
      </c>
      <c r="R121">
        <f t="shared" si="165"/>
        <v>0.48370011007331132</v>
      </c>
      <c r="S121">
        <f t="shared" si="165"/>
        <v>0.47637792984481159</v>
      </c>
      <c r="T121">
        <f t="shared" si="165"/>
        <v>0.52075265104455415</v>
      </c>
      <c r="U121">
        <f t="shared" si="165"/>
        <v>0.54469306183897426</v>
      </c>
      <c r="V121">
        <f t="shared" si="165"/>
        <v>0.54886151405091699</v>
      </c>
      <c r="W121">
        <f t="shared" si="165"/>
        <v>0.5542151377066149</v>
      </c>
      <c r="X121">
        <f t="shared" si="165"/>
        <v>0.55180287290742214</v>
      </c>
      <c r="Y121">
        <f t="shared" si="165"/>
        <v>0.55083431501834734</v>
      </c>
      <c r="Z121">
        <f t="shared" si="165"/>
        <v>0.55879355466969982</v>
      </c>
      <c r="AA121">
        <f t="shared" si="165"/>
        <v>0.5682351564796021</v>
      </c>
      <c r="AB121">
        <f t="shared" si="165"/>
        <v>0.57766484892033287</v>
      </c>
      <c r="AC121">
        <f t="shared" si="165"/>
        <v>0.59329681965544234</v>
      </c>
      <c r="AD121">
        <f t="shared" si="165"/>
        <v>0.60985322987186763</v>
      </c>
      <c r="AE121">
        <f t="shared" si="165"/>
        <v>0.62621134474585893</v>
      </c>
      <c r="AF121">
        <f t="shared" si="165"/>
        <v>0.64244768391802276</v>
      </c>
      <c r="AG121">
        <f t="shared" si="165"/>
        <v>0.65996325452075821</v>
      </c>
      <c r="AH121">
        <f t="shared" si="165"/>
        <v>0.68382101451485267</v>
      </c>
      <c r="AI121">
        <f t="shared" si="165"/>
        <v>0.69832916242694287</v>
      </c>
      <c r="AJ121">
        <f t="shared" si="165"/>
        <v>0.71213294464530486</v>
      </c>
      <c r="AK121">
        <f t="shared" si="165"/>
        <v>0.7257354373950301</v>
      </c>
      <c r="AL121">
        <f t="shared" si="165"/>
        <v>0.74026632903939804</v>
      </c>
      <c r="AM121">
        <f t="shared" si="165"/>
        <v>0.75474336802130537</v>
      </c>
      <c r="AN121">
        <f t="shared" si="165"/>
        <v>0.83305171847148152</v>
      </c>
      <c r="AO121">
        <f t="shared" si="165"/>
        <v>0.92407390854853255</v>
      </c>
      <c r="AP121">
        <f t="shared" si="165"/>
        <v>1.037209247588019</v>
      </c>
      <c r="AQ121">
        <f t="shared" si="165"/>
        <v>1.1614468333387715</v>
      </c>
    </row>
    <row r="122" spans="1:43" ht="15">
      <c r="A122" s="48" t="str">
        <f>'[4]TS BYDem'!A139</f>
        <v/>
      </c>
      <c r="B122" t="s">
        <v>272</v>
      </c>
      <c r="C122" t="s">
        <v>125</v>
      </c>
      <c r="D122" s="9" t="s">
        <v>312</v>
      </c>
      <c r="E122" t="s">
        <v>125</v>
      </c>
      <c r="F122" t="s">
        <v>125</v>
      </c>
      <c r="G122" t="s">
        <v>125</v>
      </c>
      <c r="I122" t="s">
        <v>125</v>
      </c>
      <c r="J122">
        <v>0</v>
      </c>
      <c r="K122">
        <f>INDEX('[4]TS BYDem'!$J$10:$J$203,MATCH(D122,'[4]TS BYDem'!$D$10:$D$203,0))</f>
        <v>2.6822571940841602</v>
      </c>
      <c r="L122">
        <f t="shared" si="156"/>
        <v>2.7809390287730316</v>
      </c>
      <c r="M122">
        <f t="shared" si="156"/>
        <v>2.8551573306950733</v>
      </c>
      <c r="N122" s="166">
        <f t="shared" si="157"/>
        <v>2.5119359999999999</v>
      </c>
      <c r="O122" s="166">
        <f t="shared" si="158"/>
        <v>2.5119359999999999</v>
      </c>
      <c r="P122" s="288">
        <f>IFERROR(INDEX('BY-DMD'!$I$5:$I$138,MATCH(D122,'BY-DMD'!$H$5:$H$138,0)),"")</f>
        <v>2.5119359999999999</v>
      </c>
      <c r="Q122">
        <f t="shared" si="166" ref="Q122:AQ122">Q$114/P$114*P122</f>
        <v>2.5476506148689761</v>
      </c>
      <c r="R122">
        <f t="shared" si="166"/>
        <v>2.5394255778848849</v>
      </c>
      <c r="S122">
        <f t="shared" si="166"/>
        <v>2.5009841316852612</v>
      </c>
      <c r="T122">
        <f t="shared" si="166"/>
        <v>2.7339514179839095</v>
      </c>
      <c r="U122">
        <f t="shared" si="166"/>
        <v>2.8596385746546154</v>
      </c>
      <c r="V122">
        <f t="shared" si="166"/>
        <v>2.8815229487673144</v>
      </c>
      <c r="W122">
        <f t="shared" si="166"/>
        <v>2.9096294729597285</v>
      </c>
      <c r="X122">
        <f t="shared" si="166"/>
        <v>2.8969650827639666</v>
      </c>
      <c r="Y122">
        <f t="shared" si="166"/>
        <v>2.8918801538463241</v>
      </c>
      <c r="Z122">
        <f t="shared" si="166"/>
        <v>2.9336661620159248</v>
      </c>
      <c r="AA122">
        <f t="shared" si="166"/>
        <v>2.9832345715179116</v>
      </c>
      <c r="AB122">
        <f t="shared" si="166"/>
        <v>3.032740456831748</v>
      </c>
      <c r="AC122">
        <f t="shared" si="166"/>
        <v>3.1148083031910723</v>
      </c>
      <c r="AD122">
        <f t="shared" si="166"/>
        <v>3.2017294568273051</v>
      </c>
      <c r="AE122">
        <f t="shared" si="166"/>
        <v>3.2876095599157598</v>
      </c>
      <c r="AF122">
        <f t="shared" si="166"/>
        <v>3.3728503405696197</v>
      </c>
      <c r="AG122">
        <f t="shared" si="166"/>
        <v>3.4648070862339808</v>
      </c>
      <c r="AH122">
        <f t="shared" si="166"/>
        <v>3.5900603262029764</v>
      </c>
      <c r="AI122">
        <f t="shared" si="166"/>
        <v>3.6662281027414498</v>
      </c>
      <c r="AJ122">
        <f t="shared" si="166"/>
        <v>3.7386979593878507</v>
      </c>
      <c r="AK122">
        <f t="shared" si="166"/>
        <v>3.8101110463239083</v>
      </c>
      <c r="AL122">
        <f t="shared" si="166"/>
        <v>3.8863982274568403</v>
      </c>
      <c r="AM122">
        <f t="shared" si="166"/>
        <v>3.9624026821118536</v>
      </c>
      <c r="AN122">
        <f t="shared" si="166"/>
        <v>4.3735215219752783</v>
      </c>
      <c r="AO122">
        <f t="shared" si="166"/>
        <v>4.8513880198797965</v>
      </c>
      <c r="AP122">
        <f t="shared" si="166"/>
        <v>5.4453485498371013</v>
      </c>
      <c r="AQ122">
        <f t="shared" si="166"/>
        <v>6.0975958750285519</v>
      </c>
    </row>
    <row r="123" spans="1:43" ht="15">
      <c r="A123" s="48" t="str">
        <f>'[4]TS BYDem'!A140</f>
        <v/>
      </c>
      <c r="B123" t="s">
        <v>272</v>
      </c>
      <c r="C123" t="s">
        <v>125</v>
      </c>
      <c r="D123" s="9" t="s">
        <v>307</v>
      </c>
      <c r="E123" t="s">
        <v>125</v>
      </c>
      <c r="F123" t="s">
        <v>125</v>
      </c>
      <c r="G123" t="s">
        <v>125</v>
      </c>
      <c r="I123" t="s">
        <v>125</v>
      </c>
      <c r="J123">
        <v>0</v>
      </c>
      <c r="K123">
        <f>INDEX('[4]TS BYDem'!$J$10:$J$203,MATCH(D123,'[4]TS BYDem'!$D$10:$D$203,0))</f>
        <v>0</v>
      </c>
      <c r="L123">
        <f t="shared" si="156"/>
        <v>0</v>
      </c>
      <c r="M123">
        <f t="shared" si="156"/>
        <v>0</v>
      </c>
      <c r="N123" s="166">
        <f t="shared" si="157"/>
        <v>0</v>
      </c>
      <c r="O123" s="166">
        <f t="shared" si="158"/>
        <v>0</v>
      </c>
      <c r="P123" s="288">
        <f>IFERROR(INDEX('BY-DMD'!$I$5:$I$138,MATCH(D123,'BY-DMD'!$H$5:$H$138,0)),"")</f>
        <v>0</v>
      </c>
      <c r="Q123">
        <f t="shared" si="167" ref="Q123:AQ123">Q$114/P$114*P123</f>
        <v>0</v>
      </c>
      <c r="R123">
        <f t="shared" si="167"/>
        <v>0</v>
      </c>
      <c r="S123">
        <f t="shared" si="167"/>
        <v>0</v>
      </c>
      <c r="T123">
        <f t="shared" si="167"/>
        <v>0</v>
      </c>
      <c r="U123">
        <f t="shared" si="167"/>
        <v>0</v>
      </c>
      <c r="V123">
        <f t="shared" si="167"/>
        <v>0</v>
      </c>
      <c r="W123">
        <f t="shared" si="167"/>
        <v>0</v>
      </c>
      <c r="X123">
        <f t="shared" si="167"/>
        <v>0</v>
      </c>
      <c r="Y123">
        <f t="shared" si="167"/>
        <v>0</v>
      </c>
      <c r="Z123">
        <f t="shared" si="167"/>
        <v>0</v>
      </c>
      <c r="AA123">
        <f t="shared" si="167"/>
        <v>0</v>
      </c>
      <c r="AB123">
        <f t="shared" si="167"/>
        <v>0</v>
      </c>
      <c r="AC123">
        <f t="shared" si="167"/>
        <v>0</v>
      </c>
      <c r="AD123">
        <f t="shared" si="167"/>
        <v>0</v>
      </c>
      <c r="AE123">
        <f t="shared" si="167"/>
        <v>0</v>
      </c>
      <c r="AF123">
        <f t="shared" si="167"/>
        <v>0</v>
      </c>
      <c r="AG123">
        <f t="shared" si="167"/>
        <v>0</v>
      </c>
      <c r="AH123">
        <f t="shared" si="167"/>
        <v>0</v>
      </c>
      <c r="AI123">
        <f t="shared" si="167"/>
        <v>0</v>
      </c>
      <c r="AJ123">
        <f t="shared" si="167"/>
        <v>0</v>
      </c>
      <c r="AK123">
        <f t="shared" si="167"/>
        <v>0</v>
      </c>
      <c r="AL123">
        <f t="shared" si="167"/>
        <v>0</v>
      </c>
      <c r="AM123">
        <f t="shared" si="167"/>
        <v>0</v>
      </c>
      <c r="AN123">
        <f t="shared" si="167"/>
        <v>0</v>
      </c>
      <c r="AO123">
        <f t="shared" si="167"/>
        <v>0</v>
      </c>
      <c r="AP123">
        <f t="shared" si="167"/>
        <v>0</v>
      </c>
      <c r="AQ123">
        <f t="shared" si="167"/>
        <v>0</v>
      </c>
    </row>
    <row r="124" spans="1:43" ht="15">
      <c r="A124" s="48" t="str">
        <f>'[4]TS BYDem'!A142</f>
        <v/>
      </c>
      <c r="B124" t="s">
        <v>272</v>
      </c>
      <c r="C124" t="s">
        <v>125</v>
      </c>
      <c r="D124" s="9" t="s">
        <v>314</v>
      </c>
      <c r="E124" t="s">
        <v>125</v>
      </c>
      <c r="F124" t="s">
        <v>125</v>
      </c>
      <c r="G124" t="s">
        <v>125</v>
      </c>
      <c r="I124" t="s">
        <v>125</v>
      </c>
      <c r="J124">
        <v>0</v>
      </c>
      <c r="K124">
        <f>INDEX('[4]TS BYDem'!$J$10:$J$203,MATCH(D124,'[4]TS BYDem'!$D$10:$D$203,0))</f>
        <v>20.4218620324183</v>
      </c>
      <c r="L124">
        <f t="shared" si="156"/>
        <v>21.173194461525696</v>
      </c>
      <c r="M124">
        <f t="shared" si="156"/>
        <v>21.738269252069717</v>
      </c>
      <c r="N124" s="166">
        <f t="shared" si="168" ref="N124">P124</f>
        <v>40.544747177343801</v>
      </c>
      <c r="O124" s="166">
        <f t="shared" si="169" ref="O124">P124</f>
        <v>40.544747177343801</v>
      </c>
      <c r="P124" s="288">
        <f>IFERROR(INDEX('BY-DMD'!$I$5:$I$138,MATCH(D124,'BY-DMD'!$H$5:$H$138,0)),"")</f>
        <v>40.544747177343801</v>
      </c>
      <c r="Q124">
        <f t="shared" si="170" ref="Q124:AQ124">Q$114/P$114*P124</f>
        <v>41.121210921005598</v>
      </c>
      <c r="R124">
        <f t="shared" si="170"/>
        <v>40.988451947431315</v>
      </c>
      <c r="S124">
        <f t="shared" si="170"/>
        <v>40.367974866289437</v>
      </c>
      <c r="T124">
        <f t="shared" si="170"/>
        <v>44.128261642533168</v>
      </c>
      <c r="U124">
        <f t="shared" si="170"/>
        <v>46.156957433609442</v>
      </c>
      <c r="V124">
        <f t="shared" si="170"/>
        <v>46.510189528509073</v>
      </c>
      <c r="W124">
        <f t="shared" si="170"/>
        <v>46.963852327806244</v>
      </c>
      <c r="X124">
        <f t="shared" si="170"/>
        <v>46.759438481815579</v>
      </c>
      <c r="Y124">
        <f t="shared" si="170"/>
        <v>46.677363477762697</v>
      </c>
      <c r="Z124">
        <f t="shared" si="170"/>
        <v>47.351824585365307</v>
      </c>
      <c r="AA124">
        <f t="shared" si="170"/>
        <v>48.151900157052282</v>
      </c>
      <c r="AB124">
        <f t="shared" si="170"/>
        <v>48.950966536068343</v>
      </c>
      <c r="AC124">
        <f t="shared" si="170"/>
        <v>50.275610190217137</v>
      </c>
      <c r="AD124">
        <f t="shared" si="170"/>
        <v>51.678590281487025</v>
      </c>
      <c r="AE124">
        <f t="shared" si="170"/>
        <v>53.064766946531684</v>
      </c>
      <c r="AF124">
        <f t="shared" si="170"/>
        <v>54.440624412967999</v>
      </c>
      <c r="AG124">
        <f t="shared" si="170"/>
        <v>55.924883169645248</v>
      </c>
      <c r="AH124">
        <f t="shared" si="170"/>
        <v>57.946575182374119</v>
      </c>
      <c r="AI124">
        <f t="shared" si="170"/>
        <v>59.175986776782906</v>
      </c>
      <c r="AJ124">
        <f t="shared" si="170"/>
        <v>60.345710852438764</v>
      </c>
      <c r="AK124">
        <f t="shared" si="170"/>
        <v>61.498377781443381</v>
      </c>
      <c r="AL124">
        <f t="shared" si="170"/>
        <v>62.729716665836513</v>
      </c>
      <c r="AM124">
        <f t="shared" si="170"/>
        <v>63.956492108498828</v>
      </c>
      <c r="AN124">
        <f t="shared" si="170"/>
        <v>70.592293905242627</v>
      </c>
      <c r="AO124">
        <f t="shared" si="170"/>
        <v>78.305458708032731</v>
      </c>
      <c r="AP124">
        <f t="shared" si="170"/>
        <v>87.892478250107075</v>
      </c>
      <c r="AQ124">
        <f t="shared" si="170"/>
        <v>98.420295398707239</v>
      </c>
    </row>
    <row r="125" spans="1:43" s="8" customFormat="1" ht="15">
      <c r="A125" s="48" t="str">
        <f>'[4]TS BYDem'!A165</f>
        <v>*</v>
      </c>
      <c r="C125" s="7" t="s">
        <v>0</v>
      </c>
      <c r="D125" s="7" t="s">
        <v>743</v>
      </c>
      <c r="K125" s="8">
        <f t="shared" si="171" ref="K125:AB125">SUMIF($B$10:$B$25,$D125,K$10:K$25)*SUMIF($B$10:$B$25,$D125,K$47:K$62)</f>
        <v>335.77331305186084</v>
      </c>
      <c r="L125" s="8">
        <f t="shared" si="171"/>
        <v>345.12368336779264</v>
      </c>
      <c r="M125" s="8">
        <f t="shared" si="171"/>
        <v>351.73654833895557</v>
      </c>
      <c r="N125" s="8">
        <f t="shared" si="171"/>
        <v>356.62847152051233</v>
      </c>
      <c r="O125" s="8">
        <f t="shared" si="171"/>
        <v>360.31274126727499</v>
      </c>
      <c r="P125" s="8">
        <f t="shared" si="171"/>
        <v>363.08022098030375</v>
      </c>
      <c r="Q125" s="8">
        <f t="shared" si="171"/>
        <v>367.26352107202263</v>
      </c>
      <c r="R125" s="8">
        <f t="shared" si="171"/>
        <v>366.87</v>
      </c>
      <c r="S125" s="8">
        <f t="shared" si="171"/>
        <v>340.31</v>
      </c>
      <c r="T125" s="8">
        <f t="shared" si="171"/>
        <v>372.35805757351926</v>
      </c>
      <c r="U125" s="8">
        <f t="shared" si="171"/>
        <v>383.87996523439074</v>
      </c>
      <c r="V125" s="8">
        <f t="shared" si="171"/>
        <v>380.61794723001537</v>
      </c>
      <c r="W125" s="8">
        <f t="shared" si="171"/>
        <v>379.53812811533487</v>
      </c>
      <c r="X125" s="8">
        <f t="shared" si="171"/>
        <v>389.40543560858293</v>
      </c>
      <c r="Y125" s="8">
        <f t="shared" si="171"/>
        <v>409.17491382258032</v>
      </c>
      <c r="Z125" s="8">
        <f t="shared" si="171"/>
        <v>413.67560081017666</v>
      </c>
      <c r="AA125" s="8">
        <f t="shared" si="171"/>
        <v>420.21310664677139</v>
      </c>
      <c r="AB125" s="8">
        <f t="shared" si="171"/>
        <v>429.82038041939023</v>
      </c>
      <c r="AC125" s="8">
        <f>SUMIF($B$10:$B$25,$D125,AC$10:AC$25)*SUMIF($B$10:$B$25,$D125,AC$46:AC$62)</f>
        <v>444.74052044634698</v>
      </c>
      <c r="AD125" s="8">
        <f t="shared" si="172" ref="AD125:AQ125">SUMIF($B$10:$B$25,$D125,AD$10:AD$25)*SUMIF($B$10:$B$25,$D125,AD$47:AD$62)</f>
        <v>458.86160903753296</v>
      </c>
      <c r="AE125" s="8">
        <f t="shared" si="172"/>
        <v>473.36661884222309</v>
      </c>
      <c r="AF125" s="8">
        <f t="shared" si="172"/>
        <v>487.88079695825206</v>
      </c>
      <c r="AG125" s="8">
        <f t="shared" si="172"/>
        <v>503.7079604299563</v>
      </c>
      <c r="AH125" s="8">
        <f t="shared" si="172"/>
        <v>521.20053595036313</v>
      </c>
      <c r="AI125" s="8">
        <f t="shared" si="172"/>
        <v>537.07094124664638</v>
      </c>
      <c r="AJ125" s="8">
        <f t="shared" si="172"/>
        <v>553.51499300080866</v>
      </c>
      <c r="AK125" s="8">
        <f t="shared" si="172"/>
        <v>570.79254496785893</v>
      </c>
      <c r="AL125" s="8">
        <f t="shared" si="172"/>
        <v>587.64861353811045</v>
      </c>
      <c r="AM125" s="8">
        <f t="shared" si="172"/>
        <v>601.77716615335203</v>
      </c>
      <c r="AN125" s="8">
        <f t="shared" si="172"/>
        <v>687.53299205525877</v>
      </c>
      <c r="AO125" s="8">
        <f t="shared" si="172"/>
        <v>801.96960501412775</v>
      </c>
      <c r="AP125" s="8">
        <f t="shared" si="172"/>
        <v>956.51707622564606</v>
      </c>
      <c r="AQ125" s="8">
        <f t="shared" si="172"/>
        <v>1071.0893021829334</v>
      </c>
    </row>
    <row r="126" spans="1:43" ht="15">
      <c r="A126" s="48" t="str">
        <f>'[4]TS BYDem'!A172</f>
        <v/>
      </c>
      <c r="B126" t="s">
        <v>272</v>
      </c>
      <c r="C126" t="s">
        <v>125</v>
      </c>
      <c r="D126" s="9" t="s">
        <v>341</v>
      </c>
      <c r="E126" t="s">
        <v>125</v>
      </c>
      <c r="F126" t="s">
        <v>125</v>
      </c>
      <c r="G126" t="s">
        <v>125</v>
      </c>
      <c r="I126" t="s">
        <v>125</v>
      </c>
      <c r="J126">
        <v>0</v>
      </c>
      <c r="K126">
        <f>INDEX('[4]TS BYDem'!$J$10:$J$203,MATCH(D126,'[4]TS BYDem'!$D$10:$D$203,0))</f>
        <v>4.0241553496851497</v>
      </c>
      <c r="L126">
        <f t="shared" si="173" ref="L126:M136">L$125/K$125*K126</f>
        <v>4.136217092729578</v>
      </c>
      <c r="M126">
        <f t="shared" si="173"/>
        <v>4.2154705500951444</v>
      </c>
      <c r="N126" s="166">
        <f t="shared" si="174" ref="N126:N134">P126</f>
        <v>2.1816719999999998</v>
      </c>
      <c r="O126" s="166">
        <f t="shared" si="175" ref="O126:O134">P126</f>
        <v>2.1816719999999998</v>
      </c>
      <c r="P126" s="288">
        <f>IFERROR(INDEX('BY-DMD'!$I$5:$I$138,MATCH(D126,'BY-DMD'!$H$5:$H$138,0)),"")</f>
        <v>2.1816719999999998</v>
      </c>
      <c r="Q126">
        <f t="shared" si="176" ref="Q126:AQ126">Q$125/P$125*P126</f>
        <v>2.2068085625289613</v>
      </c>
      <c r="R126">
        <f t="shared" si="176"/>
        <v>2.2044439779147851</v>
      </c>
      <c r="S126">
        <f t="shared" si="176"/>
        <v>2.0448505741112126</v>
      </c>
      <c r="T126">
        <f t="shared" si="176"/>
        <v>2.23742055127427</v>
      </c>
      <c r="U126">
        <f t="shared" si="176"/>
        <v>2.3066532493883116</v>
      </c>
      <c r="V126">
        <f t="shared" si="176"/>
        <v>2.2870524754204351</v>
      </c>
      <c r="W126">
        <f t="shared" si="176"/>
        <v>2.2805640715046209</v>
      </c>
      <c r="X126">
        <f t="shared" si="176"/>
        <v>2.3398546283278119</v>
      </c>
      <c r="Y126">
        <f t="shared" si="176"/>
        <v>2.4586452277100568</v>
      </c>
      <c r="Z126">
        <f t="shared" si="176"/>
        <v>2.4856889007448819</v>
      </c>
      <c r="AA126">
        <f t="shared" si="176"/>
        <v>2.5249713860177687</v>
      </c>
      <c r="AB126">
        <f t="shared" si="176"/>
        <v>2.5826994553944642</v>
      </c>
      <c r="AC126">
        <f t="shared" si="176"/>
        <v>2.6723514106703661</v>
      </c>
      <c r="AD126">
        <f t="shared" si="176"/>
        <v>2.7572020354323827</v>
      </c>
      <c r="AE126">
        <f t="shared" si="176"/>
        <v>2.8443595612958879</v>
      </c>
      <c r="AF126">
        <f t="shared" si="176"/>
        <v>2.9315721775966557</v>
      </c>
      <c r="AG126">
        <f t="shared" si="176"/>
        <v>3.0266742442760552</v>
      </c>
      <c r="AH126">
        <f t="shared" si="176"/>
        <v>3.1317834185453619</v>
      </c>
      <c r="AI126">
        <f t="shared" si="176"/>
        <v>3.2271453161724737</v>
      </c>
      <c r="AJ126">
        <f t="shared" si="176"/>
        <v>3.3259541336336507</v>
      </c>
      <c r="AK126">
        <f t="shared" si="176"/>
        <v>3.4297712770001665</v>
      </c>
      <c r="AL126">
        <f t="shared" si="176"/>
        <v>3.5310558160767052</v>
      </c>
      <c r="AM126">
        <f t="shared" si="176"/>
        <v>3.6159512905753597</v>
      </c>
      <c r="AN126">
        <f t="shared" si="176"/>
        <v>4.131239850502765</v>
      </c>
      <c r="AO126">
        <f t="shared" si="176"/>
        <v>4.8188651736148858</v>
      </c>
      <c r="AP126">
        <f t="shared" si="176"/>
        <v>5.7475081321947377</v>
      </c>
      <c r="AQ126">
        <f t="shared" si="176"/>
        <v>6.4359483250364367</v>
      </c>
    </row>
    <row r="127" spans="1:43" ht="15">
      <c r="A127" s="48" t="str">
        <f>'[4]TS BYDem'!A173</f>
        <v/>
      </c>
      <c r="B127" t="s">
        <v>272</v>
      </c>
      <c r="C127" t="s">
        <v>125</v>
      </c>
      <c r="D127" s="9" t="s">
        <v>336</v>
      </c>
      <c r="E127" t="s">
        <v>125</v>
      </c>
      <c r="F127" t="s">
        <v>125</v>
      </c>
      <c r="G127" t="s">
        <v>125</v>
      </c>
      <c r="I127" t="s">
        <v>125</v>
      </c>
      <c r="J127">
        <v>0</v>
      </c>
      <c r="K127">
        <f>INDEX('[4]TS BYDem'!$J$10:$J$203,MATCH(D127,'[4]TS BYDem'!$D$10:$D$203,0))</f>
        <v>0.22789646617647</v>
      </c>
      <c r="L127">
        <f t="shared" si="173"/>
        <v>0.23424276074370112</v>
      </c>
      <c r="M127">
        <f t="shared" si="173"/>
        <v>0.2387310523965801</v>
      </c>
      <c r="N127" s="166">
        <f t="shared" si="174"/>
        <v>0.12355272</v>
      </c>
      <c r="O127" s="166">
        <f t="shared" si="175"/>
        <v>0.12355272</v>
      </c>
      <c r="P127" s="288">
        <f>IFERROR(INDEX('BY-DMD'!$I$5:$I$138,MATCH(D127,'BY-DMD'!$H$5:$H$138,0)),"")</f>
        <v>0.12355272</v>
      </c>
      <c r="Q127">
        <f t="shared" si="177" ref="Q127:AQ127">Q$125/P$125*P127</f>
        <v>0.12497625693493029</v>
      </c>
      <c r="R127">
        <f t="shared" si="177"/>
        <v>0.12484234548501866</v>
      </c>
      <c r="S127">
        <f t="shared" si="177"/>
        <v>0.11580423199500285</v>
      </c>
      <c r="T127">
        <f t="shared" si="177"/>
        <v>0.12670987888822677</v>
      </c>
      <c r="U127">
        <f t="shared" si="177"/>
        <v>0.1306306736570686</v>
      </c>
      <c r="V127">
        <f t="shared" si="177"/>
        <v>0.12952064018831785</v>
      </c>
      <c r="W127">
        <f t="shared" si="177"/>
        <v>0.12915318809090931</v>
      </c>
      <c r="X127">
        <f t="shared" si="177"/>
        <v>0.13251093827783925</v>
      </c>
      <c r="Y127">
        <f t="shared" si="177"/>
        <v>0.13923830227394254</v>
      </c>
      <c r="Z127">
        <f t="shared" si="177"/>
        <v>0.14076984292819456</v>
      </c>
      <c r="AA127">
        <f t="shared" si="177"/>
        <v>0.14299449351903731</v>
      </c>
      <c r="AB127">
        <f t="shared" si="177"/>
        <v>0.14626375672259836</v>
      </c>
      <c r="AC127">
        <f t="shared" si="177"/>
        <v>0.15134093740221291</v>
      </c>
      <c r="AD127">
        <f t="shared" si="177"/>
        <v>0.15614620853510847</v>
      </c>
      <c r="AE127">
        <f t="shared" si="177"/>
        <v>0.16108212437805206</v>
      </c>
      <c r="AF127">
        <f t="shared" si="177"/>
        <v>0.16602116010948931</v>
      </c>
      <c r="AG127">
        <f t="shared" si="177"/>
        <v>0.17140699217584079</v>
      </c>
      <c r="AH127">
        <f t="shared" si="177"/>
        <v>0.17735954800363105</v>
      </c>
      <c r="AI127">
        <f t="shared" si="177"/>
        <v>0.18276009484852396</v>
      </c>
      <c r="AJ127">
        <f t="shared" si="177"/>
        <v>0.18835584808609218</v>
      </c>
      <c r="AK127">
        <f t="shared" si="177"/>
        <v>0.19423523345912855</v>
      </c>
      <c r="AL127">
        <f t="shared" si="177"/>
        <v>0.19997119207107969</v>
      </c>
      <c r="AM127">
        <f t="shared" si="177"/>
        <v>0.20477900313983768</v>
      </c>
      <c r="AN127">
        <f t="shared" si="177"/>
        <v>0.23396088894298034</v>
      </c>
      <c r="AO127">
        <f t="shared" si="177"/>
        <v>0.27290257174927818</v>
      </c>
      <c r="AP127">
        <f t="shared" si="177"/>
        <v>0.32549359525848948</v>
      </c>
      <c r="AQ127">
        <f t="shared" si="177"/>
        <v>0.36448142586864374</v>
      </c>
    </row>
    <row r="128" spans="1:43" ht="15">
      <c r="A128" s="48" t="str">
        <f>'[4]TS BYDem'!A174</f>
        <v/>
      </c>
      <c r="B128" t="s">
        <v>272</v>
      </c>
      <c r="C128" t="s">
        <v>125</v>
      </c>
      <c r="D128" s="9" t="s">
        <v>342</v>
      </c>
      <c r="E128" t="s">
        <v>125</v>
      </c>
      <c r="F128" t="s">
        <v>125</v>
      </c>
      <c r="G128" t="s">
        <v>125</v>
      </c>
      <c r="I128" t="s">
        <v>125</v>
      </c>
      <c r="J128">
        <v>0</v>
      </c>
      <c r="K128">
        <f>INDEX('[4]TS BYDem'!$J$10:$J$203,MATCH(D128,'[4]TS BYDem'!$D$10:$D$203,0))</f>
        <v>1.00958343021635</v>
      </c>
      <c r="L128">
        <f t="shared" si="173"/>
        <v>1.0376975732122633</v>
      </c>
      <c r="M128">
        <f t="shared" si="173"/>
        <v>1.0575807462984848</v>
      </c>
      <c r="N128" s="166">
        <f t="shared" si="174"/>
        <v>0.54733968</v>
      </c>
      <c r="O128" s="166">
        <f t="shared" si="175"/>
        <v>0.54733968</v>
      </c>
      <c r="P128" s="288">
        <f>IFERROR(INDEX('BY-DMD'!$I$5:$I$138,MATCH(D128,'BY-DMD'!$H$5:$H$138,0)),"")</f>
        <v>0.54733968</v>
      </c>
      <c r="Q128">
        <f t="shared" si="178" ref="Q128:AQ128">Q$125/P$125*P128</f>
        <v>0.55364596164586688</v>
      </c>
      <c r="R128">
        <f t="shared" si="178"/>
        <v>0.55305273269758493</v>
      </c>
      <c r="S128">
        <f t="shared" si="178"/>
        <v>0.51301380724593215</v>
      </c>
      <c r="T128">
        <f t="shared" si="178"/>
        <v>0.5613259227601044</v>
      </c>
      <c r="U128">
        <f t="shared" si="178"/>
        <v>0.57869507945793808</v>
      </c>
      <c r="V128">
        <f t="shared" si="178"/>
        <v>0.57377762103553087</v>
      </c>
      <c r="W128">
        <f t="shared" si="178"/>
        <v>0.57214980488214373</v>
      </c>
      <c r="X128">
        <f t="shared" si="178"/>
        <v>0.58702466893073912</v>
      </c>
      <c r="Y128">
        <f t="shared" si="178"/>
        <v>0.61682695298301005</v>
      </c>
      <c r="Z128">
        <f t="shared" si="178"/>
        <v>0.62361169209361222</v>
      </c>
      <c r="AA128">
        <f t="shared" si="178"/>
        <v>0.63346691456466497</v>
      </c>
      <c r="AB128">
        <f t="shared" si="178"/>
        <v>0.64794978046735718</v>
      </c>
      <c r="AC128">
        <f t="shared" si="178"/>
        <v>0.67044173732983992</v>
      </c>
      <c r="AD128">
        <f t="shared" si="178"/>
        <v>0.69172913241262157</v>
      </c>
      <c r="AE128">
        <f t="shared" si="178"/>
        <v>0.71359528475620149</v>
      </c>
      <c r="AF128">
        <f t="shared" si="178"/>
        <v>0.73547525823435267</v>
      </c>
      <c r="AG128">
        <f t="shared" si="178"/>
        <v>0.7593345435639719</v>
      </c>
      <c r="AH128">
        <f t="shared" si="178"/>
        <v>0.78570442034179477</v>
      </c>
      <c r="AI128">
        <f t="shared" si="178"/>
        <v>0.80962889227498003</v>
      </c>
      <c r="AJ128">
        <f t="shared" si="178"/>
        <v>0.83441813031368572</v>
      </c>
      <c r="AK128">
        <f t="shared" si="178"/>
        <v>0.86046386130750274</v>
      </c>
      <c r="AL128">
        <f t="shared" si="178"/>
        <v>0.88587421043748205</v>
      </c>
      <c r="AM128">
        <f t="shared" si="178"/>
        <v>0.90717285745937248</v>
      </c>
      <c r="AN128">
        <f t="shared" si="178"/>
        <v>1.0364488785561856</v>
      </c>
      <c r="AO128">
        <f t="shared" si="178"/>
        <v>1.2089608896706359</v>
      </c>
      <c r="AP128">
        <f t="shared" si="178"/>
        <v>1.4419396049785966</v>
      </c>
      <c r="AQ128">
        <f t="shared" si="178"/>
        <v>1.614656051286343</v>
      </c>
    </row>
    <row r="129" spans="1:43" ht="15">
      <c r="A129" s="48" t="str">
        <f>'[4]TS BYDem'!A175</f>
        <v/>
      </c>
      <c r="B129" t="s">
        <v>272</v>
      </c>
      <c r="C129" t="s">
        <v>125</v>
      </c>
      <c r="D129" s="9" t="s">
        <v>337</v>
      </c>
      <c r="E129" t="s">
        <v>125</v>
      </c>
      <c r="F129" t="s">
        <v>125</v>
      </c>
      <c r="G129" t="s">
        <v>125</v>
      </c>
      <c r="I129" t="s">
        <v>125</v>
      </c>
      <c r="J129">
        <v>0</v>
      </c>
      <c r="K129">
        <f>INDEX('[4]TS BYDem'!$J$10:$J$203,MATCH(D129,'[4]TS BYDem'!$D$10:$D$203,0))</f>
        <v>4.2868722274366204</v>
      </c>
      <c r="L129">
        <f t="shared" si="173"/>
        <v>4.4062499184725512</v>
      </c>
      <c r="M129">
        <f t="shared" si="173"/>
        <v>4.4906774357490304</v>
      </c>
      <c r="N129" s="166">
        <f t="shared" si="174"/>
        <v>2.3241024000000001</v>
      </c>
      <c r="O129" s="166">
        <f t="shared" si="175"/>
        <v>2.3241024000000001</v>
      </c>
      <c r="P129" s="288">
        <f>IFERROR(INDEX('BY-DMD'!$I$5:$I$138,MATCH(D129,'BY-DMD'!$H$5:$H$138,0)),"")</f>
        <v>2.3241024000000001</v>
      </c>
      <c r="Q129">
        <f t="shared" si="179" ref="Q129:AQ129">Q$125/P$125*P129</f>
        <v>2.3508800023624583</v>
      </c>
      <c r="R129">
        <f t="shared" si="179"/>
        <v>2.3483610459030042</v>
      </c>
      <c r="S129">
        <f t="shared" si="179"/>
        <v>2.1783485908666593</v>
      </c>
      <c r="T129">
        <f t="shared" si="179"/>
        <v>2.3834904939999473</v>
      </c>
      <c r="U129">
        <f t="shared" si="179"/>
        <v>2.4572430470167705</v>
      </c>
      <c r="V129">
        <f t="shared" si="179"/>
        <v>2.4363626370281932</v>
      </c>
      <c r="W129">
        <f t="shared" si="179"/>
        <v>2.4294506378308287</v>
      </c>
      <c r="X129">
        <f t="shared" si="179"/>
        <v>2.4926119771201969</v>
      </c>
      <c r="Y129">
        <f t="shared" si="179"/>
        <v>2.6191578177056347</v>
      </c>
      <c r="Z129">
        <f t="shared" si="179"/>
        <v>2.6479670362339247</v>
      </c>
      <c r="AA129">
        <f t="shared" si="179"/>
        <v>2.6898140775401709</v>
      </c>
      <c r="AB129">
        <f t="shared" si="179"/>
        <v>2.7513109224305783</v>
      </c>
      <c r="AC129">
        <f t="shared" si="179"/>
        <v>2.8468158032840778</v>
      </c>
      <c r="AD129">
        <f t="shared" si="179"/>
        <v>2.9372058988854799</v>
      </c>
      <c r="AE129">
        <f t="shared" si="179"/>
        <v>3.0300535015670169</v>
      </c>
      <c r="AF129">
        <f t="shared" si="179"/>
        <v>3.122959791263586</v>
      </c>
      <c r="AG129">
        <f t="shared" si="179"/>
        <v>3.2242705939023657</v>
      </c>
      <c r="AH129">
        <f t="shared" si="179"/>
        <v>3.3362418178908082</v>
      </c>
      <c r="AI129">
        <f t="shared" si="179"/>
        <v>3.4378294145339905</v>
      </c>
      <c r="AJ129">
        <f t="shared" si="179"/>
        <v>3.5430889630833065</v>
      </c>
      <c r="AK129">
        <f t="shared" si="179"/>
        <v>3.6536838059649419</v>
      </c>
      <c r="AL129">
        <f t="shared" si="179"/>
        <v>3.7615807035511408</v>
      </c>
      <c r="AM129">
        <f t="shared" si="179"/>
        <v>3.8520185769030753</v>
      </c>
      <c r="AN129">
        <f t="shared" si="179"/>
        <v>4.4009477371158958</v>
      </c>
      <c r="AO129">
        <f t="shared" si="179"/>
        <v>5.1334646616332638</v>
      </c>
      <c r="AP129">
        <f t="shared" si="179"/>
        <v>6.1227340517058932</v>
      </c>
      <c r="AQ129">
        <f t="shared" si="179"/>
        <v>6.8561190447020239</v>
      </c>
    </row>
    <row r="130" spans="1:43" ht="15">
      <c r="A130" s="48" t="str">
        <f>'[4]TS BYDem'!A176</f>
        <v/>
      </c>
      <c r="B130" t="s">
        <v>272</v>
      </c>
      <c r="C130" t="s">
        <v>125</v>
      </c>
      <c r="D130" s="9" t="s">
        <v>340</v>
      </c>
      <c r="E130" t="s">
        <v>125</v>
      </c>
      <c r="F130" t="s">
        <v>125</v>
      </c>
      <c r="G130" t="s">
        <v>125</v>
      </c>
      <c r="I130" t="s">
        <v>125</v>
      </c>
      <c r="J130">
        <v>0</v>
      </c>
      <c r="K130">
        <f>INDEX('[4]TS BYDem'!$J$10:$J$203,MATCH(D130,'[4]TS BYDem'!$D$10:$D$203,0))</f>
        <v>3.1863804172999202</v>
      </c>
      <c r="L130">
        <f t="shared" si="173"/>
        <v>3.2751124150825608</v>
      </c>
      <c r="M130">
        <f t="shared" si="173"/>
        <v>3.3378663702877729</v>
      </c>
      <c r="N130" s="166">
        <f t="shared" si="174"/>
        <v>1.72747728</v>
      </c>
      <c r="O130" s="166">
        <f t="shared" si="175"/>
        <v>1.72747728</v>
      </c>
      <c r="P130" s="288">
        <f>IFERROR(INDEX('BY-DMD'!$I$5:$I$138,MATCH(D130,'BY-DMD'!$H$5:$H$138,0)),"")</f>
        <v>1.72747728</v>
      </c>
      <c r="Q130">
        <f t="shared" si="180" ref="Q130:AQ130">Q$125/P$125*P130</f>
        <v>1.7473807488376987</v>
      </c>
      <c r="R130">
        <f t="shared" si="180"/>
        <v>1.7455084388856863</v>
      </c>
      <c r="S130">
        <f t="shared" si="180"/>
        <v>1.6191402317910646</v>
      </c>
      <c r="T130">
        <f t="shared" si="180"/>
        <v>1.7716197339157196</v>
      </c>
      <c r="U130">
        <f t="shared" si="180"/>
        <v>1.8264391169508896</v>
      </c>
      <c r="V130">
        <f t="shared" si="180"/>
        <v>1.8109189600712476</v>
      </c>
      <c r="W130">
        <f t="shared" si="180"/>
        <v>1.8057813544421559</v>
      </c>
      <c r="X130">
        <f t="shared" si="180"/>
        <v>1.8527284160676485</v>
      </c>
      <c r="Y130">
        <f t="shared" si="180"/>
        <v>1.9467884129463773</v>
      </c>
      <c r="Z130">
        <f t="shared" si="180"/>
        <v>1.9682019575742631</v>
      </c>
      <c r="AA130">
        <f t="shared" si="180"/>
        <v>1.9993063586074369</v>
      </c>
      <c r="AB130">
        <f t="shared" si="180"/>
        <v>2.0450162216237406</v>
      </c>
      <c r="AC130">
        <f t="shared" si="180"/>
        <v>2.1160038475577476</v>
      </c>
      <c r="AD130">
        <f t="shared" si="180"/>
        <v>2.1831897153097239</v>
      </c>
      <c r="AE130">
        <f t="shared" si="180"/>
        <v>2.2522022184312829</v>
      </c>
      <c r="AF130">
        <f t="shared" si="180"/>
        <v>2.3212583429032172</v>
      </c>
      <c r="AG130">
        <f t="shared" si="180"/>
        <v>2.3965614404677034</v>
      </c>
      <c r="AH130">
        <f t="shared" si="180"/>
        <v>2.4797883006326535</v>
      </c>
      <c r="AI130">
        <f t="shared" si="180"/>
        <v>2.5552971358418519</v>
      </c>
      <c r="AJ130">
        <f t="shared" si="180"/>
        <v>2.6335352886108523</v>
      </c>
      <c r="AK130">
        <f t="shared" si="180"/>
        <v>2.7157391013013754</v>
      </c>
      <c r="AL130">
        <f t="shared" si="180"/>
        <v>2.7959375637971093</v>
      </c>
      <c r="AM130">
        <f t="shared" si="180"/>
        <v>2.8631589441747485</v>
      </c>
      <c r="AN130">
        <f t="shared" si="180"/>
        <v>3.2711713676364376</v>
      </c>
      <c r="AO130">
        <f t="shared" si="180"/>
        <v>3.8156423618229369</v>
      </c>
      <c r="AP130">
        <f t="shared" si="180"/>
        <v>4.5509543666424861</v>
      </c>
      <c r="AQ130">
        <f t="shared" si="180"/>
        <v>5.096070585658385</v>
      </c>
    </row>
    <row r="131" spans="1:43" ht="15">
      <c r="A131" s="48" t="str">
        <f>'[4]TS BYDem'!A177</f>
        <v/>
      </c>
      <c r="B131" t="s">
        <v>272</v>
      </c>
      <c r="C131" t="s">
        <v>125</v>
      </c>
      <c r="D131" s="9" t="s">
        <v>344</v>
      </c>
      <c r="E131" t="s">
        <v>125</v>
      </c>
      <c r="F131" t="s">
        <v>125</v>
      </c>
      <c r="G131" t="s">
        <v>125</v>
      </c>
      <c r="I131" t="s">
        <v>125</v>
      </c>
      <c r="J131">
        <v>0</v>
      </c>
      <c r="K131">
        <f>INDEX('[4]TS BYDem'!$J$10:$J$203,MATCH(D131,'[4]TS BYDem'!$D$10:$D$203,0))</f>
        <v>4.3369135374845103</v>
      </c>
      <c r="L131">
        <f t="shared" si="173"/>
        <v>4.4576847424235835</v>
      </c>
      <c r="M131">
        <f t="shared" si="173"/>
        <v>4.5430977949211888</v>
      </c>
      <c r="N131" s="166">
        <f t="shared" si="174"/>
        <v>2.351232</v>
      </c>
      <c r="O131" s="166">
        <f t="shared" si="175"/>
        <v>2.351232</v>
      </c>
      <c r="P131" s="288">
        <f>IFERROR(INDEX('BY-DMD'!$I$5:$I$138,MATCH(D131,'BY-DMD'!$H$5:$H$138,0)),"")</f>
        <v>2.351232</v>
      </c>
      <c r="Q131">
        <f t="shared" si="181" ref="Q131:AQ131">Q$125/P$125*P131</f>
        <v>2.3783221813783624</v>
      </c>
      <c r="R131">
        <f t="shared" si="181"/>
        <v>2.3757738207579031</v>
      </c>
      <c r="S131">
        <f t="shared" si="181"/>
        <v>2.2037767845343637</v>
      </c>
      <c r="T131">
        <f t="shared" si="181"/>
        <v>2.4113133402334102</v>
      </c>
      <c r="U131">
        <f t="shared" si="181"/>
        <v>2.4859268179936205</v>
      </c>
      <c r="V131">
        <f t="shared" si="181"/>
        <v>2.4648026678106238</v>
      </c>
      <c r="W131">
        <f t="shared" si="181"/>
        <v>2.4578099837977256</v>
      </c>
      <c r="X131">
        <f t="shared" si="181"/>
        <v>2.5217086149854135</v>
      </c>
      <c r="Y131">
        <f t="shared" si="181"/>
        <v>2.6497316443714598</v>
      </c>
      <c r="Z131">
        <f t="shared" si="181"/>
        <v>2.6788771572794579</v>
      </c>
      <c r="AA131">
        <f t="shared" si="181"/>
        <v>2.7212126854492009</v>
      </c>
      <c r="AB131">
        <f t="shared" si="181"/>
        <v>2.7834273923422201</v>
      </c>
      <c r="AC131">
        <f t="shared" si="181"/>
        <v>2.8800471161628809</v>
      </c>
      <c r="AD131">
        <f t="shared" si="181"/>
        <v>2.9714923490670233</v>
      </c>
      <c r="AE131">
        <f t="shared" si="181"/>
        <v>3.0654237759043759</v>
      </c>
      <c r="AF131">
        <f t="shared" si="181"/>
        <v>3.1594145748191931</v>
      </c>
      <c r="AG131">
        <f t="shared" si="181"/>
        <v>3.2619079938311883</v>
      </c>
      <c r="AH131">
        <f t="shared" si="181"/>
        <v>3.37518627490899</v>
      </c>
      <c r="AI131">
        <f t="shared" si="181"/>
        <v>3.4779597189838052</v>
      </c>
      <c r="AJ131">
        <f t="shared" si="181"/>
        <v>3.5844479782165766</v>
      </c>
      <c r="AK131">
        <f t="shared" si="181"/>
        <v>3.6963338114820443</v>
      </c>
      <c r="AL131">
        <f t="shared" si="181"/>
        <v>3.8054902059272262</v>
      </c>
      <c r="AM131">
        <f t="shared" si="181"/>
        <v>3.8969837742988331</v>
      </c>
      <c r="AN131">
        <f t="shared" si="181"/>
        <v>4.4523206678993521</v>
      </c>
      <c r="AO131">
        <f t="shared" si="181"/>
        <v>5.1933883736367674</v>
      </c>
      <c r="AP131">
        <f t="shared" si="181"/>
        <v>6.1942056554223077</v>
      </c>
      <c r="AQ131">
        <f t="shared" si="181"/>
        <v>6.9361515627335688</v>
      </c>
    </row>
    <row r="132" spans="1:43" ht="15">
      <c r="A132" s="48" t="str">
        <f>'[4]TS BYDem'!A178</f>
        <v/>
      </c>
      <c r="B132" t="s">
        <v>272</v>
      </c>
      <c r="C132" t="s">
        <v>125</v>
      </c>
      <c r="D132" s="9" t="s">
        <v>339</v>
      </c>
      <c r="E132" t="s">
        <v>125</v>
      </c>
      <c r="F132" t="s">
        <v>125</v>
      </c>
      <c r="G132" t="s">
        <v>125</v>
      </c>
      <c r="I132" t="s">
        <v>125</v>
      </c>
      <c r="J132">
        <v>0</v>
      </c>
      <c r="K132">
        <f>INDEX('[4]TS BYDem'!$J$10:$J$203,MATCH(D132,'[4]TS BYDem'!$D$10:$D$203,0))</f>
        <v>1.8465243407674501</v>
      </c>
      <c r="L132">
        <f t="shared" si="173"/>
        <v>1.8979450037934327</v>
      </c>
      <c r="M132">
        <f t="shared" si="173"/>
        <v>1.9343112534529903</v>
      </c>
      <c r="N132" s="166">
        <f t="shared" si="174"/>
        <v>1.0010822399999999</v>
      </c>
      <c r="O132" s="166">
        <f t="shared" si="175"/>
        <v>1.0010822399999999</v>
      </c>
      <c r="P132" s="288">
        <f>IFERROR(INDEX('BY-DMD'!$I$5:$I$138,MATCH(D132,'BY-DMD'!$H$5:$H$138,0)),"")</f>
        <v>1.0010822399999999</v>
      </c>
      <c r="Q132">
        <f t="shared" si="182" ref="Q132:AQ132">Q$125/P$125*P132</f>
        <v>1.0126164056868643</v>
      </c>
      <c r="R132">
        <f t="shared" si="182"/>
        <v>1.0115313921457687</v>
      </c>
      <c r="S132">
        <f t="shared" si="182"/>
        <v>0.93830034633828474</v>
      </c>
      <c r="T132">
        <f t="shared" si="182"/>
        <v>1.0266630260147633</v>
      </c>
      <c r="U132">
        <f t="shared" si="182"/>
        <v>1.0584311490457452</v>
      </c>
      <c r="V132">
        <f t="shared" si="182"/>
        <v>1.049437135871677</v>
      </c>
      <c r="W132">
        <f t="shared" si="182"/>
        <v>1.0464598661784932</v>
      </c>
      <c r="X132">
        <f t="shared" si="182"/>
        <v>1.0736659372264818</v>
      </c>
      <c r="Y132">
        <f t="shared" si="182"/>
        <v>1.1281742039689253</v>
      </c>
      <c r="Z132">
        <f t="shared" si="182"/>
        <v>1.1405834665801382</v>
      </c>
      <c r="AA132">
        <f t="shared" si="182"/>
        <v>1.158608631843179</v>
      </c>
      <c r="AB132">
        <f t="shared" si="182"/>
        <v>1.1850977397395528</v>
      </c>
      <c r="AC132">
        <f t="shared" si="182"/>
        <v>1.226235445227811</v>
      </c>
      <c r="AD132">
        <f t="shared" si="182"/>
        <v>1.2651700116989208</v>
      </c>
      <c r="AE132">
        <f t="shared" si="182"/>
        <v>1.3051631230485168</v>
      </c>
      <c r="AF132">
        <f t="shared" si="182"/>
        <v>1.3451815132018639</v>
      </c>
      <c r="AG132">
        <f t="shared" si="182"/>
        <v>1.3888200573735094</v>
      </c>
      <c r="AH132">
        <f t="shared" si="182"/>
        <v>1.4370504639708659</v>
      </c>
      <c r="AI132">
        <f t="shared" si="182"/>
        <v>1.4808082341981044</v>
      </c>
      <c r="AJ132">
        <f t="shared" si="182"/>
        <v>1.5261476584175957</v>
      </c>
      <c r="AK132">
        <f t="shared" si="182"/>
        <v>1.5737852035810083</v>
      </c>
      <c r="AL132">
        <f t="shared" si="182"/>
        <v>1.620260637677476</v>
      </c>
      <c r="AM132">
        <f t="shared" si="182"/>
        <v>1.659215783903387</v>
      </c>
      <c r="AN132">
        <f t="shared" si="182"/>
        <v>1.8956611459094541</v>
      </c>
      <c r="AO132">
        <f t="shared" si="182"/>
        <v>2.2111849729291921</v>
      </c>
      <c r="AP132">
        <f t="shared" si="182"/>
        <v>2.6373021771355738</v>
      </c>
      <c r="AQ132">
        <f t="shared" si="182"/>
        <v>2.9531999153638684</v>
      </c>
    </row>
    <row r="133" spans="1:43" ht="15">
      <c r="A133" s="48" t="str">
        <f>'[4]TS BYDem'!A179</f>
        <v/>
      </c>
      <c r="B133" t="s">
        <v>272</v>
      </c>
      <c r="C133" t="s">
        <v>125</v>
      </c>
      <c r="D133" s="9" t="s">
        <v>343</v>
      </c>
      <c r="E133" t="s">
        <v>125</v>
      </c>
      <c r="F133" t="s">
        <v>125</v>
      </c>
      <c r="G133" t="s">
        <v>125</v>
      </c>
      <c r="I133" t="s">
        <v>125</v>
      </c>
      <c r="J133">
        <v>0</v>
      </c>
      <c r="K133">
        <f>INDEX('[4]TS BYDem'!$J$10:$J$203,MATCH(D133,'[4]TS BYDem'!$D$10:$D$203,0))</f>
        <v>12.304490923310899</v>
      </c>
      <c r="L133">
        <f t="shared" si="173"/>
        <v>12.647137411908426</v>
      </c>
      <c r="M133">
        <f t="shared" si="173"/>
        <v>12.889467382313748</v>
      </c>
      <c r="N133" s="166">
        <f t="shared" si="174"/>
        <v>6.6708069119999998</v>
      </c>
      <c r="O133" s="166">
        <f t="shared" si="175"/>
        <v>6.6708069119999998</v>
      </c>
      <c r="P133" s="288">
        <f>IFERROR(INDEX('BY-DMD'!$I$5:$I$138,MATCH(D133,'BY-DMD'!$H$5:$H$138,0)),"")</f>
        <v>6.6708069119999998</v>
      </c>
      <c r="Q133">
        <f t="shared" si="183" ref="Q133:AQ133">Q$125/P$125*P133</f>
        <v>6.7476659242906258</v>
      </c>
      <c r="R133">
        <f t="shared" si="183"/>
        <v>6.740435833154903</v>
      </c>
      <c r="S133">
        <f t="shared" si="183"/>
        <v>6.2524537803062259</v>
      </c>
      <c r="T133">
        <f t="shared" si="183"/>
        <v>6.8412669175252976</v>
      </c>
      <c r="U133">
        <f t="shared" si="183"/>
        <v>7.0529568329275936</v>
      </c>
      <c r="V133">
        <f t="shared" si="183"/>
        <v>6.9930243689891736</v>
      </c>
      <c r="W133">
        <f t="shared" si="183"/>
        <v>6.973185048647041</v>
      </c>
      <c r="X133">
        <f t="shared" si="183"/>
        <v>7.1544752958851561</v>
      </c>
      <c r="Y133">
        <f t="shared" si="183"/>
        <v>7.5176963261040441</v>
      </c>
      <c r="Z133">
        <f t="shared" si="183"/>
        <v>7.6003866301490968</v>
      </c>
      <c r="AA133">
        <f t="shared" si="183"/>
        <v>7.7204990367248385</v>
      </c>
      <c r="AB133">
        <f t="shared" si="183"/>
        <v>7.8970117316737021</v>
      </c>
      <c r="AC133">
        <f t="shared" si="183"/>
        <v>8.171136752725813</v>
      </c>
      <c r="AD133">
        <f t="shared" si="183"/>
        <v>8.4305809469722348</v>
      </c>
      <c r="AE133">
        <f t="shared" si="183"/>
        <v>8.6970788558985479</v>
      </c>
      <c r="AF133">
        <f t="shared" si="183"/>
        <v>8.9637452125427934</v>
      </c>
      <c r="AG133">
        <f t="shared" si="183"/>
        <v>9.254534810498134</v>
      </c>
      <c r="AH133">
        <f t="shared" si="183"/>
        <v>9.5759227213437157</v>
      </c>
      <c r="AI133">
        <f t="shared" si="183"/>
        <v>9.867506793483054</v>
      </c>
      <c r="AJ133">
        <f t="shared" si="183"/>
        <v>10.16963036773554</v>
      </c>
      <c r="AK133">
        <f t="shared" si="183"/>
        <v>10.48706768991479</v>
      </c>
      <c r="AL133">
        <f t="shared" si="183"/>
        <v>10.796761174247223</v>
      </c>
      <c r="AM133">
        <f t="shared" si="183"/>
        <v>11.056342503651068</v>
      </c>
      <c r="AN133">
        <f t="shared" si="183"/>
        <v>12.631918707240912</v>
      </c>
      <c r="AO133">
        <f t="shared" si="183"/>
        <v>14.734441798834228</v>
      </c>
      <c r="AP133">
        <f t="shared" si="183"/>
        <v>17.573914399149309</v>
      </c>
      <c r="AQ133">
        <f t="shared" si="183"/>
        <v>19.678929083715559</v>
      </c>
    </row>
    <row r="134" spans="1:43" ht="15">
      <c r="A134" s="48" t="str">
        <f>'[4]TS BYDem'!A180</f>
        <v/>
      </c>
      <c r="B134" t="s">
        <v>272</v>
      </c>
      <c r="C134" t="s">
        <v>125</v>
      </c>
      <c r="D134" s="9" t="s">
        <v>338</v>
      </c>
      <c r="E134" t="s">
        <v>125</v>
      </c>
      <c r="F134" t="s">
        <v>125</v>
      </c>
      <c r="G134" t="s">
        <v>125</v>
      </c>
      <c r="I134" t="s">
        <v>125</v>
      </c>
      <c r="J134">
        <v>0</v>
      </c>
      <c r="K134">
        <f>INDEX('[4]TS BYDem'!$J$10:$J$203,MATCH(D134,'[4]TS BYDem'!$D$10:$D$203,0))</f>
        <v>0.41264064265496903</v>
      </c>
      <c r="L134">
        <f t="shared" si="173"/>
        <v>0.42413155830028748</v>
      </c>
      <c r="M134">
        <f t="shared" si="173"/>
        <v>0.43225828173369429</v>
      </c>
      <c r="N134" s="166">
        <f t="shared" si="174"/>
        <v>0.22371068159999999</v>
      </c>
      <c r="O134" s="166">
        <f t="shared" si="175"/>
        <v>0.22371068159999999</v>
      </c>
      <c r="P134" s="288">
        <f>IFERROR(INDEX('BY-DMD'!$I$5:$I$138,MATCH(D134,'BY-DMD'!$H$5:$H$138,0)),"")</f>
        <v>0.22371068159999999</v>
      </c>
      <c r="Q134">
        <f t="shared" si="184" ref="Q134:AQ134">Q$125/P$125*P134</f>
        <v>0.22628820816514586</v>
      </c>
      <c r="R134">
        <f t="shared" si="184"/>
        <v>0.22604574145349615</v>
      </c>
      <c r="S134">
        <f t="shared" si="184"/>
        <v>0.20968088498388876</v>
      </c>
      <c r="T134">
        <f t="shared" si="184"/>
        <v>0.2294271900411311</v>
      </c>
      <c r="U134">
        <f t="shared" si="184"/>
        <v>0.23652637547510066</v>
      </c>
      <c r="V134">
        <f t="shared" si="184"/>
        <v>0.23451649383192003</v>
      </c>
      <c r="W134">
        <f t="shared" si="184"/>
        <v>0.23385116684303128</v>
      </c>
      <c r="X134">
        <f t="shared" si="184"/>
        <v>0.23993087583657369</v>
      </c>
      <c r="Y134">
        <f t="shared" si="184"/>
        <v>0.25211177468638912</v>
      </c>
      <c r="Z134">
        <f t="shared" si="184"/>
        <v>0.25488485814145856</v>
      </c>
      <c r="AA134">
        <f t="shared" si="184"/>
        <v>0.25891292081785511</v>
      </c>
      <c r="AB134">
        <f t="shared" si="184"/>
        <v>0.26483241089139165</v>
      </c>
      <c r="AC134">
        <f t="shared" si="184"/>
        <v>0.27402540599860514</v>
      </c>
      <c r="AD134">
        <f t="shared" si="184"/>
        <v>0.28272606819700002</v>
      </c>
      <c r="AE134">
        <f t="shared" si="184"/>
        <v>0.29166328218585552</v>
      </c>
      <c r="AF134">
        <f t="shared" si="184"/>
        <v>0.30060614519952761</v>
      </c>
      <c r="AG134">
        <f t="shared" si="184"/>
        <v>0.31035799981306122</v>
      </c>
      <c r="AH134">
        <f t="shared" si="184"/>
        <v>0.32113599257191761</v>
      </c>
      <c r="AI134">
        <f t="shared" si="184"/>
        <v>0.33091449049315902</v>
      </c>
      <c r="AJ134">
        <f t="shared" si="184"/>
        <v>0.34104643878892937</v>
      </c>
      <c r="AK134">
        <f t="shared" si="184"/>
        <v>0.35169194549401067</v>
      </c>
      <c r="AL134">
        <f t="shared" si="184"/>
        <v>0.36207775659318336</v>
      </c>
      <c r="AM134">
        <f t="shared" si="184"/>
        <v>0.3707830177254019</v>
      </c>
      <c r="AN134">
        <f t="shared" si="184"/>
        <v>0.42362118724036207</v>
      </c>
      <c r="AO134">
        <f t="shared" si="184"/>
        <v>0.49413092918087043</v>
      </c>
      <c r="AP134">
        <f t="shared" si="184"/>
        <v>0.58935484424552687</v>
      </c>
      <c r="AQ134">
        <f t="shared" si="184"/>
        <v>0.6599481436880883</v>
      </c>
    </row>
    <row r="135" spans="1:43" ht="15">
      <c r="A135" s="48" t="str">
        <f>'[4]TS BYDem'!A182</f>
        <v/>
      </c>
      <c r="B135" t="s">
        <v>272</v>
      </c>
      <c r="C135" t="s">
        <v>125</v>
      </c>
      <c r="D135" s="9" t="s">
        <v>345</v>
      </c>
      <c r="E135" t="s">
        <v>125</v>
      </c>
      <c r="F135" t="s">
        <v>125</v>
      </c>
      <c r="G135" t="s">
        <v>125</v>
      </c>
      <c r="I135" t="s">
        <v>125</v>
      </c>
      <c r="J135">
        <v>0</v>
      </c>
      <c r="K135">
        <f>INDEX('[4]TS BYDem'!$J$10:$J$203,MATCH(D135,'[4]TS BYDem'!$D$10:$D$203,0))</f>
        <v>73.690487252999503</v>
      </c>
      <c r="L135">
        <f t="shared" si="173"/>
        <v>75.742566193741808</v>
      </c>
      <c r="M135">
        <f t="shared" si="173"/>
        <v>77.193858547604435</v>
      </c>
      <c r="N135" s="166">
        <f t="shared" si="185" ref="N135">P135</f>
        <v>68.533420800000002</v>
      </c>
      <c r="O135" s="166">
        <f t="shared" si="186" ref="O135">P135</f>
        <v>68.533420800000002</v>
      </c>
      <c r="P135" s="288">
        <f>IFERROR(INDEX('BY-DMD'!$I$5:$I$138,MATCH(D135,'BY-DMD'!$H$5:$H$138,0)),"")</f>
        <v>68.533420800000002</v>
      </c>
      <c r="Q135">
        <f t="shared" si="187" ref="Q135:AQ135">Q$125/P$125*P135</f>
        <v>69.323042070870599</v>
      </c>
      <c r="R135">
        <f t="shared" si="187"/>
        <v>69.248762769316315</v>
      </c>
      <c r="S135">
        <f t="shared" si="187"/>
        <v>64.23541433757471</v>
      </c>
      <c r="T135">
        <f t="shared" si="187"/>
        <v>70.284664306571983</v>
      </c>
      <c r="U135">
        <f t="shared" si="187"/>
        <v>72.459488768255028</v>
      </c>
      <c r="V135">
        <f t="shared" si="187"/>
        <v>71.843764639996436</v>
      </c>
      <c r="W135">
        <f t="shared" si="187"/>
        <v>71.639942747483332</v>
      </c>
      <c r="X135">
        <f t="shared" si="187"/>
        <v>73.502452180720809</v>
      </c>
      <c r="Y135">
        <f t="shared" si="187"/>
        <v>77.234051676221327</v>
      </c>
      <c r="Z135">
        <f t="shared" si="187"/>
        <v>78.083581497419601</v>
      </c>
      <c r="AA135">
        <f t="shared" si="187"/>
        <v>79.317572259219062</v>
      </c>
      <c r="AB135">
        <f t="shared" si="187"/>
        <v>81.130998874477754</v>
      </c>
      <c r="AC135">
        <f t="shared" si="187"/>
        <v>83.94725868643215</v>
      </c>
      <c r="AD135">
        <f t="shared" si="187"/>
        <v>86.612693074350318</v>
      </c>
      <c r="AE135">
        <f t="shared" si="187"/>
        <v>89.350594736878179</v>
      </c>
      <c r="AF135">
        <f t="shared" si="187"/>
        <v>92.090226969408761</v>
      </c>
      <c r="AG135">
        <f t="shared" si="187"/>
        <v>95.077692525500112</v>
      </c>
      <c r="AH135">
        <f t="shared" si="187"/>
        <v>98.379513913013412</v>
      </c>
      <c r="AI135">
        <f t="shared" si="187"/>
        <v>101.37514160515292</v>
      </c>
      <c r="AJ135">
        <f t="shared" si="187"/>
        <v>104.47904827206584</v>
      </c>
      <c r="AK135">
        <f t="shared" si="187"/>
        <v>107.74028276221438</v>
      </c>
      <c r="AL135">
        <f t="shared" si="187"/>
        <v>110.92195990573846</v>
      </c>
      <c r="AM135">
        <f t="shared" si="187"/>
        <v>113.58880316991014</v>
      </c>
      <c r="AN135">
        <f t="shared" si="187"/>
        <v>129.77569455914318</v>
      </c>
      <c r="AO135">
        <f t="shared" si="187"/>
        <v>151.37624478923229</v>
      </c>
      <c r="AP135">
        <f t="shared" si="187"/>
        <v>180.54794367582477</v>
      </c>
      <c r="AQ135">
        <f t="shared" si="187"/>
        <v>202.17409161724461</v>
      </c>
    </row>
    <row r="136" spans="1:43" ht="15">
      <c r="A136" s="48" t="str">
        <f>'[4]TS BYDem'!A188</f>
        <v/>
      </c>
      <c r="B136" t="s">
        <v>272</v>
      </c>
      <c r="C136" t="s">
        <v>125</v>
      </c>
      <c r="D136" s="9" t="s">
        <v>369</v>
      </c>
      <c r="E136" t="s">
        <v>125</v>
      </c>
      <c r="F136" t="s">
        <v>125</v>
      </c>
      <c r="G136" t="s">
        <v>125</v>
      </c>
      <c r="I136" t="s">
        <v>125</v>
      </c>
      <c r="J136">
        <v>0</v>
      </c>
      <c r="K136">
        <f>INDEX('[4]TS BYDem'!$J$10:$J$203,MATCH(D136,'[4]TS BYDem'!$D$10:$D$203,0))</f>
        <v>9.4685659246785203</v>
      </c>
      <c r="L136">
        <f t="shared" si="173"/>
        <v>9.7322396423777082</v>
      </c>
      <c r="M136">
        <f t="shared" si="173"/>
        <v>9.918717678292321</v>
      </c>
      <c r="N136" s="166">
        <f t="shared" si="188" ref="N136">P136</f>
        <v>4.2000000000000002</v>
      </c>
      <c r="O136" s="166">
        <f t="shared" si="189" ref="O136">P136</f>
        <v>4.2000000000000002</v>
      </c>
      <c r="P136" s="288">
        <f>IFERROR(INDEX('BY-DMD'!$I$5:$I$138,MATCH(D136,'BY-DMD'!$H$5:$H$138,0)),"")</f>
        <v>4.2000000000000002</v>
      </c>
      <c r="Q136">
        <f t="shared" si="190" ref="Q136:AQ136">Q$125/P$125*P136</f>
        <v>4.2483911250736304</v>
      </c>
      <c r="R136">
        <f t="shared" si="190"/>
        <v>4.2438389946986064</v>
      </c>
      <c r="S136">
        <f t="shared" si="190"/>
        <v>3.9366011074382827</v>
      </c>
      <c r="T136">
        <f t="shared" si="190"/>
        <v>4.3073231518541446</v>
      </c>
      <c r="U136">
        <f t="shared" si="190"/>
        <v>4.4406050256092158</v>
      </c>
      <c r="V136">
        <f t="shared" si="190"/>
        <v>4.4028710075418429</v>
      </c>
      <c r="W136">
        <f t="shared" si="190"/>
        <v>4.3903799931059337</v>
      </c>
      <c r="X136">
        <f t="shared" si="190"/>
        <v>4.5045219625025261</v>
      </c>
      <c r="Y136">
        <f t="shared" si="190"/>
        <v>4.7332091883574794</v>
      </c>
      <c r="Z136">
        <f t="shared" si="190"/>
        <v>4.785271747140956</v>
      </c>
      <c r="AA136">
        <f t="shared" si="190"/>
        <v>4.860895598089277</v>
      </c>
      <c r="AB136">
        <f t="shared" si="190"/>
        <v>4.9720295776160439</v>
      </c>
      <c r="AC136">
        <f t="shared" si="190"/>
        <v>5.14462115515785</v>
      </c>
      <c r="AD136">
        <f t="shared" si="190"/>
        <v>5.3079695521673322</v>
      </c>
      <c r="AE136">
        <f t="shared" si="190"/>
        <v>5.4757590313496847</v>
      </c>
      <c r="AF136">
        <f t="shared" si="190"/>
        <v>5.6436545667295333</v>
      </c>
      <c r="AG136">
        <f t="shared" si="190"/>
        <v>5.82673831169829</v>
      </c>
      <c r="AH136">
        <f t="shared" si="190"/>
        <v>6.0290870295307997</v>
      </c>
      <c r="AI136">
        <f t="shared" si="190"/>
        <v>6.212670982587845</v>
      </c>
      <c r="AJ136">
        <f t="shared" si="190"/>
        <v>6.4028907009217395</v>
      </c>
      <c r="AK136">
        <f t="shared" si="190"/>
        <v>6.6027520926155256</v>
      </c>
      <c r="AL136">
        <f t="shared" si="190"/>
        <v>6.7977378943865814</v>
      </c>
      <c r="AM136">
        <f t="shared" si="190"/>
        <v>6.9611726329239731</v>
      </c>
      <c r="AN136">
        <f t="shared" si="190"/>
        <v>7.9531695745793183</v>
      </c>
      <c r="AO136">
        <f t="shared" si="190"/>
        <v>9.2769370139885918</v>
      </c>
      <c r="AP136">
        <f t="shared" si="190"/>
        <v>11.064694489005634</v>
      </c>
      <c r="AQ136">
        <f t="shared" si="190"/>
        <v>12.390030657749209</v>
      </c>
    </row>
  </sheetData>
  <mergeCells count="1">
    <mergeCell ref="B2:C2"/>
  </mergeCells>
  <conditionalFormatting sqref="B79:AQ136">
    <cfRule type="expression" priority="1" dxfId="0">
      <formula>INDIRECT(ADDRESS(ROW(),1))="*"</formula>
    </cfRule>
  </conditionalFormatting>
  <pageMargins left="0.7" right="0.7" top="0.75" bottom="0.75" header="0.3" footer="0.3"/>
  <pageSetup orientation="portrait" paperSize="9" r:id="rId4"/>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09996986389"/>
  </sheetPr>
  <dimension ref="A1:AY130"/>
  <sheetViews>
    <sheetView zoomScale="90" zoomScaleNormal="90" workbookViewId="0" topLeftCell="A30">
      <selection pane="topLeft" activeCell="AP45" sqref="AP45:AR45"/>
    </sheetView>
  </sheetViews>
  <sheetFormatPr defaultColWidth="9.14428571428571" defaultRowHeight="15"/>
  <cols>
    <col min="1" max="1" width="8.85714285714286" bestFit="1" customWidth="1"/>
    <col min="2" max="2" width="35.4285714285714" bestFit="1" customWidth="1"/>
    <col min="3" max="3" width="48" bestFit="1" customWidth="1"/>
    <col min="4" max="4" width="11.4285714285714" bestFit="1" customWidth="1"/>
    <col min="5" max="6" width="6.42857142857143" bestFit="1" customWidth="1"/>
    <col min="7" max="8" width="8.42857142857143" bestFit="1" customWidth="1"/>
    <col min="9" max="9" width="17.1428571428571" bestFit="1" customWidth="1"/>
    <col min="10" max="11" width="17.1428571428571" customWidth="1"/>
    <col min="12" max="12" width="13.1428571428571" customWidth="1"/>
    <col min="13" max="13" width="12.1428571428571" customWidth="1"/>
    <col min="14" max="14" width="13.1428571428571" customWidth="1"/>
    <col min="15" max="15" width="13.1428571428571" bestFit="1" customWidth="1"/>
    <col min="16" max="17" width="13.1428571428571" customWidth="1"/>
    <col min="18" max="19" width="13" customWidth="1"/>
    <col min="20" max="20" width="13" bestFit="1" customWidth="1"/>
    <col min="21" max="24" width="13" customWidth="1"/>
    <col min="25" max="25" width="8.42857142857143" bestFit="1" customWidth="1"/>
    <col min="26" max="29" width="8.42857142857143" hidden="1" customWidth="1"/>
    <col min="30" max="30" width="8.42857142857143" bestFit="1" customWidth="1"/>
    <col min="31" max="34" width="8.42857142857143" hidden="1" customWidth="1"/>
    <col min="35" max="37" width="8.42857142857143" bestFit="1" customWidth="1"/>
    <col min="38" max="39" width="8.42857142857143" customWidth="1"/>
    <col min="40" max="45" width="6.42857142857143" customWidth="1"/>
    <col min="51" max="51" width="10.4285714285714" bestFit="1" customWidth="1"/>
  </cols>
  <sheetData>
    <row r="1" spans="1:2" ht="15">
      <c r="A1" t="str">
        <f>IF(RES,"TS DATA","")</f>
        <v>TS DATA</v>
      </c>
      <c r="B1" t="s">
        <v>17</v>
      </c>
    </row>
    <row r="2" spans="1:9 51:51" ht="15.75" thickBot="1">
      <c r="A2" t="s">
        <v>16</v>
      </c>
      <c r="B2" s="4" t="s">
        <v>185</v>
      </c>
      <c r="C2" s="4"/>
      <c r="I2" s="108"/>
      <c r="AY2" t="s">
        <v>279</v>
      </c>
    </row>
    <row r="3" spans="1:39" ht="15.75" thickBot="1">
      <c r="A3" t="s">
        <v>16</v>
      </c>
      <c r="C3" s="6"/>
      <c r="D3" s="6"/>
      <c r="E3" s="15"/>
      <c r="F3" s="15"/>
      <c r="G3" s="15"/>
      <c r="H3" s="15"/>
      <c r="I3" s="131"/>
      <c r="J3" s="45"/>
      <c r="K3" s="45"/>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39" ht="15">
      <c r="A4" t="s">
        <v>16</v>
      </c>
      <c r="C4" t="s">
        <v>376</v>
      </c>
      <c r="D4">
        <v>1</v>
      </c>
      <c r="E4">
        <v>2017</v>
      </c>
      <c r="F4">
        <v>2020</v>
      </c>
      <c r="G4">
        <v>2030</v>
      </c>
      <c r="H4">
        <v>2040</v>
      </c>
      <c r="I4" s="108">
        <v>2050</v>
      </c>
      <c r="J4">
        <v>2060</v>
      </c>
      <c r="K4">
        <v>2070</v>
      </c>
      <c r="L4">
        <f t="shared" si="0" ref="L4:P5">MATCH(L$3,$E$4:$I$4,$D4)</f>
        <v>1</v>
      </c>
      <c r="M4">
        <f t="shared" si="0"/>
        <v>1</v>
      </c>
      <c r="N4">
        <f t="shared" si="0"/>
        <v>1</v>
      </c>
      <c r="O4">
        <f t="shared" si="0"/>
        <v>2</v>
      </c>
      <c r="P4">
        <f t="shared" si="0"/>
        <v>2</v>
      </c>
      <c r="Q4">
        <f t="shared" si="1" ref="Q4:Z5">MATCH(Q$3,$E$4:$I$4,$D4)</f>
        <v>2</v>
      </c>
      <c r="R4">
        <f t="shared" si="1"/>
        <v>2</v>
      </c>
      <c r="S4">
        <f t="shared" si="1"/>
        <v>2</v>
      </c>
      <c r="T4">
        <f t="shared" si="1"/>
        <v>2</v>
      </c>
      <c r="U4">
        <f t="shared" si="1"/>
        <v>2</v>
      </c>
      <c r="V4">
        <f t="shared" si="1"/>
        <v>2</v>
      </c>
      <c r="W4">
        <f t="shared" si="1"/>
        <v>2</v>
      </c>
      <c r="X4">
        <f t="shared" si="1"/>
        <v>2</v>
      </c>
      <c r="Y4">
        <f t="shared" si="1"/>
        <v>3</v>
      </c>
      <c r="Z4">
        <f t="shared" si="1"/>
        <v>3</v>
      </c>
      <c r="AA4">
        <f t="shared" si="2" ref="AA4:AM5">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39" ht="15">
      <c r="A5" t="s">
        <v>16</v>
      </c>
      <c r="C5" t="s">
        <v>377</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39" ht="15">
      <c r="A6" t="s">
        <v>16</v>
      </c>
      <c r="C6" t="s">
        <v>375</v>
      </c>
      <c r="D6">
        <v>-1</v>
      </c>
      <c r="E6">
        <v>0</v>
      </c>
      <c r="F6">
        <v>1</v>
      </c>
      <c r="G6">
        <v>2</v>
      </c>
      <c r="H6">
        <v>3</v>
      </c>
      <c r="I6" s="108">
        <v>4</v>
      </c>
      <c r="J6">
        <v>5</v>
      </c>
      <c r="K6">
        <v>6</v>
      </c>
      <c r="L6">
        <f t="shared" si="3" ref="L6:AM6">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45" ht="15">
      <c r="A7" t="s">
        <v>16</v>
      </c>
      <c r="C7" t="s">
        <v>378</v>
      </c>
      <c r="I7" s="108"/>
      <c r="L7" s="8">
        <f t="shared" si="4" ref="L7:AM7">IF(ISNA(L4),-1,IF(ISNA(L6),99,IF(ISNA(L5),L4,0)))</f>
        <v>0</v>
      </c>
      <c r="M7" s="8">
        <f t="shared" si="4"/>
        <v>1</v>
      </c>
      <c r="N7" s="8">
        <f t="shared" si="4"/>
        <v>1</v>
      </c>
      <c r="O7" s="8">
        <f t="shared" si="4"/>
        <v>0</v>
      </c>
      <c r="P7" s="8">
        <f t="shared" si="4"/>
        <v>2</v>
      </c>
      <c r="Q7" s="8">
        <f t="shared" si="4"/>
        <v>2</v>
      </c>
      <c r="R7" s="8">
        <f t="shared" si="4"/>
        <v>2</v>
      </c>
      <c r="S7" s="8">
        <f t="shared" si="4"/>
        <v>2</v>
      </c>
      <c r="T7" s="8">
        <f t="shared" si="4"/>
        <v>2</v>
      </c>
      <c r="U7" s="8">
        <f t="shared" si="4"/>
        <v>2</v>
      </c>
      <c r="V7" s="8">
        <f t="shared" si="4"/>
        <v>2</v>
      </c>
      <c r="W7" s="8">
        <f t="shared" si="4"/>
        <v>2</v>
      </c>
      <c r="X7" s="8">
        <f t="shared" si="4"/>
        <v>2</v>
      </c>
      <c r="Y7" s="8">
        <f t="shared" si="4"/>
        <v>0</v>
      </c>
      <c r="Z7" s="8">
        <f t="shared" si="4"/>
        <v>3</v>
      </c>
      <c r="AA7" s="8">
        <f t="shared" si="4"/>
        <v>3</v>
      </c>
      <c r="AB7" s="8">
        <f t="shared" si="4"/>
        <v>3</v>
      </c>
      <c r="AC7" s="8">
        <f t="shared" si="4"/>
        <v>3</v>
      </c>
      <c r="AD7" s="8">
        <f t="shared" si="4"/>
        <v>3</v>
      </c>
      <c r="AE7" s="8">
        <f t="shared" si="4"/>
        <v>3</v>
      </c>
      <c r="AF7" s="8">
        <f t="shared" si="4"/>
        <v>3</v>
      </c>
      <c r="AG7" s="8">
        <f t="shared" si="4"/>
        <v>3</v>
      </c>
      <c r="AH7" s="8">
        <f t="shared" si="4"/>
        <v>3</v>
      </c>
      <c r="AI7" s="8">
        <f t="shared" si="4"/>
        <v>0</v>
      </c>
      <c r="AJ7" s="8">
        <f t="shared" si="4"/>
        <v>4</v>
      </c>
      <c r="AK7" s="8">
        <f t="shared" si="4"/>
        <v>0</v>
      </c>
      <c r="AL7" s="8">
        <f t="shared" si="4"/>
        <v>0</v>
      </c>
      <c r="AM7" s="8">
        <f t="shared" si="4"/>
        <v>0</v>
      </c>
      <c r="AN7" s="8"/>
      <c r="AO7" s="8"/>
      <c r="AP7" s="8"/>
      <c r="AQ7" s="8"/>
      <c r="AR7" s="8"/>
      <c r="AS7" s="8"/>
    </row>
    <row r="8" spans="1:9" ht="15.75" thickBot="1">
      <c r="A8" t="s">
        <v>16</v>
      </c>
      <c r="B8" s="6"/>
      <c r="C8" s="6" t="s">
        <v>35</v>
      </c>
      <c r="D8" s="6"/>
      <c r="I8" s="108"/>
    </row>
    <row r="9" spans="1:45" ht="15">
      <c r="A9" t="s">
        <v>16</v>
      </c>
      <c r="C9" t="s">
        <v>32</v>
      </c>
      <c r="D9" t="s">
        <v>38</v>
      </c>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row>
    <row r="10" spans="1:4" ht="15">
      <c r="A10" t="s">
        <v>16</v>
      </c>
      <c r="C10" t="s">
        <v>33</v>
      </c>
      <c r="D10" t="s">
        <v>38</v>
      </c>
    </row>
    <row r="11" spans="1:4" ht="15">
      <c r="A11" t="s">
        <v>16</v>
      </c>
      <c r="C11" t="s">
        <v>34</v>
      </c>
      <c r="D11" t="s">
        <v>38</v>
      </c>
    </row>
    <row r="12" spans="1:1" ht="15">
      <c r="A12" t="s">
        <v>16</v>
      </c>
    </row>
    <row r="13" spans="1:3" ht="18" thickBot="1">
      <c r="A13" t="s">
        <v>16</v>
      </c>
      <c r="B13" s="23"/>
      <c r="C13" s="33" t="s">
        <v>31</v>
      </c>
    </row>
    <row r="14" spans="1:45" ht="16.5" thickTop="1" thickBot="1">
      <c r="A14" t="s">
        <v>16</v>
      </c>
      <c r="C14" s="6" t="s">
        <v>37</v>
      </c>
      <c r="D14" t="s">
        <v>38</v>
      </c>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row>
    <row r="15" spans="1:1" ht="15">
      <c r="A15" t="s">
        <v>16</v>
      </c>
    </row>
    <row r="16" spans="1:4" ht="15.75" thickBot="1">
      <c r="A16" t="s">
        <v>16</v>
      </c>
      <c r="C16" s="6" t="s">
        <v>48</v>
      </c>
      <c r="D16" s="6"/>
    </row>
    <row r="17" spans="1:45" ht="15">
      <c r="A17" t="s">
        <v>16</v>
      </c>
      <c r="C17" t="s">
        <v>40</v>
      </c>
      <c r="D17" t="s">
        <v>39</v>
      </c>
      <c r="E17">
        <f>E22/$E$25</f>
        <v>0.4556701030927835</v>
      </c>
      <c r="F17">
        <f>F22/$F$25</f>
        <v>0.46414111634904792</v>
      </c>
      <c r="L17" s="68">
        <f t="shared" si="5" ref="L17:AM17">L22/L$25</f>
        <v>0.4556701030927835</v>
      </c>
      <c r="M17" s="68">
        <f t="shared" si="5"/>
        <v>0.44755970924195232</v>
      </c>
      <c r="N17" s="68">
        <f t="shared" si="5"/>
        <v>0.44456066945606693</v>
      </c>
      <c r="O17" s="68">
        <f t="shared" si="5"/>
        <v>0.46414111634904792</v>
      </c>
      <c r="P17" s="68">
        <f t="shared" si="5"/>
        <v>0.4977517464816521</v>
      </c>
      <c r="Q17" s="68">
        <f t="shared" si="5"/>
        <v>0.4692086496955874</v>
      </c>
      <c r="R17" s="68">
        <f t="shared" si="5"/>
        <v>0.45802854150869032</v>
      </c>
      <c r="S17" s="68">
        <f t="shared" si="5"/>
        <v>0.44982105076485712</v>
      </c>
      <c r="T17" s="68">
        <f t="shared" si="5"/>
        <v>0.44260227997830254</v>
      </c>
      <c r="U17" s="68">
        <f t="shared" si="5"/>
        <v>0.43832636181986201</v>
      </c>
      <c r="V17" s="68">
        <f t="shared" si="5"/>
        <v>0.427918908801454</v>
      </c>
      <c r="W17" s="68">
        <f t="shared" si="5"/>
        <v>0.41388979801951303</v>
      </c>
      <c r="X17" s="68">
        <f t="shared" si="5"/>
        <v>0.39988623775329268</v>
      </c>
      <c r="Y17" s="68">
        <f t="shared" si="5"/>
        <v>0.38564471486303936</v>
      </c>
      <c r="Z17" s="68">
        <f t="shared" si="5"/>
        <v>0.3716078901589227</v>
      </c>
      <c r="AA17" s="68">
        <f t="shared" si="5"/>
        <v>0.35815863211430859</v>
      </c>
      <c r="AB17" s="68">
        <f t="shared" si="5"/>
        <v>0.345304742893489</v>
      </c>
      <c r="AC17" s="68">
        <f t="shared" si="5"/>
        <v>0.33303577589021155</v>
      </c>
      <c r="AD17" s="68">
        <f t="shared" si="5"/>
        <v>0.3212479958261335</v>
      </c>
      <c r="AE17" s="68">
        <f t="shared" si="5"/>
        <v>0.31033528587967801</v>
      </c>
      <c r="AF17" s="68">
        <f t="shared" si="5"/>
        <v>0.29961797342314167</v>
      </c>
      <c r="AG17" s="68">
        <f t="shared" si="5"/>
        <v>0.28915345189860775</v>
      </c>
      <c r="AH17" s="68">
        <f t="shared" si="5"/>
        <v>0.27891913196218393</v>
      </c>
      <c r="AI17" s="68">
        <f t="shared" si="5"/>
        <v>0.26895287740496782</v>
      </c>
      <c r="AJ17" s="68">
        <f t="shared" si="5"/>
        <v>0.22785548901104383</v>
      </c>
      <c r="AK17" s="68">
        <f t="shared" si="5"/>
        <v>0.19572024474253735</v>
      </c>
      <c r="AL17" s="68">
        <f t="shared" si="5"/>
        <v>0.16758318046465473</v>
      </c>
      <c r="AM17" s="68">
        <f t="shared" si="5"/>
        <v>0.14462416095425243</v>
      </c>
      <c r="AN17" s="68"/>
      <c r="AO17" s="68"/>
      <c r="AP17" s="68"/>
      <c r="AQ17" s="68"/>
      <c r="AR17" s="68"/>
      <c r="AS17" s="68"/>
    </row>
    <row r="18" spans="1:45" ht="15">
      <c r="A18" t="s">
        <v>16</v>
      </c>
      <c r="C18" t="s">
        <v>42</v>
      </c>
      <c r="D18" t="s">
        <v>39</v>
      </c>
      <c r="E18">
        <f>E23/$E$25</f>
        <v>0.30824742268041239</v>
      </c>
      <c r="F18">
        <f>F23/$F$25</f>
        <v>0.33198982627744406</v>
      </c>
      <c r="L18" s="68">
        <f t="shared" si="6" ref="L18:AM18">L23/L$25</f>
        <v>0.30824742268041239</v>
      </c>
      <c r="M18" s="68">
        <f t="shared" si="6"/>
        <v>0.31152647975077885</v>
      </c>
      <c r="N18" s="68">
        <f t="shared" si="6"/>
        <v>0.31485355648535562</v>
      </c>
      <c r="O18" s="68">
        <f t="shared" si="6"/>
        <v>0.33198982627744406</v>
      </c>
      <c r="P18" s="68">
        <f t="shared" si="6"/>
        <v>0.29125715189066648</v>
      </c>
      <c r="Q18" s="68">
        <f t="shared" si="6"/>
        <v>0.30545929644994796</v>
      </c>
      <c r="R18" s="68">
        <f t="shared" si="6"/>
        <v>0.3101713100236026</v>
      </c>
      <c r="S18" s="68">
        <f t="shared" si="6"/>
        <v>0.31270193032568594</v>
      </c>
      <c r="T18" s="68">
        <f t="shared" si="6"/>
        <v>0.31527520740037895</v>
      </c>
      <c r="U18" s="68">
        <f t="shared" si="6"/>
        <v>0.31697230945861127</v>
      </c>
      <c r="V18" s="68">
        <f t="shared" si="6"/>
        <v>0.31713894101366102</v>
      </c>
      <c r="W18" s="68">
        <f t="shared" si="6"/>
        <v>0.32051233989716021</v>
      </c>
      <c r="X18" s="68">
        <f t="shared" si="6"/>
        <v>0.32346640024475881</v>
      </c>
      <c r="Y18" s="68">
        <f t="shared" si="6"/>
        <v>0.32648322553319159</v>
      </c>
      <c r="Z18" s="68">
        <f t="shared" si="6"/>
        <v>0.32973001654050221</v>
      </c>
      <c r="AA18" s="68">
        <f t="shared" si="6"/>
        <v>0.33284136092064281</v>
      </c>
      <c r="AB18" s="68">
        <f t="shared" si="6"/>
        <v>0.33583424938097356</v>
      </c>
      <c r="AC18" s="68">
        <f t="shared" si="6"/>
        <v>0.33885322625854236</v>
      </c>
      <c r="AD18" s="68">
        <f t="shared" si="6"/>
        <v>0.3417264522003694</v>
      </c>
      <c r="AE18" s="68">
        <f t="shared" si="6"/>
        <v>0.34414015004217996</v>
      </c>
      <c r="AF18" s="68">
        <f t="shared" si="6"/>
        <v>0.3465233376255642</v>
      </c>
      <c r="AG18" s="68">
        <f t="shared" si="6"/>
        <v>0.34886014910494334</v>
      </c>
      <c r="AH18" s="68">
        <f t="shared" si="6"/>
        <v>0.35102016763306931</v>
      </c>
      <c r="AI18" s="68">
        <f t="shared" si="6"/>
        <v>0.35329189706250735</v>
      </c>
      <c r="AJ18" s="68">
        <f t="shared" si="6"/>
        <v>0.36286488689418889</v>
      </c>
      <c r="AK18" s="68">
        <f t="shared" si="6"/>
        <v>0.37135867649406362</v>
      </c>
      <c r="AL18" s="68">
        <f t="shared" si="6"/>
        <v>0.37568506544178049</v>
      </c>
      <c r="AM18" s="68">
        <f t="shared" si="6"/>
        <v>0.3904957081379774</v>
      </c>
      <c r="AN18" s="68"/>
      <c r="AO18" s="68"/>
      <c r="AP18" s="68"/>
      <c r="AQ18" s="68"/>
      <c r="AR18" s="68"/>
      <c r="AS18" s="68"/>
    </row>
    <row r="19" spans="1:45" ht="15">
      <c r="A19" t="s">
        <v>16</v>
      </c>
      <c r="C19" t="s">
        <v>41</v>
      </c>
      <c r="D19" t="s">
        <v>39</v>
      </c>
      <c r="E19">
        <f>E24/$E$25</f>
        <v>0.23608247422680412</v>
      </c>
      <c r="F19">
        <f>F24/$F$25</f>
        <v>0.20386905737350788</v>
      </c>
      <c r="L19" s="68">
        <f t="shared" si="7" ref="L19:AM19">L24/L$25</f>
        <v>0.23608247422680412</v>
      </c>
      <c r="M19" s="68">
        <f t="shared" si="7"/>
        <v>0.24091381100726891</v>
      </c>
      <c r="N19" s="68">
        <f t="shared" si="7"/>
        <v>0.24058577405857745</v>
      </c>
      <c r="O19" s="68">
        <f t="shared" si="7"/>
        <v>0.20386905737350788</v>
      </c>
      <c r="P19" s="68">
        <f t="shared" si="7"/>
        <v>0.21099110162768148</v>
      </c>
      <c r="Q19" s="68">
        <f t="shared" si="7"/>
        <v>0.22533205385446461</v>
      </c>
      <c r="R19" s="68">
        <f t="shared" si="7"/>
        <v>0.23180014846770711</v>
      </c>
      <c r="S19" s="68">
        <f t="shared" si="7"/>
        <v>0.23747701890945694</v>
      </c>
      <c r="T19" s="68">
        <f t="shared" si="7"/>
        <v>0.24212251262131843</v>
      </c>
      <c r="U19" s="68">
        <f t="shared" si="7"/>
        <v>0.24470132872152658</v>
      </c>
      <c r="V19" s="68">
        <f t="shared" si="7"/>
        <v>0.25494215018488492</v>
      </c>
      <c r="W19" s="68">
        <f t="shared" si="7"/>
        <v>0.26559786208332681</v>
      </c>
      <c r="X19" s="68">
        <f t="shared" si="7"/>
        <v>0.27664736200194845</v>
      </c>
      <c r="Y19" s="68">
        <f t="shared" si="7"/>
        <v>0.28787205960376916</v>
      </c>
      <c r="Z19" s="68">
        <f t="shared" si="7"/>
        <v>0.29866209330057508</v>
      </c>
      <c r="AA19" s="68">
        <f t="shared" si="7"/>
        <v>0.30900000696504865</v>
      </c>
      <c r="AB19" s="68">
        <f t="shared" si="7"/>
        <v>0.31886100772553749</v>
      </c>
      <c r="AC19" s="68">
        <f t="shared" si="7"/>
        <v>0.32811099785124614</v>
      </c>
      <c r="AD19" s="68">
        <f t="shared" si="7"/>
        <v>0.33702555197349698</v>
      </c>
      <c r="AE19" s="68">
        <f t="shared" si="7"/>
        <v>0.34552456407814203</v>
      </c>
      <c r="AF19" s="68">
        <f t="shared" si="7"/>
        <v>0.35385868895129408</v>
      </c>
      <c r="AG19" s="68">
        <f t="shared" si="7"/>
        <v>0.36198639899644891</v>
      </c>
      <c r="AH19" s="68">
        <f t="shared" si="7"/>
        <v>0.3700607004047467</v>
      </c>
      <c r="AI19" s="68">
        <f t="shared" si="7"/>
        <v>0.37775522553252477</v>
      </c>
      <c r="AJ19" s="68">
        <f t="shared" si="7"/>
        <v>0.40927962409476726</v>
      </c>
      <c r="AK19" s="68">
        <f t="shared" si="7"/>
        <v>0.43292107876339897</v>
      </c>
      <c r="AL19" s="68">
        <f t="shared" si="7"/>
        <v>0.45673175409356465</v>
      </c>
      <c r="AM19" s="68">
        <f t="shared" si="7"/>
        <v>0.46488013090777031</v>
      </c>
      <c r="AN19" s="68"/>
      <c r="AO19" s="68"/>
      <c r="AP19" s="68"/>
      <c r="AQ19" s="68"/>
      <c r="AR19" s="68"/>
      <c r="AS19" s="68"/>
    </row>
    <row r="20" spans="1:14" ht="15">
      <c r="A20" t="s">
        <v>16</v>
      </c>
      <c r="N20" s="8"/>
    </row>
    <row r="21" spans="1:45" ht="15.75" thickBot="1">
      <c r="A21" t="s">
        <v>16</v>
      </c>
      <c r="B21" s="6" t="s">
        <v>47</v>
      </c>
      <c r="D21" s="6"/>
      <c r="E21">
        <v>2017</v>
      </c>
      <c r="F21">
        <v>2020</v>
      </c>
      <c r="G21">
        <v>2030</v>
      </c>
      <c r="H21">
        <v>2040</v>
      </c>
      <c r="I21">
        <v>2050</v>
      </c>
      <c r="J21">
        <v>2060</v>
      </c>
      <c r="K21">
        <v>2070</v>
      </c>
      <c r="L21" s="36">
        <f>MATCH(L3,Drivers!$C$5:$AG$5,0)</f>
        <v>6</v>
      </c>
      <c r="M21" s="36">
        <f>MATCH(M3,Drivers!$C$5:$AG$5,0)</f>
        <v>7</v>
      </c>
      <c r="N21" s="36">
        <f>MATCH(N3,Drivers!$C$5:$AG$5,0)</f>
        <v>8</v>
      </c>
      <c r="O21" s="36">
        <f>MATCH(O3,Drivers!$C$5:$AG$5,0)</f>
        <v>9</v>
      </c>
      <c r="P21" s="36">
        <f>MATCH(P3,Drivers!$C$5:$AG$5,0)</f>
        <v>10</v>
      </c>
      <c r="Q21" s="36">
        <f>MATCH(Q3,Drivers!$C$5:$AG$5,0)</f>
        <v>11</v>
      </c>
      <c r="R21" s="36">
        <f>MATCH(R3,Drivers!$C$5:$AG$5,0)</f>
        <v>12</v>
      </c>
      <c r="S21" s="36">
        <f>MATCH(S3,Drivers!$C$5:$AG$5,0)</f>
        <v>13</v>
      </c>
      <c r="T21" s="36">
        <f>MATCH(T3,Drivers!$C$5:$AG$5,0)</f>
        <v>14</v>
      </c>
      <c r="U21" s="36">
        <f>MATCH(U3,Drivers!$C$5:$AG$5,0)</f>
        <v>15</v>
      </c>
      <c r="V21" s="36">
        <f>MATCH(V3,Drivers!$C$5:$AG$5,0)</f>
        <v>16</v>
      </c>
      <c r="W21" s="36">
        <f>MATCH(W3,Drivers!$C$5:$AG$5,0)</f>
        <v>17</v>
      </c>
      <c r="X21" s="36">
        <f>MATCH(X3,Drivers!$C$5:$AG$5,0)</f>
        <v>18</v>
      </c>
      <c r="Y21" s="36">
        <f>MATCH(Y3,Drivers!$C$5:$AG$5,0)</f>
        <v>19</v>
      </c>
      <c r="Z21" s="36">
        <f>MATCH(Z3,Drivers!$C$5:$AG$5,0)</f>
        <v>20</v>
      </c>
      <c r="AA21" s="36">
        <f>MATCH(AA3,Drivers!$C$5:$AG$5,0)</f>
        <v>21</v>
      </c>
      <c r="AB21" s="36">
        <f>MATCH(AB3,Drivers!$C$5:$AG$5,0)</f>
        <v>22</v>
      </c>
      <c r="AC21" s="36">
        <f>MATCH(AC3,Drivers!$C$5:$AG$5,0)</f>
        <v>23</v>
      </c>
      <c r="AD21" s="36">
        <f>MATCH(AD3,Drivers!$C$5:$AG$5,0)</f>
        <v>24</v>
      </c>
      <c r="AE21" s="36">
        <f>MATCH(AE3,Drivers!$C$5:$AG$5,0)</f>
        <v>25</v>
      </c>
      <c r="AF21" s="36">
        <f>MATCH(AF3,Drivers!$C$5:$AG$5,0)</f>
        <v>26</v>
      </c>
      <c r="AG21" s="36">
        <f>MATCH(AG3,Drivers!$C$5:$AG$5,0)</f>
        <v>27</v>
      </c>
      <c r="AH21" s="36">
        <f>MATCH(AH3,Drivers!$C$5:$AG$5,0)</f>
        <v>28</v>
      </c>
      <c r="AI21" s="36">
        <f>MATCH(AI3,Drivers!$C$5:$AG$5,0)</f>
        <v>29</v>
      </c>
      <c r="AJ21" s="36">
        <f>MATCH(AJ3,Drivers!$C$5:$AG$5,0)</f>
        <v>30</v>
      </c>
      <c r="AK21" s="36">
        <f>MATCH(AK3,Drivers!$C$5:$AG$5,0)</f>
        <v>31</v>
      </c>
      <c r="AL21" s="10">
        <f>AK21+1</f>
        <v>32</v>
      </c>
      <c r="AM21" s="10">
        <f>AL21+1</f>
        <v>33</v>
      </c>
      <c r="AN21" s="10"/>
      <c r="AO21" s="10"/>
      <c r="AP21" s="10"/>
      <c r="AQ21" s="10"/>
      <c r="AR21" s="10"/>
      <c r="AS21" s="10"/>
    </row>
    <row r="22" spans="1:45" ht="15">
      <c r="A22" t="s">
        <v>16</v>
      </c>
      <c r="B22">
        <v>1</v>
      </c>
      <c r="C22" t="s">
        <v>7</v>
      </c>
      <c r="D22" t="s">
        <v>38</v>
      </c>
      <c r="E22" s="12">
        <f t="shared" si="8" ref="E22:K24">SUMIF($L$3:$AS$3,E$21,$L22:$AS22)</f>
        <v>25.755361891142741</v>
      </c>
      <c r="F22" s="12">
        <f t="shared" si="8"/>
        <v>26.998265626975765</v>
      </c>
      <c r="G22" s="12">
        <f t="shared" si="8"/>
        <v>24.935508827559989</v>
      </c>
      <c r="H22" s="12">
        <f t="shared" si="8"/>
        <v>18.74976395137865</v>
      </c>
      <c r="I22" s="22">
        <f t="shared" si="8"/>
        <v>14.391261253018319</v>
      </c>
      <c r="J22" s="22">
        <f t="shared" si="8"/>
        <v>12.535062694734735</v>
      </c>
      <c r="K22" s="22">
        <f t="shared" si="8"/>
        <v>10.942726525865469</v>
      </c>
      <c r="L22" s="12" cm="1">
        <f t="array" ref="L22">INDEX(Drivers!$C$34:$AG$36,$B22,L$21)</f>
        <v>25.755361891142741</v>
      </c>
      <c r="M22" s="12" cm="1">
        <f t="array" ref="M22">INDEX(Drivers!$C$34:$AG$36,$B22,M$21)</f>
        <v>25.706039736299225</v>
      </c>
      <c r="N22" s="12" cm="1">
        <f t="array" ref="N22">INDEX(Drivers!$C$34:$AG$36,$B22,N$21)</f>
        <v>25.946710085536886</v>
      </c>
      <c r="O22" s="12" cm="1">
        <f t="array" ref="O22">INDEX(Drivers!$C$34:$AG$36,$B22,O$21)</f>
        <v>26.998265626975765</v>
      </c>
      <c r="P22" s="12" cm="1">
        <f t="array" ref="P22">INDEX(Drivers!$C$34:$AG$36,$B22,P$21)</f>
        <v>29.562598653733634</v>
      </c>
      <c r="Q22" s="12" cm="1">
        <f t="array" ref="Q22">INDEX(Drivers!$C$34:$AG$36,$B22,Q$21)</f>
        <v>28.102728905872802</v>
      </c>
      <c r="R22" s="12" cm="1">
        <f t="array" ref="R22">INDEX(Drivers!$C$34:$AG$36,$B22,R$21)</f>
        <v>27.671563030834061</v>
      </c>
      <c r="S22" s="12" cm="1">
        <f t="array" ref="S22">INDEX(Drivers!$C$34:$AG$36,$B22,S$21)</f>
        <v>27.4481799281238</v>
      </c>
      <c r="T22" s="12" cm="1">
        <f t="array" ref="T22">INDEX(Drivers!$C$34:$AG$36,$B22,T$21)</f>
        <v>27.296646263886533</v>
      </c>
      <c r="U22" s="12" cm="1">
        <f t="array" ref="U22">INDEX(Drivers!$C$34:$AG$36,$B22,U$21)</f>
        <v>27.309941067914618</v>
      </c>
      <c r="V22" s="12" cm="1">
        <f t="array" ref="V22">INDEX(Drivers!$C$34:$AG$36,$B22,V$21)</f>
        <v>26.924193877690342</v>
      </c>
      <c r="W22" s="12" cm="1">
        <f t="array" ref="W22">INDEX(Drivers!$C$34:$AG$36,$B22,W$21)</f>
        <v>26.288004404089957</v>
      </c>
      <c r="X22" s="12" cm="1">
        <f t="array" ref="X22">INDEX(Drivers!$C$34:$AG$36,$B22,X$21)</f>
        <v>25.630201353047823</v>
      </c>
      <c r="Y22" s="12" cm="1">
        <f t="array" ref="Y22">INDEX(Drivers!$C$34:$AG$36,$B22,Y$21)</f>
        <v>24.935508827559989</v>
      </c>
      <c r="Z22" s="12" cm="1">
        <f t="array" ref="Z22">INDEX(Drivers!$C$34:$AG$36,$B22,Z$21)</f>
        <v>24.233117590903728</v>
      </c>
      <c r="AA22" s="12" cm="1">
        <f t="array" ref="AA22">INDEX(Drivers!$C$34:$AG$36,$B22,AA$21)</f>
        <v>23.549977317356088</v>
      </c>
      <c r="AB22" s="12" cm="1">
        <f t="array" ref="AB22">INDEX(Drivers!$C$34:$AG$36,$B22,AB$21)</f>
        <v>22.888244840548431</v>
      </c>
      <c r="AC22" s="12" cm="1">
        <f t="array" ref="AC22">INDEX(Drivers!$C$34:$AG$36,$B22,AC$21)</f>
        <v>22.248177589544269</v>
      </c>
      <c r="AD22" s="12" cm="1">
        <f t="array" ref="AD22">INDEX(Drivers!$C$34:$AG$36,$B22,AD$21)</f>
        <v>21.624530317023794</v>
      </c>
      <c r="AE22" s="12" cm="1">
        <f t="array" ref="AE22">INDEX(Drivers!$C$34:$AG$36,$B22,AE$21)</f>
        <v>21.045676954752089</v>
      </c>
      <c r="AF22" s="12" cm="1">
        <f t="array" ref="AF22">INDEX(Drivers!$C$34:$AG$36,$B22,AF$21)</f>
        <v>20.466378234609422</v>
      </c>
      <c r="AG22" s="12" cm="1">
        <f t="array" ref="AG22">INDEX(Drivers!$C$34:$AG$36,$B22,AG$21)</f>
        <v>19.89043078016012</v>
      </c>
      <c r="AH22" s="12" cm="1">
        <f t="array" ref="AH22">INDEX(Drivers!$C$34:$AG$36,$B22,AH$21)</f>
        <v>19.317052953618614</v>
      </c>
      <c r="AI22" s="12" cm="1">
        <f t="array" ref="AI22">INDEX(Drivers!$C$34:$AG$36,$B22,AI$21)</f>
        <v>18.74976395137865</v>
      </c>
      <c r="AJ22" s="12" cm="1">
        <f t="array" ref="AJ22">INDEX(Drivers!$C$34:$AG$36,$B22,AJ$21)</f>
        <v>16.363715597770415</v>
      </c>
      <c r="AK22" s="12" cm="1">
        <f t="array" ref="AK22">INDEX(Drivers!$C$34:$AK$36,$B22,AK$21)</f>
        <v>14.391261253018319</v>
      </c>
      <c r="AL22" s="12" cm="1">
        <f t="array" ref="AL22">INDEX(Drivers!$C$34:$AK$36,$B22,AL$21)</f>
        <v>12.535062694734735</v>
      </c>
      <c r="AM22" s="12" cm="1">
        <f t="array" ref="AM22">INDEX(Drivers!$C$34:$AK$36,$B22,AM$21)</f>
        <v>10.942726525865469</v>
      </c>
      <c r="AN22" s="12"/>
      <c r="AO22" s="12"/>
      <c r="AP22" s="12"/>
      <c r="AQ22" s="12"/>
      <c r="AR22" s="12"/>
      <c r="AS22" s="12"/>
    </row>
    <row r="23" spans="1:45" ht="15">
      <c r="A23" t="s">
        <v>16</v>
      </c>
      <c r="B23">
        <v>2</v>
      </c>
      <c r="C23" t="s">
        <v>8</v>
      </c>
      <c r="D23" t="s">
        <v>38</v>
      </c>
      <c r="E23" s="12">
        <f t="shared" si="8"/>
        <v>17.422744808714206</v>
      </c>
      <c r="F23" s="12">
        <f t="shared" si="8"/>
        <v>19.311259441517389</v>
      </c>
      <c r="G23" s="12">
        <f t="shared" si="8"/>
        <v>21.110169642087328</v>
      </c>
      <c r="H23" s="12">
        <f t="shared" si="8"/>
        <v>24.629369054426125</v>
      </c>
      <c r="I23" s="22">
        <f t="shared" si="8"/>
        <v>27.305911757015405</v>
      </c>
      <c r="J23" s="22">
        <f t="shared" si="8"/>
        <v>28.100885994233021</v>
      </c>
      <c r="K23" s="22">
        <f t="shared" si="8"/>
        <v>29.546154082993993</v>
      </c>
      <c r="L23" s="12" cm="1">
        <f t="array" ref="L23">INDEX(Drivers!$C$34:$AG$36,$B23,L$21)</f>
        <v>17.422744808714206</v>
      </c>
      <c r="M23" s="12" cm="1">
        <f t="array" ref="M23">INDEX(Drivers!$C$34:$AG$36,$B23,M$21)</f>
        <v>17.892835083270921</v>
      </c>
      <c r="N23" s="12" cm="1">
        <f t="array" ref="N23">INDEX(Drivers!$C$34:$AG$36,$B23,N$21)</f>
        <v>18.376375848815535</v>
      </c>
      <c r="O23" s="12" cm="1">
        <f t="array" ref="O23">INDEX(Drivers!$C$34:$AG$36,$B23,O$21)</f>
        <v>19.311259441517389</v>
      </c>
      <c r="P23" s="12" cm="1">
        <f t="array" ref="P23">INDEX(Drivers!$C$34:$AG$36,$B23,P$21)</f>
        <v>17.298419035664196</v>
      </c>
      <c r="Q23" s="12" cm="1">
        <f t="array" ref="Q23">INDEX(Drivers!$C$34:$AG$36,$B23,Q$21)</f>
        <v>18.295143973754094</v>
      </c>
      <c r="R23" s="12" cm="1">
        <f t="array" ref="R23">INDEX(Drivers!$C$34:$AG$36,$B23,R$21)</f>
        <v>18.738843058564388</v>
      </c>
      <c r="S23" s="12" cm="1">
        <f t="array" ref="S23">INDEX(Drivers!$C$34:$AG$36,$B23,S$21)</f>
        <v>19.081140895599958</v>
      </c>
      <c r="T23" s="12" cm="1">
        <f t="array" ref="T23">INDEX(Drivers!$C$34:$AG$36,$B23,T$21)</f>
        <v>19.443993403295373</v>
      </c>
      <c r="U23" s="12" cm="1">
        <f t="array" ref="U23">INDEX(Drivers!$C$34:$AG$36,$B23,U$21)</f>
        <v>19.748972102738847</v>
      </c>
      <c r="V23" s="12" cm="1">
        <f t="array" ref="V23">INDEX(Drivers!$C$34:$AG$36,$B23,V$21)</f>
        <v>19.95403838996749</v>
      </c>
      <c r="W23" s="12" cm="1">
        <f t="array" ref="W23">INDEX(Drivers!$C$34:$AG$36,$B23,W$21)</f>
        <v>20.357181653422863</v>
      </c>
      <c r="X23" s="12" cm="1">
        <f t="array" ref="X23">INDEX(Drivers!$C$34:$AG$36,$B23,X$21)</f>
        <v>20.732168768292308</v>
      </c>
      <c r="Y23" s="12" cm="1">
        <f t="array" ref="Y23">INDEX(Drivers!$C$34:$AG$36,$B23,Y$21)</f>
        <v>21.110169642087328</v>
      </c>
      <c r="Z23" s="12" cm="1">
        <f t="array" ref="Z23">INDEX(Drivers!$C$34:$AG$36,$B23,Z$21)</f>
        <v>21.502197546611388</v>
      </c>
      <c r="AA23" s="12" cm="1">
        <f t="array" ref="AA23">INDEX(Drivers!$C$34:$AG$36,$B23,AA$21)</f>
        <v>21.885292708671596</v>
      </c>
      <c r="AB23" s="12" cm="1">
        <f t="array" ref="AB23">INDEX(Drivers!$C$34:$AG$36,$B23,AB$21)</f>
        <v>22.260500858641585</v>
      </c>
      <c r="AC23" s="12" cm="1">
        <f t="array" ref="AC23">INDEX(Drivers!$C$34:$AG$36,$B23,AC$21)</f>
        <v>22.636807515464451</v>
      </c>
      <c r="AD23" s="12" cm="1">
        <f t="array" ref="AD23">INDEX(Drivers!$C$34:$AG$36,$B23,AD$21)</f>
        <v>23.003019853033809</v>
      </c>
      <c r="AE23" s="12" cm="1">
        <f t="array" ref="AE23">INDEX(Drivers!$C$34:$AG$36,$B23,AE$21)</f>
        <v>23.338185357870422</v>
      </c>
      <c r="AF23" s="12" cm="1">
        <f t="array" ref="AF23">INDEX(Drivers!$C$34:$AG$36,$B23,AF$21)</f>
        <v>23.670401391268094</v>
      </c>
      <c r="AG23" s="12" cm="1">
        <f t="array" ref="AG23">INDEX(Drivers!$C$34:$AG$36,$B23,AG$21)</f>
        <v>23.997564622404649</v>
      </c>
      <c r="AH23" s="12" cm="1">
        <f t="array" ref="AH23">INDEX(Drivers!$C$34:$AG$36,$B23,AH$21)</f>
        <v>24.31054161919381</v>
      </c>
      <c r="AI23" s="12" cm="1">
        <f t="array" ref="AI23">INDEX(Drivers!$C$34:$AG$36,$B23,AI$21)</f>
        <v>24.629369054426125</v>
      </c>
      <c r="AJ23" s="12" cm="1">
        <f t="array" ref="AJ23">INDEX(Drivers!$C$34:$AG$36,$B23,AJ$21)</f>
        <v>26.059577653035337</v>
      </c>
      <c r="AK23" s="12" cm="1">
        <f t="array" ref="AK23">INDEX(Drivers!$C$34:$AK$36,$B23,AK$21)</f>
        <v>27.305911757015405</v>
      </c>
      <c r="AL23" s="12" cm="1">
        <f t="array" ref="AL23">INDEX(Drivers!$C$34:$AK$36,$B23,AL$21)</f>
        <v>28.100885994233021</v>
      </c>
      <c r="AM23" s="12" cm="1">
        <f t="array" ref="AM23">INDEX(Drivers!$C$34:$AK$36,$B23,AM$21)</f>
        <v>29.546154082993993</v>
      </c>
      <c r="AN23" s="12"/>
      <c r="AO23" s="12"/>
      <c r="AP23" s="12"/>
      <c r="AQ23" s="12"/>
      <c r="AR23" s="12"/>
      <c r="AS23" s="12"/>
    </row>
    <row r="24" spans="1:45" ht="15">
      <c r="A24" t="s">
        <v>16</v>
      </c>
      <c r="B24">
        <v>3</v>
      </c>
      <c r="C24" t="s">
        <v>390</v>
      </c>
      <c r="D24" t="s">
        <v>38</v>
      </c>
      <c r="E24" s="12">
        <f t="shared" si="8"/>
        <v>13.343841341791148</v>
      </c>
      <c r="F24" s="12">
        <f t="shared" si="8"/>
        <v>11.858701524628284</v>
      </c>
      <c r="G24" s="12">
        <f t="shared" si="8"/>
        <v>18.613599530352676</v>
      </c>
      <c r="H24" s="12">
        <f t="shared" si="8"/>
        <v>26.334803994195223</v>
      </c>
      <c r="I24" s="22">
        <f t="shared" si="8"/>
        <v>31.83257998996627</v>
      </c>
      <c r="J24" s="22">
        <f t="shared" si="8"/>
        <v>34.163101311032257</v>
      </c>
      <c r="K24" s="22">
        <f t="shared" si="8"/>
        <v>35.174317391140541</v>
      </c>
      <c r="L24" s="12" cm="1">
        <f t="array" ref="L24">INDEX(Drivers!$C$34:$AG$36,$B24,L$21)</f>
        <v>13.343841341791148</v>
      </c>
      <c r="M24" s="12" cm="1">
        <f t="array" ref="M24">INDEX(Drivers!$C$34:$AG$36,$B24,M$21)</f>
        <v>13.837125797729508</v>
      </c>
      <c r="N24" s="12" cm="1">
        <f t="array" ref="N24">INDEX(Drivers!$C$34:$AG$36,$B24,N$21)</f>
        <v>14.041748987467024</v>
      </c>
      <c r="O24" s="12" cm="1">
        <f t="array" ref="O24">INDEX(Drivers!$C$34:$AG$36,$B24,O$21)</f>
        <v>11.858701524628284</v>
      </c>
      <c r="P24" s="12" cm="1">
        <f t="array" ref="P24">INDEX(Drivers!$C$34:$AG$36,$B24,P$21)</f>
        <v>12.531237310602172</v>
      </c>
      <c r="Q24" s="12" cm="1">
        <f t="array" ref="Q24">INDEX(Drivers!$C$34:$AG$36,$B24,Q$21)</f>
        <v>13.496012120373113</v>
      </c>
      <c r="R24" s="12" cm="1">
        <f t="array" ref="R24">INDEX(Drivers!$C$34:$AG$36,$B24,R$21)</f>
        <v>14.004088910601547</v>
      </c>
      <c r="S24" s="12" cm="1">
        <f t="array" ref="S24">INDEX(Drivers!$C$34:$AG$36,$B24,S$21)</f>
        <v>14.490900176276241</v>
      </c>
      <c r="T24" s="12" cm="1">
        <f t="array" ref="T24">INDEX(Drivers!$C$34:$AG$36,$B24,T$21)</f>
        <v>14.932441332818094</v>
      </c>
      <c r="U24" s="12" cm="1">
        <f t="array" ref="U24">INDEX(Drivers!$C$34:$AG$36,$B24,U$21)</f>
        <v>15.246125829346536</v>
      </c>
      <c r="V24" s="12" cm="1">
        <f t="array" ref="V24">INDEX(Drivers!$C$34:$AG$36,$B24,V$21)</f>
        <v>16.040683732342156</v>
      </c>
      <c r="W24" s="12" cm="1">
        <f t="array" ref="W24">INDEX(Drivers!$C$34:$AG$36,$B24,W$21)</f>
        <v>16.869315942487184</v>
      </c>
      <c r="X24" s="12" cm="1">
        <f t="array" ref="X24">INDEX(Drivers!$C$34:$AG$36,$B24,X$21)</f>
        <v>17.731361878659868</v>
      </c>
      <c r="Y24" s="12" cm="1">
        <f t="array" ref="Y24">INDEX(Drivers!$C$34:$AG$36,$B24,Y$21)</f>
        <v>18.613599530352676</v>
      </c>
      <c r="Z24" s="12" cm="1">
        <f t="array" ref="Z24">INDEX(Drivers!$C$34:$AG$36,$B24,Z$21)</f>
        <v>19.476210862484876</v>
      </c>
      <c r="AA24" s="12" cm="1">
        <f t="array" ref="AA24">INDEX(Drivers!$C$34:$AG$36,$B24,AA$21)</f>
        <v>20.317653973972313</v>
      </c>
      <c r="AB24" s="12" cm="1">
        <f t="array" ref="AB24">INDEX(Drivers!$C$34:$AG$36,$B24,AB$21)</f>
        <v>21.135443300809985</v>
      </c>
      <c r="AC24" s="12" cm="1">
        <f t="array" ref="AC24">INDEX(Drivers!$C$34:$AG$36,$B24,AC$21)</f>
        <v>21.91918189499129</v>
      </c>
      <c r="AD24" s="12" cm="1">
        <f t="array" ref="AD24">INDEX(Drivers!$C$34:$AG$36,$B24,AD$21)</f>
        <v>22.686582829942388</v>
      </c>
      <c r="AE24" s="12" cm="1">
        <f t="array" ref="AE24">INDEX(Drivers!$C$34:$AG$36,$B24,AE$21)</f>
        <v>23.432070687377486</v>
      </c>
      <c r="AF24" s="12" cm="1">
        <f t="array" ref="AF24">INDEX(Drivers!$C$34:$AG$36,$B24,AF$21)</f>
        <v>24.171466374122478</v>
      </c>
      <c r="AG24" s="12" cm="1">
        <f t="array" ref="AG24">INDEX(Drivers!$C$34:$AG$36,$B24,AG$21)</f>
        <v>24.900499597435228</v>
      </c>
      <c r="AH24" s="12" cm="1">
        <f t="array" ref="AH24">INDEX(Drivers!$C$34:$AG$36,$B24,AH$21)</f>
        <v>25.62922842718757</v>
      </c>
      <c r="AI24" s="12" cm="1">
        <f t="array" ref="AI24">INDEX(Drivers!$C$34:$AG$36,$B24,AI$21)</f>
        <v>26.334803994195223</v>
      </c>
      <c r="AJ24" s="12" cm="1">
        <f t="array" ref="AJ24">INDEX(Drivers!$C$34:$AG$36,$B24,AJ$21)</f>
        <v>29.392907749194251</v>
      </c>
      <c r="AK24" s="12" cm="1">
        <f t="array" ref="AK24">INDEX(Drivers!$C$34:$AK$36,$B24,AK$21)</f>
        <v>31.83257998996627</v>
      </c>
      <c r="AL24" s="12" cm="1">
        <f t="array" ref="AL24">INDEX(Drivers!$C$34:$AK$36,$B24,AL$21)</f>
        <v>34.163101311032257</v>
      </c>
      <c r="AM24" s="12" cm="1">
        <f t="array" ref="AM24">INDEX(Drivers!$C$34:$AK$36,$B24,AM$21)</f>
        <v>35.174317391140541</v>
      </c>
      <c r="AN24" s="12"/>
      <c r="AO24" s="12"/>
      <c r="AP24" s="12"/>
      <c r="AQ24" s="12"/>
      <c r="AR24" s="12"/>
      <c r="AS24" s="12"/>
    </row>
    <row r="25" spans="1:45" ht="15">
      <c r="A25" t="s">
        <v>16</v>
      </c>
      <c r="E25" s="40">
        <f t="shared" si="9" ref="E25:AM25">SUM(E22:E24)</f>
        <v>56.521948041648095</v>
      </c>
      <c r="F25" s="40">
        <f t="shared" si="9"/>
        <v>58.168226593121446</v>
      </c>
      <c r="G25" s="40">
        <f t="shared" si="9"/>
        <v>64.659277999999986</v>
      </c>
      <c r="H25" s="40">
        <f t="shared" si="9"/>
        <v>69.713937000000001</v>
      </c>
      <c r="I25" s="40">
        <f t="shared" si="9"/>
        <v>73.529752999999999</v>
      </c>
      <c r="J25" s="40">
        <f t="shared" si="10" ref="J25:K25">SUM(J22:J24)</f>
        <v>74.799050000000022</v>
      </c>
      <c r="K25" s="40">
        <f t="shared" si="10"/>
        <v>75.663197999999994</v>
      </c>
      <c r="L25" s="40">
        <f t="shared" si="9"/>
        <v>56.521948041648095</v>
      </c>
      <c r="M25" s="40">
        <f t="shared" si="9"/>
        <v>57.436000617299648</v>
      </c>
      <c r="N25" s="40">
        <f t="shared" si="9"/>
        <v>58.364834921819444</v>
      </c>
      <c r="O25" s="40">
        <f t="shared" si="9"/>
        <v>58.168226593121446</v>
      </c>
      <c r="P25" s="40">
        <f t="shared" si="9"/>
        <v>59.392254999999999</v>
      </c>
      <c r="Q25" s="40">
        <f t="shared" si="9"/>
        <v>59.893885000000012</v>
      </c>
      <c r="R25" s="40">
        <f t="shared" si="9"/>
        <v>60.414494999999995</v>
      </c>
      <c r="S25" s="40">
        <f t="shared" si="9"/>
        <v>61.020220999999999</v>
      </c>
      <c r="T25" s="40">
        <f t="shared" si="9"/>
        <v>61.673081000000003</v>
      </c>
      <c r="U25" s="40">
        <f t="shared" si="9"/>
        <v>62.305039000000008</v>
      </c>
      <c r="V25" s="40">
        <f t="shared" si="9"/>
        <v>62.918915999999996</v>
      </c>
      <c r="W25" s="40">
        <f t="shared" si="9"/>
        <v>63.514502</v>
      </c>
      <c r="X25" s="40">
        <f t="shared" si="9"/>
        <v>64.093732000000003</v>
      </c>
      <c r="Y25" s="40">
        <f t="shared" si="9"/>
        <v>64.659277999999986</v>
      </c>
      <c r="Z25" s="40">
        <f t="shared" si="9"/>
        <v>65.211525999999992</v>
      </c>
      <c r="AA25" s="40">
        <f t="shared" si="9"/>
        <v>65.752923999999993</v>
      </c>
      <c r="AB25" s="40">
        <f t="shared" si="9"/>
        <v>66.284188999999998</v>
      </c>
      <c r="AC25" s="40">
        <f t="shared" si="9"/>
        <v>66.804167000000007</v>
      </c>
      <c r="AD25" s="40">
        <f t="shared" si="9"/>
        <v>67.314132999999998</v>
      </c>
      <c r="AE25" s="40">
        <f t="shared" si="9"/>
        <v>67.815933000000001</v>
      </c>
      <c r="AF25" s="40">
        <f t="shared" si="9"/>
        <v>68.308245999999997</v>
      </c>
      <c r="AG25" s="40">
        <f t="shared" si="9"/>
        <v>68.788494999999998</v>
      </c>
      <c r="AH25" s="40">
        <f t="shared" si="9"/>
        <v>69.256822999999997</v>
      </c>
      <c r="AI25" s="40">
        <f t="shared" si="9"/>
        <v>69.713937000000001</v>
      </c>
      <c r="AJ25" s="40">
        <f t="shared" si="9"/>
        <v>71.816201000000007</v>
      </c>
      <c r="AK25" s="40">
        <f t="shared" si="9"/>
        <v>73.529752999999999</v>
      </c>
      <c r="AL25" s="40">
        <f t="shared" si="9"/>
        <v>74.799050000000022</v>
      </c>
      <c r="AM25" s="40">
        <f t="shared" si="9"/>
        <v>75.663197999999994</v>
      </c>
      <c r="AN25" s="40"/>
      <c r="AO25" s="40"/>
      <c r="AP25" s="40"/>
      <c r="AQ25" s="40"/>
      <c r="AR25" s="40"/>
      <c r="AS25" s="40"/>
    </row>
    <row r="26" spans="1:1" ht="15">
      <c r="A26" t="s">
        <v>16</v>
      </c>
    </row>
    <row r="27" spans="1:1" ht="15">
      <c r="A27" t="s">
        <v>16</v>
      </c>
    </row>
    <row r="28" spans="1:11" ht="15.75" thickBot="1">
      <c r="A28" t="s">
        <v>16</v>
      </c>
      <c r="C28" s="6" t="s">
        <v>36</v>
      </c>
      <c r="D28" s="6"/>
      <c r="E28">
        <v>2017</v>
      </c>
      <c r="F28">
        <v>2020</v>
      </c>
      <c r="G28">
        <v>2030</v>
      </c>
      <c r="H28">
        <v>2040</v>
      </c>
      <c r="I28">
        <v>2050</v>
      </c>
      <c r="J28">
        <v>2060</v>
      </c>
      <c r="K28">
        <v>2070</v>
      </c>
    </row>
    <row r="29" spans="1:39" ht="15">
      <c r="A29" t="s">
        <v>16</v>
      </c>
      <c r="C29" t="s">
        <v>7</v>
      </c>
      <c r="D29" t="s">
        <v>39</v>
      </c>
      <c r="E29" s="68">
        <v>0.71</v>
      </c>
      <c r="F29" s="30">
        <v>0.80</v>
      </c>
      <c r="G29" s="30">
        <v>0.85</v>
      </c>
      <c r="H29" s="30">
        <v>0.90</v>
      </c>
      <c r="I29" s="99">
        <v>0.95</v>
      </c>
      <c r="J29" s="99">
        <v>0.95</v>
      </c>
      <c r="K29" s="99">
        <v>0.95</v>
      </c>
      <c r="L29" cm="1">
        <f t="array" ref="L29">IF(L$7=-1,M29,IF(L$7=99,#REF!,IF(L$7=0,INDEX($E29:$I29,0,L$5),(INDEX($E29:$I29,0,L$7+1)-INDEX($E29:$I29,0,L$7))/(INDEX($E$4:$I$4,0,L$7+1)-INDEX($E$4:$I$4,0,L$7))+#REF!)))</f>
        <v>0.70999999999999996</v>
      </c>
      <c r="M29" cm="1">
        <f t="array" ref="M29">IF(M$7=-1,N29,IF(M$7=99,L29,IF(M$7=0,INDEX($E29:$I29,0,M$5),(INDEX($E29:$I29,0,M$7+1)-INDEX($E29:$I29,0,M$7))/(INDEX($E$4:$I$4,0,M$7+1)-INDEX($E$4:$I$4,0,M$7))+L29)))</f>
        <v>0.73999999999999999</v>
      </c>
      <c r="N29" cm="1">
        <f t="array" ref="N29">IF(N$7=-1,O29,IF(N$7=99,M29,IF(N$7=0,INDEX($E29:$I29,0,N$5),(INDEX($E29:$I29,0,N$7+1)-INDEX($E29:$I29,0,N$7))/(INDEX($E$4:$I$4,0,N$7+1)-INDEX($E$4:$I$4,0,N$7))+M29)))</f>
        <v>0.77000000000000002</v>
      </c>
      <c r="O29" cm="1">
        <f t="array" ref="O29">IF(O$7=-1,P29,IF(O$7=99,N29,IF(O$7=0,INDEX($E29:$I29,0,O$5),(INDEX($E29:$I29,0,O$7+1)-INDEX($E29:$I29,0,O$7))/(INDEX($E$4:$I$4,0,O$7+1)-INDEX($E$4:$I$4,0,O$7))+N29)))</f>
        <v>0.80000000000000004</v>
      </c>
      <c r="P29" cm="1">
        <f t="array" ref="P29">IF(P$7=-1,Q29,IF(P$7=99,O29,IF(P$7=0,INDEX($E29:$I29,0,P$5),(INDEX($E29:$I29,0,P$7+1)-INDEX($E29:$I29,0,P$7))/(INDEX($E$4:$I$4,0,P$7+1)-INDEX($E$4:$I$4,0,P$7))+O29)))</f>
        <v>0.80500000000000005</v>
      </c>
      <c r="Q29" cm="1">
        <f t="array" ref="Q29">IF(Q$7=-1,R29,IF(Q$7=99,P29,IF(Q$7=0,INDEX($E29:$I29,0,Q$5),(INDEX($E29:$I29,0,Q$7+1)-INDEX($E29:$I29,0,Q$7))/(INDEX($E$4:$I$4,0,Q$7+1)-INDEX($E$4:$I$4,0,Q$7))+P29)))</f>
        <v>0.81000000000000005</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0.84999999999999998</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0.85999999999999999</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0.89000000000000001</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0.90000000000000002</v>
      </c>
      <c r="AJ29" s="183">
        <f>(AI29+AK29)/2</f>
        <v>0.92500000000000004</v>
      </c>
      <c r="AK29" cm="1">
        <f t="array" ref="AK29">IF(AK$7=-1,AL29,IF(AK$7=99,AJ29,IF(AK$7=0,INDEX($E29:$I29,0,AK$5),(INDEX($E29:$I29,0,AK$7+1)-INDEX($E29:$I29,0,AK$7))/(INDEX($E$4:$I$4,0,AK$7+1)-INDEX($E$4:$I$4,0,AK$7))+AJ29)))</f>
        <v>0.94999999999999996</v>
      </c>
      <c r="AL29">
        <f>AK29</f>
        <v>0.94999999999999996</v>
      </c>
      <c r="AM29">
        <f>AL29</f>
        <v>0.94999999999999996</v>
      </c>
    </row>
    <row r="30" spans="1:39" ht="15">
      <c r="A30" t="s">
        <v>16</v>
      </c>
      <c r="C30" t="s">
        <v>8</v>
      </c>
      <c r="D30" t="s">
        <v>39</v>
      </c>
      <c r="E30" s="68">
        <v>0.83</v>
      </c>
      <c r="F30" s="30">
        <v>0.90</v>
      </c>
      <c r="G30" s="30">
        <v>0.95</v>
      </c>
      <c r="H30" s="30">
        <v>0.95</v>
      </c>
      <c r="I30" s="99">
        <v>1</v>
      </c>
      <c r="J30" s="99">
        <v>1</v>
      </c>
      <c r="K30" s="99">
        <v>1</v>
      </c>
      <c r="L30" cm="1">
        <f t="array" ref="L30">IF(L$7=-1,M30,IF(L$7=99,#REF!,IF(L$7=0,INDEX($E30:$I30,0,L$5),(INDEX($E30:$I30,0,L$7+1)-INDEX($E30:$I30,0,L$7))/(INDEX($E$4:$I$4,0,L$7+1)-INDEX($E$4:$I$4,0,L$7))+#REF!)))</f>
        <v>0.82999999999999996</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0.90000000000000002</v>
      </c>
      <c r="P30" cm="1">
        <f t="array" ref="P30">IF(P$7=-1,Q30,IF(P$7=99,O30,IF(P$7=0,INDEX($E30:$I30,0,P$5),(INDEX($E30:$I30,0,P$7+1)-INDEX($E30:$I30,0,P$7))/(INDEX($E$4:$I$4,0,P$7+1)-INDEX($E$4:$I$4,0,P$7))+O30)))</f>
        <v>0.90500000000000003</v>
      </c>
      <c r="Q30" cm="1">
        <f t="array" ref="Q30">IF(Q$7=-1,R30,IF(Q$7=99,P30,IF(Q$7=0,INDEX($E30:$I30,0,Q$5),(INDEX($E30:$I30,0,Q$7+1)-INDEX($E30:$I30,0,Q$7))/(INDEX($E$4:$I$4,0,Q$7+1)-INDEX($E$4:$I$4,0,Q$7))+P30)))</f>
        <v>0.91000000000000003</v>
      </c>
      <c r="R30" cm="1">
        <f t="array" ref="R30">IF(R$7=-1,S30,IF(R$7=99,Q30,IF(R$7=0,INDEX($E30:$I30,0,R$5),(INDEX($E30:$I30,0,R$7+1)-INDEX($E30:$I30,0,R$7))/(INDEX($E$4:$I$4,0,R$7+1)-INDEX($E$4:$I$4,0,R$7))+Q30)))</f>
        <v>0.91500000000000004</v>
      </c>
      <c r="S30" cm="1">
        <f t="array" ref="S30">IF(S$7=-1,T30,IF(S$7=99,R30,IF(S$7=0,INDEX($E30:$I30,0,S$5),(INDEX($E30:$I30,0,S$7+1)-INDEX($E30:$I30,0,S$7))/(INDEX($E$4:$I$4,0,S$7+1)-INDEX($E$4:$I$4,0,S$7))+R30)))</f>
        <v>0.92000000000000004</v>
      </c>
      <c r="T30" cm="1">
        <f t="array" ref="T30">IF(T$7=-1,U30,IF(T$7=99,S30,IF(T$7=0,INDEX($E30:$I30,0,T$5),(INDEX($E30:$I30,0,T$7+1)-INDEX($E30:$I30,0,T$7))/(INDEX($E$4:$I$4,0,T$7+1)-INDEX($E$4:$I$4,0,T$7))+S30)))</f>
        <v>0.92500000000000004</v>
      </c>
      <c r="U30" cm="1">
        <f t="array" ref="U30">IF(U$7=-1,V30,IF(U$7=99,T30,IF(U$7=0,INDEX($E30:$I30,0,U$5),(INDEX($E30:$I30,0,U$7+1)-INDEX($E30:$I30,0,U$7))/(INDEX($E$4:$I$4,0,U$7+1)-INDEX($E$4:$I$4,0,U$7))+T30)))</f>
        <v>0.93000000000000005</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0.94999999999999996</v>
      </c>
      <c r="Z30" cm="1">
        <f t="array" ref="Z30">IF(Z$7=-1,AA30,IF(Z$7=99,Y30,IF(Z$7=0,INDEX($E30:$I30,0,Z$5),(INDEX($E30:$I30,0,Z$7+1)-INDEX($E30:$I30,0,Z$7))/(INDEX($E$4:$I$4,0,Z$7+1)-INDEX($E$4:$I$4,0,Z$7))+Y30)))</f>
        <v>0.94999999999999996</v>
      </c>
      <c r="AA30" cm="1">
        <f t="array" ref="AA30">IF(AA$7=-1,AB30,IF(AA$7=99,Z30,IF(AA$7=0,INDEX($E30:$I30,0,AA$5),(INDEX($E30:$I30,0,AA$7+1)-INDEX($E30:$I30,0,AA$7))/(INDEX($E$4:$I$4,0,AA$7+1)-INDEX($E$4:$I$4,0,AA$7))+Z30)))</f>
        <v>0.94999999999999996</v>
      </c>
      <c r="AB30" cm="1">
        <f t="array" ref="AB30">IF(AB$7=-1,AC30,IF(AB$7=99,AA30,IF(AB$7=0,INDEX($E30:$I30,0,AB$5),(INDEX($E30:$I30,0,AB$7+1)-INDEX($E30:$I30,0,AB$7))/(INDEX($E$4:$I$4,0,AB$7+1)-INDEX($E$4:$I$4,0,AB$7))+AA30)))</f>
        <v>0.94999999999999996</v>
      </c>
      <c r="AC30" cm="1">
        <f t="array" ref="AC30">IF(AC$7=-1,AD30,IF(AC$7=99,AB30,IF(AC$7=0,INDEX($E30:$I30,0,AC$5),(INDEX($E30:$I30,0,AC$7+1)-INDEX($E30:$I30,0,AC$7))/(INDEX($E$4:$I$4,0,AC$7+1)-INDEX($E$4:$I$4,0,AC$7))+AB30)))</f>
        <v>0.94999999999999996</v>
      </c>
      <c r="AD30" cm="1">
        <f t="array" ref="AD30">IF(AD$7=-1,AE30,IF(AD$7=99,AC30,IF(AD$7=0,INDEX($E30:$I30,0,AD$5),(INDEX($E30:$I30,0,AD$7+1)-INDEX($E30:$I30,0,AD$7))/(INDEX($E$4:$I$4,0,AD$7+1)-INDEX($E$4:$I$4,0,AD$7))+AC30)))</f>
        <v>0.94999999999999996</v>
      </c>
      <c r="AE30" cm="1">
        <f t="array" ref="AE30">IF(AE$7=-1,AF30,IF(AE$7=99,AD30,IF(AE$7=0,INDEX($E30:$I30,0,AE$5),(INDEX($E30:$I30,0,AE$7+1)-INDEX($E30:$I30,0,AE$7))/(INDEX($E$4:$I$4,0,AE$7+1)-INDEX($E$4:$I$4,0,AE$7))+AD30)))</f>
        <v>0.94999999999999996</v>
      </c>
      <c r="AF30" cm="1">
        <f t="array" ref="AF30">IF(AF$7=-1,AG30,IF(AF$7=99,AE30,IF(AF$7=0,INDEX($E30:$I30,0,AF$5),(INDEX($E30:$I30,0,AF$7+1)-INDEX($E30:$I30,0,AF$7))/(INDEX($E$4:$I$4,0,AF$7+1)-INDEX($E$4:$I$4,0,AF$7))+AE30)))</f>
        <v>0.94999999999999996</v>
      </c>
      <c r="AG30" cm="1">
        <f t="array" ref="AG30">IF(AG$7=-1,AH30,IF(AG$7=99,AF30,IF(AG$7=0,INDEX($E30:$I30,0,AG$5),(INDEX($E30:$I30,0,AG$7+1)-INDEX($E30:$I30,0,AG$7))/(INDEX($E$4:$I$4,0,AG$7+1)-INDEX($E$4:$I$4,0,AG$7))+AF30)))</f>
        <v>0.94999999999999996</v>
      </c>
      <c r="AH30" cm="1">
        <f t="array" ref="AH30">IF(AH$7=-1,AI30,IF(AH$7=99,AG30,IF(AH$7=0,INDEX($E30:$I30,0,AH$5),(INDEX($E30:$I30,0,AH$7+1)-INDEX($E30:$I30,0,AH$7))/(INDEX($E$4:$I$4,0,AH$7+1)-INDEX($E$4:$I$4,0,AH$7))+AG30)))</f>
        <v>0.94999999999999996</v>
      </c>
      <c r="AI30" cm="1">
        <f t="array" ref="AI30">IF(AI$7=-1,AJ30,IF(AI$7=99,AH30,IF(AI$7=0,INDEX($E30:$I30,0,AI$5),(INDEX($E30:$I30,0,AI$7+1)-INDEX($E30:$I30,0,AI$7))/(INDEX($E$4:$I$4,0,AI$7+1)-INDEX($E$4:$I$4,0,AI$7))+AH30)))</f>
        <v>0.94999999999999996</v>
      </c>
      <c r="AJ30" s="183">
        <f>(AI30+AK30)/2</f>
        <v>0.97499999999999998</v>
      </c>
      <c r="AK30" cm="1">
        <f t="array" ref="AK30">IF(AK$7=-1,AL30,IF(AK$7=99,AJ30,IF(AK$7=0,INDEX($E30:$I30,0,AK$5),(INDEX($E30:$I30,0,AK$7+1)-INDEX($E30:$I30,0,AK$7))/(INDEX($E$4:$I$4,0,AK$7+1)-INDEX($E$4:$I$4,0,AK$7))+AJ30)))</f>
        <v>1</v>
      </c>
      <c r="AL30">
        <f>AK30</f>
        <v>1</v>
      </c>
      <c r="AM30">
        <f>AL30</f>
        <v>1</v>
      </c>
    </row>
    <row r="31" spans="1:11" ht="15">
      <c r="A31" t="s">
        <v>16</v>
      </c>
      <c r="C31" t="s">
        <v>45</v>
      </c>
      <c r="D31" t="s">
        <v>39</v>
      </c>
      <c r="E31" s="68">
        <f>(E29*E22+E30*E23+E24)/E25</f>
        <v>0.81545360824742263</v>
      </c>
      <c r="F31" s="68">
        <f>(F29*F22+F30*F23+F24)/F25</f>
        <v>0.87397279410244599</v>
      </c>
      <c r="G31" s="68">
        <f>(G29*G22+G30*G23+G24)/G25</f>
        <v>0.92582913149388457</v>
      </c>
      <c r="H31" s="68">
        <f>(H29*H22+H30*H23+H24)/H25</f>
        <v>0.95544011740637769</v>
      </c>
      <c r="I31" s="68">
        <f>(I29*I22+I30*I23+I24)/I25</f>
        <v>0.99021398776287306</v>
      </c>
      <c r="J31" s="68">
        <f t="shared" si="11" ref="J31:K31">(J29*J22+J30*J23+J24)/J25</f>
        <v>0.99162084097676717</v>
      </c>
      <c r="K31" s="68">
        <f t="shared" si="11"/>
        <v>0.9927687919522874</v>
      </c>
    </row>
    <row r="32" spans="1:1" ht="15">
      <c r="A32" t="s">
        <v>16</v>
      </c>
    </row>
    <row r="33" spans="1:11" ht="15.75" thickBot="1">
      <c r="A33" t="s">
        <v>16</v>
      </c>
      <c r="B33" s="6" t="s">
        <v>50</v>
      </c>
      <c r="D33" s="6"/>
      <c r="E33">
        <f>E28</f>
        <v>2017</v>
      </c>
      <c r="F33">
        <f>F28</f>
        <v>2020</v>
      </c>
      <c r="G33">
        <f>G28</f>
        <v>2030</v>
      </c>
      <c r="H33">
        <f>H28</f>
        <v>2040</v>
      </c>
      <c r="I33">
        <f>I28</f>
        <v>2050</v>
      </c>
      <c r="J33">
        <f t="shared" si="12" ref="J33:K33">J28</f>
        <v>2060</v>
      </c>
      <c r="K33">
        <f t="shared" si="12"/>
        <v>2070</v>
      </c>
    </row>
    <row r="34" spans="1:45" ht="15">
      <c r="A34" t="s">
        <v>16</v>
      </c>
      <c r="B34" t="str">
        <f>[12]RES!B26</f>
        <v>LE</v>
      </c>
      <c r="C34" t="str">
        <f>[12]RES!A26</f>
        <v>Low Income Electrified</v>
      </c>
      <c r="D34" t="s">
        <v>38</v>
      </c>
      <c r="E34" s="12">
        <f t="shared" si="13" ref="E34:AM34">E22</f>
        <v>25.755361891142741</v>
      </c>
      <c r="F34" s="12">
        <f t="shared" si="13"/>
        <v>26.998265626975765</v>
      </c>
      <c r="G34" s="12">
        <f t="shared" si="13"/>
        <v>24.935508827559989</v>
      </c>
      <c r="H34" s="12">
        <f t="shared" si="13"/>
        <v>18.74976395137865</v>
      </c>
      <c r="I34" s="12">
        <f t="shared" si="13"/>
        <v>14.391261253018319</v>
      </c>
      <c r="J34" s="12">
        <f t="shared" si="14" ref="J34:K34">J22</f>
        <v>12.535062694734735</v>
      </c>
      <c r="K34" s="12">
        <f t="shared" si="14"/>
        <v>10.942726525865469</v>
      </c>
      <c r="L34" s="12">
        <f t="shared" si="13"/>
        <v>25.755361891142741</v>
      </c>
      <c r="M34" s="12">
        <f t="shared" si="13"/>
        <v>25.706039736299225</v>
      </c>
      <c r="N34" s="12">
        <f t="shared" si="13"/>
        <v>25.946710085536886</v>
      </c>
      <c r="O34" s="12">
        <f t="shared" si="13"/>
        <v>26.998265626975765</v>
      </c>
      <c r="P34" s="12">
        <f t="shared" si="13"/>
        <v>29.562598653733634</v>
      </c>
      <c r="Q34" s="12">
        <f t="shared" si="13"/>
        <v>28.102728905872802</v>
      </c>
      <c r="R34" s="12">
        <f t="shared" si="13"/>
        <v>27.671563030834061</v>
      </c>
      <c r="S34" s="12">
        <f t="shared" si="13"/>
        <v>27.4481799281238</v>
      </c>
      <c r="T34" s="12">
        <f t="shared" si="13"/>
        <v>27.296646263886533</v>
      </c>
      <c r="U34" s="12">
        <f t="shared" si="13"/>
        <v>27.309941067914618</v>
      </c>
      <c r="V34" s="12">
        <f t="shared" si="13"/>
        <v>26.924193877690342</v>
      </c>
      <c r="W34" s="12">
        <f t="shared" si="13"/>
        <v>26.288004404089957</v>
      </c>
      <c r="X34" s="12">
        <f t="shared" si="13"/>
        <v>25.630201353047823</v>
      </c>
      <c r="Y34" s="12">
        <f t="shared" si="13"/>
        <v>24.935508827559989</v>
      </c>
      <c r="Z34" s="12">
        <f t="shared" si="13"/>
        <v>24.233117590903728</v>
      </c>
      <c r="AA34" s="12">
        <f t="shared" si="13"/>
        <v>23.549977317356088</v>
      </c>
      <c r="AB34" s="12">
        <f t="shared" si="13"/>
        <v>22.888244840548431</v>
      </c>
      <c r="AC34" s="12">
        <f t="shared" si="13"/>
        <v>22.248177589544269</v>
      </c>
      <c r="AD34" s="12">
        <f t="shared" si="13"/>
        <v>21.624530317023794</v>
      </c>
      <c r="AE34" s="12">
        <f t="shared" si="13"/>
        <v>21.045676954752089</v>
      </c>
      <c r="AF34" s="12">
        <f t="shared" si="13"/>
        <v>20.466378234609422</v>
      </c>
      <c r="AG34" s="12">
        <f t="shared" si="13"/>
        <v>19.89043078016012</v>
      </c>
      <c r="AH34" s="12">
        <f t="shared" si="13"/>
        <v>19.317052953618614</v>
      </c>
      <c r="AI34" s="12">
        <f t="shared" si="13"/>
        <v>18.74976395137865</v>
      </c>
      <c r="AJ34" s="12">
        <f t="shared" si="13"/>
        <v>16.363715597770415</v>
      </c>
      <c r="AK34" s="12">
        <f t="shared" si="13"/>
        <v>14.391261253018319</v>
      </c>
      <c r="AL34" s="12">
        <f t="shared" si="13"/>
        <v>12.535062694734735</v>
      </c>
      <c r="AM34" s="12">
        <f t="shared" si="13"/>
        <v>10.942726525865469</v>
      </c>
      <c r="AN34" s="12"/>
      <c r="AO34" s="12"/>
      <c r="AP34" s="12"/>
      <c r="AQ34" s="12"/>
      <c r="AR34" s="12"/>
      <c r="AS34" s="12"/>
    </row>
    <row r="35" spans="1:45" ht="15">
      <c r="A35" t="s">
        <v>16</v>
      </c>
      <c r="B35" t="str">
        <f>[12]RES!B27</f>
        <v>ME</v>
      </c>
      <c r="C35" t="str">
        <f>[12]RES!A27</f>
        <v>Middle Income Electrified</v>
      </c>
      <c r="D35" t="s">
        <v>38</v>
      </c>
      <c r="E35" s="12">
        <f t="shared" si="15" ref="E35:AM35">E23</f>
        <v>17.422744808714206</v>
      </c>
      <c r="F35" s="12">
        <f t="shared" si="15"/>
        <v>19.311259441517389</v>
      </c>
      <c r="G35" s="12">
        <f t="shared" si="15"/>
        <v>21.110169642087328</v>
      </c>
      <c r="H35" s="12">
        <f t="shared" si="15"/>
        <v>24.629369054426125</v>
      </c>
      <c r="I35" s="12">
        <f t="shared" si="15"/>
        <v>27.305911757015405</v>
      </c>
      <c r="J35" s="12">
        <f t="shared" si="16" ref="J35:K35">J23</f>
        <v>28.100885994233021</v>
      </c>
      <c r="K35" s="12">
        <f t="shared" si="16"/>
        <v>29.546154082993993</v>
      </c>
      <c r="L35" s="12">
        <f t="shared" si="15"/>
        <v>17.422744808714206</v>
      </c>
      <c r="M35" s="12">
        <f t="shared" si="15"/>
        <v>17.892835083270921</v>
      </c>
      <c r="N35" s="12">
        <f t="shared" si="15"/>
        <v>18.376375848815535</v>
      </c>
      <c r="O35" s="12">
        <f t="shared" si="15"/>
        <v>19.311259441517389</v>
      </c>
      <c r="P35" s="12">
        <f t="shared" si="15"/>
        <v>17.298419035664196</v>
      </c>
      <c r="Q35" s="12">
        <f t="shared" si="15"/>
        <v>18.295143973754094</v>
      </c>
      <c r="R35" s="12">
        <f t="shared" si="15"/>
        <v>18.738843058564388</v>
      </c>
      <c r="S35" s="12">
        <f t="shared" si="15"/>
        <v>19.081140895599958</v>
      </c>
      <c r="T35" s="12">
        <f t="shared" si="15"/>
        <v>19.443993403295373</v>
      </c>
      <c r="U35" s="12">
        <f t="shared" si="15"/>
        <v>19.748972102738847</v>
      </c>
      <c r="V35" s="12">
        <f t="shared" si="15"/>
        <v>19.95403838996749</v>
      </c>
      <c r="W35" s="12">
        <f t="shared" si="15"/>
        <v>20.357181653422863</v>
      </c>
      <c r="X35" s="12">
        <f t="shared" si="15"/>
        <v>20.732168768292308</v>
      </c>
      <c r="Y35" s="12">
        <f t="shared" si="15"/>
        <v>21.110169642087328</v>
      </c>
      <c r="Z35" s="12">
        <f t="shared" si="15"/>
        <v>21.502197546611388</v>
      </c>
      <c r="AA35" s="12">
        <f t="shared" si="15"/>
        <v>21.885292708671596</v>
      </c>
      <c r="AB35" s="12">
        <f t="shared" si="15"/>
        <v>22.260500858641585</v>
      </c>
      <c r="AC35" s="12">
        <f t="shared" si="15"/>
        <v>22.636807515464451</v>
      </c>
      <c r="AD35" s="12">
        <f t="shared" si="15"/>
        <v>23.003019853033809</v>
      </c>
      <c r="AE35" s="12">
        <f t="shared" si="15"/>
        <v>23.338185357870422</v>
      </c>
      <c r="AF35" s="12">
        <f t="shared" si="15"/>
        <v>23.670401391268094</v>
      </c>
      <c r="AG35" s="12">
        <f t="shared" si="15"/>
        <v>23.997564622404649</v>
      </c>
      <c r="AH35" s="12">
        <f t="shared" si="15"/>
        <v>24.31054161919381</v>
      </c>
      <c r="AI35" s="12">
        <f t="shared" si="15"/>
        <v>24.629369054426125</v>
      </c>
      <c r="AJ35" s="12">
        <f t="shared" si="15"/>
        <v>26.059577653035337</v>
      </c>
      <c r="AK35" s="12">
        <f t="shared" si="15"/>
        <v>27.305911757015405</v>
      </c>
      <c r="AL35" s="12">
        <f t="shared" si="15"/>
        <v>28.100885994233021</v>
      </c>
      <c r="AM35" s="12">
        <f t="shared" si="15"/>
        <v>29.546154082993993</v>
      </c>
      <c r="AN35" s="12"/>
      <c r="AO35" s="12"/>
      <c r="AP35" s="12"/>
      <c r="AQ35" s="12"/>
      <c r="AR35" s="12"/>
      <c r="AS35" s="12"/>
    </row>
    <row r="36" spans="1:45" ht="15">
      <c r="A36" t="s">
        <v>16</v>
      </c>
      <c r="B36" t="str">
        <f>[12]RES!B28</f>
        <v>HE</v>
      </c>
      <c r="C36" t="str">
        <f>[12]RES!A28</f>
        <v>High Income Electrified</v>
      </c>
      <c r="D36" t="s">
        <v>38</v>
      </c>
      <c r="E36" s="12">
        <f t="shared" si="17" ref="E36:AM36">E24</f>
        <v>13.343841341791148</v>
      </c>
      <c r="F36" s="12">
        <f t="shared" si="17"/>
        <v>11.858701524628284</v>
      </c>
      <c r="G36" s="12">
        <f t="shared" si="17"/>
        <v>18.613599530352676</v>
      </c>
      <c r="H36" s="12">
        <f t="shared" si="17"/>
        <v>26.334803994195223</v>
      </c>
      <c r="I36" s="12">
        <f t="shared" si="17"/>
        <v>31.83257998996627</v>
      </c>
      <c r="J36" s="12">
        <f t="shared" si="18" ref="J36:K36">J24</f>
        <v>34.163101311032257</v>
      </c>
      <c r="K36" s="12">
        <f t="shared" si="18"/>
        <v>35.174317391140541</v>
      </c>
      <c r="L36" s="12">
        <f t="shared" si="17"/>
        <v>13.343841341791148</v>
      </c>
      <c r="M36" s="12">
        <f t="shared" si="17"/>
        <v>13.837125797729508</v>
      </c>
      <c r="N36" s="12">
        <f t="shared" si="17"/>
        <v>14.041748987467024</v>
      </c>
      <c r="O36" s="12">
        <f t="shared" si="17"/>
        <v>11.858701524628284</v>
      </c>
      <c r="P36" s="12">
        <f t="shared" si="17"/>
        <v>12.531237310602172</v>
      </c>
      <c r="Q36" s="12">
        <f t="shared" si="17"/>
        <v>13.496012120373113</v>
      </c>
      <c r="R36" s="12">
        <f t="shared" si="17"/>
        <v>14.004088910601547</v>
      </c>
      <c r="S36" s="12">
        <f t="shared" si="17"/>
        <v>14.490900176276241</v>
      </c>
      <c r="T36" s="12">
        <f t="shared" si="17"/>
        <v>14.932441332818094</v>
      </c>
      <c r="U36" s="12">
        <f t="shared" si="17"/>
        <v>15.246125829346536</v>
      </c>
      <c r="V36" s="12">
        <f t="shared" si="17"/>
        <v>16.040683732342156</v>
      </c>
      <c r="W36" s="12">
        <f t="shared" si="17"/>
        <v>16.869315942487184</v>
      </c>
      <c r="X36" s="12">
        <f t="shared" si="17"/>
        <v>17.731361878659868</v>
      </c>
      <c r="Y36" s="12">
        <f t="shared" si="17"/>
        <v>18.613599530352676</v>
      </c>
      <c r="Z36" s="12">
        <f t="shared" si="17"/>
        <v>19.476210862484876</v>
      </c>
      <c r="AA36" s="12">
        <f t="shared" si="17"/>
        <v>20.317653973972313</v>
      </c>
      <c r="AB36" s="12">
        <f t="shared" si="17"/>
        <v>21.135443300809985</v>
      </c>
      <c r="AC36" s="12">
        <f t="shared" si="17"/>
        <v>21.91918189499129</v>
      </c>
      <c r="AD36" s="12">
        <f t="shared" si="17"/>
        <v>22.686582829942388</v>
      </c>
      <c r="AE36" s="12">
        <f t="shared" si="17"/>
        <v>23.432070687377486</v>
      </c>
      <c r="AF36" s="12">
        <f t="shared" si="17"/>
        <v>24.171466374122478</v>
      </c>
      <c r="AG36" s="12">
        <f t="shared" si="17"/>
        <v>24.900499597435228</v>
      </c>
      <c r="AH36" s="12">
        <f t="shared" si="17"/>
        <v>25.62922842718757</v>
      </c>
      <c r="AI36" s="12">
        <f t="shared" si="17"/>
        <v>26.334803994195223</v>
      </c>
      <c r="AJ36" s="12">
        <f t="shared" si="17"/>
        <v>29.392907749194251</v>
      </c>
      <c r="AK36" s="12">
        <f t="shared" si="17"/>
        <v>31.83257998996627</v>
      </c>
      <c r="AL36" s="12">
        <f t="shared" si="17"/>
        <v>34.163101311032257</v>
      </c>
      <c r="AM36" s="12">
        <f t="shared" si="17"/>
        <v>35.174317391140541</v>
      </c>
      <c r="AN36" s="12"/>
      <c r="AO36" s="12"/>
      <c r="AP36" s="12"/>
      <c r="AQ36" s="12"/>
      <c r="AR36" s="12"/>
      <c r="AS36" s="12"/>
    </row>
    <row r="37" spans="1:45" ht="15">
      <c r="A37" t="s">
        <v>16</v>
      </c>
      <c r="B37" t="str">
        <f>[12]RES!B29</f>
        <v>LN</v>
      </c>
      <c r="C37" t="str">
        <f>[12]RES!A29</f>
        <v>Low Income Non-Electrified</v>
      </c>
      <c r="D37" t="s">
        <v>38</v>
      </c>
      <c r="E37" s="12">
        <f t="shared" si="19" ref="E37:AM37">E22-E34</f>
        <v>0</v>
      </c>
      <c r="F37" s="12">
        <f t="shared" si="19"/>
        <v>0</v>
      </c>
      <c r="G37" s="12">
        <f t="shared" si="19"/>
        <v>0</v>
      </c>
      <c r="H37" s="12">
        <f t="shared" si="19"/>
        <v>0</v>
      </c>
      <c r="I37" s="12">
        <f t="shared" si="19"/>
        <v>0</v>
      </c>
      <c r="J37" s="12">
        <f t="shared" si="20" ref="J37:K37">J22-J34</f>
        <v>0</v>
      </c>
      <c r="K37" s="12">
        <f t="shared" si="20"/>
        <v>0</v>
      </c>
      <c r="L37" s="12">
        <f t="shared" si="19"/>
        <v>0</v>
      </c>
      <c r="M37" s="12">
        <f t="shared" si="19"/>
        <v>0</v>
      </c>
      <c r="N37" s="12">
        <f t="shared" si="19"/>
        <v>0</v>
      </c>
      <c r="O37" s="12">
        <f t="shared" si="19"/>
        <v>0</v>
      </c>
      <c r="P37" s="12">
        <f t="shared" si="19"/>
        <v>0</v>
      </c>
      <c r="Q37" s="12">
        <f t="shared" si="19"/>
        <v>0</v>
      </c>
      <c r="R37" s="12">
        <f t="shared" si="19"/>
        <v>0</v>
      </c>
      <c r="S37" s="12">
        <f t="shared" si="19"/>
        <v>0</v>
      </c>
      <c r="T37" s="12">
        <f t="shared" si="19"/>
        <v>0</v>
      </c>
      <c r="U37" s="12">
        <f t="shared" si="19"/>
        <v>0</v>
      </c>
      <c r="V37" s="12">
        <f t="shared" si="19"/>
        <v>0</v>
      </c>
      <c r="W37" s="12">
        <f t="shared" si="19"/>
        <v>0</v>
      </c>
      <c r="X37" s="12">
        <f t="shared" si="19"/>
        <v>0</v>
      </c>
      <c r="Y37" s="12">
        <f t="shared" si="19"/>
        <v>0</v>
      </c>
      <c r="Z37" s="12">
        <f t="shared" si="19"/>
        <v>0</v>
      </c>
      <c r="AA37" s="12">
        <f t="shared" si="19"/>
        <v>0</v>
      </c>
      <c r="AB37" s="12">
        <f t="shared" si="19"/>
        <v>0</v>
      </c>
      <c r="AC37" s="12">
        <f t="shared" si="19"/>
        <v>0</v>
      </c>
      <c r="AD37" s="12">
        <f t="shared" si="19"/>
        <v>0</v>
      </c>
      <c r="AE37" s="12">
        <f t="shared" si="19"/>
        <v>0</v>
      </c>
      <c r="AF37" s="12">
        <f t="shared" si="19"/>
        <v>0</v>
      </c>
      <c r="AG37" s="12">
        <f t="shared" si="19"/>
        <v>0</v>
      </c>
      <c r="AH37" s="12">
        <f t="shared" si="19"/>
        <v>0</v>
      </c>
      <c r="AI37" s="12">
        <f t="shared" si="19"/>
        <v>0</v>
      </c>
      <c r="AJ37" s="12">
        <f t="shared" si="19"/>
        <v>0</v>
      </c>
      <c r="AK37" s="12">
        <f t="shared" si="19"/>
        <v>0</v>
      </c>
      <c r="AL37" s="12">
        <f t="shared" si="19"/>
        <v>0</v>
      </c>
      <c r="AM37" s="12">
        <f t="shared" si="19"/>
        <v>0</v>
      </c>
      <c r="AN37" s="12"/>
      <c r="AO37" s="12"/>
      <c r="AP37" s="12"/>
      <c r="AQ37" s="12"/>
      <c r="AR37" s="12"/>
      <c r="AS37" s="12"/>
    </row>
    <row r="38" spans="1:45" ht="15">
      <c r="A38" t="s">
        <v>16</v>
      </c>
      <c r="B38" t="str">
        <f>[12]RES!B30</f>
        <v>MN</v>
      </c>
      <c r="C38" t="str">
        <f>[12]RES!A30</f>
        <v>Middle Income Non-Electrified</v>
      </c>
      <c r="D38" t="s">
        <v>38</v>
      </c>
      <c r="E38" s="12">
        <f t="shared" si="21" ref="E38:AM38">E23-E35</f>
        <v>0</v>
      </c>
      <c r="F38" s="12">
        <f t="shared" si="21"/>
        <v>0</v>
      </c>
      <c r="G38" s="12">
        <f t="shared" si="21"/>
        <v>0</v>
      </c>
      <c r="H38" s="12">
        <f t="shared" si="21"/>
        <v>0</v>
      </c>
      <c r="I38" s="12">
        <f t="shared" si="21"/>
        <v>0</v>
      </c>
      <c r="J38" s="12">
        <f t="shared" si="22" ref="J38:K38">J23-J35</f>
        <v>0</v>
      </c>
      <c r="K38" s="12">
        <f t="shared" si="22"/>
        <v>0</v>
      </c>
      <c r="L38" s="12">
        <f t="shared" si="21"/>
        <v>0</v>
      </c>
      <c r="M38" s="12">
        <f t="shared" si="21"/>
        <v>0</v>
      </c>
      <c r="N38" s="12">
        <f t="shared" si="21"/>
        <v>0</v>
      </c>
      <c r="O38" s="12">
        <f t="shared" si="21"/>
        <v>0</v>
      </c>
      <c r="P38" s="12">
        <f t="shared" si="21"/>
        <v>0</v>
      </c>
      <c r="Q38" s="12">
        <f t="shared" si="21"/>
        <v>0</v>
      </c>
      <c r="R38" s="12">
        <f t="shared" si="21"/>
        <v>0</v>
      </c>
      <c r="S38" s="12">
        <f t="shared" si="21"/>
        <v>0</v>
      </c>
      <c r="T38" s="12">
        <f t="shared" si="21"/>
        <v>0</v>
      </c>
      <c r="U38" s="12">
        <f t="shared" si="21"/>
        <v>0</v>
      </c>
      <c r="V38" s="12">
        <f t="shared" si="21"/>
        <v>0</v>
      </c>
      <c r="W38" s="12">
        <f t="shared" si="21"/>
        <v>0</v>
      </c>
      <c r="X38" s="12">
        <f t="shared" si="21"/>
        <v>0</v>
      </c>
      <c r="Y38" s="12">
        <f t="shared" si="21"/>
        <v>0</v>
      </c>
      <c r="Z38" s="12">
        <f t="shared" si="21"/>
        <v>0</v>
      </c>
      <c r="AA38" s="12">
        <f t="shared" si="21"/>
        <v>0</v>
      </c>
      <c r="AB38" s="12">
        <f t="shared" si="21"/>
        <v>0</v>
      </c>
      <c r="AC38" s="12">
        <f t="shared" si="21"/>
        <v>0</v>
      </c>
      <c r="AD38" s="12">
        <f t="shared" si="21"/>
        <v>0</v>
      </c>
      <c r="AE38" s="12">
        <f t="shared" si="21"/>
        <v>0</v>
      </c>
      <c r="AF38" s="12">
        <f t="shared" si="21"/>
        <v>0</v>
      </c>
      <c r="AG38" s="12">
        <f t="shared" si="21"/>
        <v>0</v>
      </c>
      <c r="AH38" s="12">
        <f t="shared" si="21"/>
        <v>0</v>
      </c>
      <c r="AI38" s="12">
        <f t="shared" si="21"/>
        <v>0</v>
      </c>
      <c r="AJ38" s="12">
        <f t="shared" si="21"/>
        <v>0</v>
      </c>
      <c r="AK38" s="12">
        <f t="shared" si="21"/>
        <v>0</v>
      </c>
      <c r="AL38" s="12">
        <f t="shared" si="21"/>
        <v>0</v>
      </c>
      <c r="AM38" s="12">
        <f t="shared" si="21"/>
        <v>0</v>
      </c>
      <c r="AN38" s="12"/>
      <c r="AO38" s="12"/>
      <c r="AP38" s="12"/>
      <c r="AQ38" s="12"/>
      <c r="AR38" s="12"/>
      <c r="AS38" s="12"/>
    </row>
    <row r="39" spans="1:2" ht="15">
      <c r="A39" t="s">
        <v>16</v>
      </c>
      <c r="B39" s="23"/>
    </row>
    <row r="40" spans="1:3" ht="18" thickBot="1">
      <c r="A40" t="s">
        <v>16</v>
      </c>
      <c r="B40" s="23"/>
      <c r="C40" s="33" t="s">
        <v>51</v>
      </c>
    </row>
    <row r="41" spans="1:1" ht="15.75" thickTop="1">
      <c r="A41" t="s">
        <v>16</v>
      </c>
    </row>
    <row r="42" spans="1:11" ht="15.75" thickBot="1">
      <c r="A42" t="s">
        <v>16</v>
      </c>
      <c r="C42" s="6" t="s">
        <v>49</v>
      </c>
      <c r="D42" s="6"/>
      <c r="E42" s="10">
        <v>2017</v>
      </c>
      <c r="F42" s="10">
        <v>2020</v>
      </c>
      <c r="G42" s="10">
        <v>2030</v>
      </c>
      <c r="H42" s="10">
        <v>2040</v>
      </c>
      <c r="I42" s="10">
        <v>2050</v>
      </c>
      <c r="J42" s="10">
        <v>2060</v>
      </c>
      <c r="K42" s="10">
        <v>2070</v>
      </c>
    </row>
    <row r="43" spans="1:45" ht="15">
      <c r="A43" t="s">
        <v>16</v>
      </c>
      <c r="C43" t="s">
        <v>40</v>
      </c>
      <c r="D43" s="31"/>
      <c r="E43" s="12">
        <f t="shared" si="23" ref="E43:K45">SUMIF($L$3:$AS$3,E$21,$L43:$AS43)</f>
        <v>1</v>
      </c>
      <c r="F43" s="12">
        <f t="shared" si="23"/>
        <v>1</v>
      </c>
      <c r="G43" s="12">
        <f t="shared" si="23"/>
        <v>1</v>
      </c>
      <c r="H43" s="12">
        <f t="shared" si="23"/>
        <v>1</v>
      </c>
      <c r="I43" s="9">
        <f t="shared" si="23"/>
        <v>1</v>
      </c>
      <c r="J43" s="9">
        <f t="shared" si="23"/>
        <v>1</v>
      </c>
      <c r="K43" s="9">
        <f t="shared" si="23"/>
        <v>1</v>
      </c>
      <c r="L43" s="44">
        <v>1</v>
      </c>
      <c r="M43" s="44">
        <v>1</v>
      </c>
      <c r="N43" s="44">
        <v>1</v>
      </c>
      <c r="O43" s="44">
        <v>1</v>
      </c>
      <c r="P43" s="44">
        <v>1</v>
      </c>
      <c r="Q43" s="44">
        <v>1</v>
      </c>
      <c r="R43" s="44">
        <v>1</v>
      </c>
      <c r="S43" s="44">
        <v>1</v>
      </c>
      <c r="T43" s="44">
        <v>1</v>
      </c>
      <c r="U43" s="44">
        <v>1</v>
      </c>
      <c r="V43" s="44">
        <v>1</v>
      </c>
      <c r="W43" s="44">
        <v>1</v>
      </c>
      <c r="X43" s="44">
        <v>1</v>
      </c>
      <c r="Y43" s="44">
        <v>1</v>
      </c>
      <c r="Z43" s="44">
        <v>1</v>
      </c>
      <c r="AA43" s="44">
        <v>1</v>
      </c>
      <c r="AB43" s="44">
        <v>1</v>
      </c>
      <c r="AC43" s="44">
        <v>1</v>
      </c>
      <c r="AD43" s="44">
        <v>1</v>
      </c>
      <c r="AE43" s="44">
        <v>1</v>
      </c>
      <c r="AF43" s="44">
        <v>1</v>
      </c>
      <c r="AG43" s="44">
        <v>1</v>
      </c>
      <c r="AH43" s="44">
        <v>1</v>
      </c>
      <c r="AI43" s="44">
        <v>1</v>
      </c>
      <c r="AJ43" s="44">
        <v>1</v>
      </c>
      <c r="AK43" s="44">
        <v>1</v>
      </c>
      <c r="AL43" s="44">
        <v>1</v>
      </c>
      <c r="AM43" s="44">
        <v>1</v>
      </c>
      <c r="AN43" s="12"/>
      <c r="AO43" s="12"/>
      <c r="AP43" s="12"/>
      <c r="AQ43" s="12"/>
      <c r="AR43" s="12"/>
      <c r="AS43" s="12"/>
    </row>
    <row r="44" spans="1:45" ht="15">
      <c r="A44" t="s">
        <v>16</v>
      </c>
      <c r="C44" t="s">
        <v>42</v>
      </c>
      <c r="E44" s="12">
        <f t="shared" si="23"/>
        <v>1</v>
      </c>
      <c r="F44" s="12">
        <f t="shared" si="23"/>
        <v>1</v>
      </c>
      <c r="G44" s="12">
        <f t="shared" si="23"/>
        <v>1</v>
      </c>
      <c r="H44" s="12">
        <f t="shared" si="23"/>
        <v>1</v>
      </c>
      <c r="I44" s="9">
        <f t="shared" si="23"/>
        <v>1</v>
      </c>
      <c r="J44" s="9">
        <f t="shared" si="23"/>
        <v>1</v>
      </c>
      <c r="K44" s="9">
        <f t="shared" si="23"/>
        <v>1</v>
      </c>
      <c r="L44" s="44">
        <v>1</v>
      </c>
      <c r="M44" s="44">
        <v>1</v>
      </c>
      <c r="N44" s="44">
        <v>1</v>
      </c>
      <c r="O44" s="44">
        <v>1</v>
      </c>
      <c r="P44" s="44">
        <v>1</v>
      </c>
      <c r="Q44" s="44">
        <v>1</v>
      </c>
      <c r="R44" s="44">
        <v>1</v>
      </c>
      <c r="S44" s="44">
        <v>1</v>
      </c>
      <c r="T44" s="44">
        <v>1</v>
      </c>
      <c r="U44" s="44">
        <v>1</v>
      </c>
      <c r="V44" s="44">
        <v>1</v>
      </c>
      <c r="W44" s="44">
        <v>1</v>
      </c>
      <c r="X44" s="44">
        <v>1</v>
      </c>
      <c r="Y44" s="44">
        <v>1</v>
      </c>
      <c r="Z44" s="44">
        <v>1</v>
      </c>
      <c r="AA44" s="44">
        <v>1</v>
      </c>
      <c r="AB44" s="44">
        <v>1</v>
      </c>
      <c r="AC44" s="44">
        <v>1</v>
      </c>
      <c r="AD44" s="44">
        <v>1</v>
      </c>
      <c r="AE44" s="44">
        <v>1</v>
      </c>
      <c r="AF44" s="44">
        <v>1</v>
      </c>
      <c r="AG44" s="44">
        <v>1</v>
      </c>
      <c r="AH44" s="44">
        <v>1</v>
      </c>
      <c r="AI44" s="44">
        <v>1</v>
      </c>
      <c r="AJ44" s="44">
        <v>1</v>
      </c>
      <c r="AK44" s="44">
        <v>1</v>
      </c>
      <c r="AL44" s="44">
        <v>1</v>
      </c>
      <c r="AM44" s="44">
        <v>1</v>
      </c>
      <c r="AN44" s="12"/>
      <c r="AO44" s="12"/>
      <c r="AP44" s="12"/>
      <c r="AQ44" s="12"/>
      <c r="AR44" s="12"/>
      <c r="AS44" s="12"/>
    </row>
    <row r="45" spans="1:45" ht="15">
      <c r="A45" t="s">
        <v>16</v>
      </c>
      <c r="C45" t="s">
        <v>41</v>
      </c>
      <c r="E45" s="12">
        <f t="shared" si="23"/>
        <v>1.0761183212512533</v>
      </c>
      <c r="F45" s="12">
        <f t="shared" si="23"/>
        <v>0.99921096731572434</v>
      </c>
      <c r="G45" s="12">
        <f t="shared" si="23"/>
        <v>1.5631543422855882</v>
      </c>
      <c r="H45" s="12">
        <f t="shared" si="23"/>
        <v>2.3893086595113373</v>
      </c>
      <c r="I45" s="9">
        <f t="shared" si="23"/>
        <v>3.37463231702628</v>
      </c>
      <c r="J45" s="9">
        <f t="shared" si="23"/>
        <v>3.9289729770613335</v>
      </c>
      <c r="K45" s="9">
        <f t="shared" si="23"/>
        <v>4.2870311004179991</v>
      </c>
      <c r="L45" s="44" cm="1">
        <f t="array" ref="L45">INDEX(Drivers!$C$37:$AG$37,1,L21)/Drivers!$C$37</f>
        <v>1.0761183212512533</v>
      </c>
      <c r="M45" s="44" cm="1">
        <f t="array" ref="M45">INDEX(Drivers!$C$37:$AG$37,1,M21)/Drivers!$C$37</f>
        <v>1.0860639619282522</v>
      </c>
      <c r="N45" s="44" cm="1">
        <f t="array" ref="N45">INDEX(Drivers!$C$37:$AG$37,1,N21)/Drivers!$C$37</f>
        <v>1.0814226629456527</v>
      </c>
      <c r="O45" s="44" cm="1">
        <f t="array" ref="O45">INDEX(Drivers!$C$37:$AG$37,1,O21)/Drivers!$C$37</f>
        <v>0.99921096731572434</v>
      </c>
      <c r="P45" s="44" cm="1">
        <f t="array" ref="P45">INDEX(Drivers!$C$37:$AG$37,1,P21)/Drivers!$C$37</f>
        <v>1.1564926448506194</v>
      </c>
      <c r="Q45" s="44" cm="1">
        <f t="array" ref="Q45">INDEX(Drivers!$C$37:$AG$37,1,Q21)/Drivers!$C$37</f>
        <v>1.3137743223855143</v>
      </c>
      <c r="R45" s="44" cm="1">
        <f t="array" ref="R45">INDEX(Drivers!$C$37:$AG$37,1,R21)/Drivers!$C$37</f>
        <v>1.3330575295311411</v>
      </c>
      <c r="S45" s="44" cm="1">
        <f t="array" ref="S45">INDEX(Drivers!$C$37:$AG$37,1,S21)/Drivers!$C$37</f>
        <v>1.3520108628808121</v>
      </c>
      <c r="T45" s="44" cm="1">
        <f t="array" ref="T45">INDEX(Drivers!$C$37:$AG$37,1,T21)/Drivers!$C$37</f>
        <v>1.3643976935903155</v>
      </c>
      <c r="U45" s="44" cm="1">
        <f t="array" ref="U45">INDEX(Drivers!$C$37:$AG$37,1,U21)/Drivers!$C$37</f>
        <v>1.3767845242998191</v>
      </c>
      <c r="V45" s="44" cm="1">
        <f t="array" ref="V45">INDEX(Drivers!$C$37:$AG$37,1,V21)/Drivers!$C$37</f>
        <v>1.4195722281030156</v>
      </c>
      <c r="W45" s="44" cm="1">
        <f t="array" ref="W45">INDEX(Drivers!$C$37:$AG$37,1,W21)/Drivers!$C$37</f>
        <v>1.4614894200719142</v>
      </c>
      <c r="X45" s="44" cm="1">
        <f t="array" ref="X45">INDEX(Drivers!$C$37:$AG$37,1,X21)/Drivers!$C$37</f>
        <v>1.5096831867395677</v>
      </c>
      <c r="Y45" s="44" cm="1">
        <f t="array" ref="Y45">INDEX(Drivers!$C$37:$AG$37,1,Y21)/Drivers!$C$37</f>
        <v>1.5631543422855882</v>
      </c>
      <c r="Z45" s="44" cm="1">
        <f t="array" ref="Z45">INDEX(Drivers!$C$37:$AG$37,1,Z21)/Drivers!$C$37</f>
        <v>1.6173593165217441</v>
      </c>
      <c r="AA45" s="44" cm="1">
        <f t="array" ref="AA45">INDEX(Drivers!$C$37:$AG$37,1,AA21)/Drivers!$C$37</f>
        <v>1.8395525520801785</v>
      </c>
      <c r="AB45" s="44" cm="1">
        <f t="array" ref="AB45">INDEX(Drivers!$C$37:$AG$37,1,AB21)/Drivers!$C$37</f>
        <v>1.9021925431446305</v>
      </c>
      <c r="AC45" s="44" cm="1">
        <f t="array" ref="AC45">INDEX(Drivers!$C$37:$AG$37,1,AC21)/Drivers!$C$37</f>
        <v>1.9641430203859045</v>
      </c>
      <c r="AD45" s="44" cm="1">
        <f t="array" ref="AD45">INDEX(Drivers!$C$37:$AG$37,1,AD21)/Drivers!$C$37</f>
        <v>2.0264285982291592</v>
      </c>
      <c r="AE45" s="44" cm="1">
        <f t="array" ref="AE45">INDEX(Drivers!$C$37:$AG$37,1,AE21)/Drivers!$C$37</f>
        <v>2.0928730000109574</v>
      </c>
      <c r="AF45" s="44" cm="1">
        <f t="array" ref="AF45">INDEX(Drivers!$C$37:$AG$37,1,AF21)/Drivers!$C$37</f>
        <v>2.1621839556822717</v>
      </c>
      <c r="AG45" s="44" cm="1">
        <f t="array" ref="AG45">INDEX(Drivers!$C$37:$AG$37,1,AG21)/Drivers!$C$37</f>
        <v>2.2341992901182093</v>
      </c>
      <c r="AH45" s="44" cm="1">
        <f t="array" ref="AH45">INDEX(Drivers!$C$37:$AG$37,1,AH21)/Drivers!$C$37</f>
        <v>2.3116697873136092</v>
      </c>
      <c r="AI45" s="44" cm="1">
        <f t="array" ref="AI45">INDEX(Drivers!$C$37:$AG$37,1,AI21)/Drivers!$C$37</f>
        <v>2.3893086595113373</v>
      </c>
      <c r="AJ45" s="44" cm="1">
        <f t="array" ref="AJ45">INDEX(Drivers!$C$37:$AG$37,1,AJ21)/Drivers!$C$37</f>
        <v>2.982313346559728</v>
      </c>
      <c r="AK45" s="44" cm="1">
        <f t="array" ref="AK45">INDEX(Drivers!$C$37:$AK$37,1,AK21)/Drivers!$C$37</f>
        <v>3.37463231702628</v>
      </c>
      <c r="AL45" s="44" cm="1">
        <f t="array" ref="AL45">INDEX(Drivers!$C$37:$AK$37,1,AL21)/Drivers!$C$37</f>
        <v>3.9289729770613335</v>
      </c>
      <c r="AM45" s="44" cm="1">
        <f t="array" ref="AM45">INDEX(Drivers!$C$37:$AK$37,1,AM21)/Drivers!$C$37</f>
        <v>4.2870311004179991</v>
      </c>
      <c r="AN45" s="32"/>
      <c r="AO45" s="32"/>
      <c r="AP45" s="12"/>
      <c r="AQ45" s="12"/>
      <c r="AR45" s="12"/>
      <c r="AS45" s="12"/>
    </row>
    <row r="46" spans="1:11" ht="15">
      <c r="A46" t="s">
        <v>16</v>
      </c>
      <c r="H46" s="50">
        <f>I46^(1/40)-1</f>
        <v>0.028985277212629112</v>
      </c>
      <c r="I46" s="9">
        <f>I45/E45</f>
        <v>3.1359305481412458</v>
      </c>
      <c r="J46" s="9"/>
      <c r="K46" s="9"/>
    </row>
    <row r="47" spans="1:11" ht="15.75" thickBot="1">
      <c r="A47" t="s">
        <v>16</v>
      </c>
      <c r="C47" s="6" t="s">
        <v>199</v>
      </c>
      <c r="D47" s="6"/>
      <c r="E47" s="10">
        <v>2017</v>
      </c>
      <c r="F47" s="10">
        <v>2020</v>
      </c>
      <c r="G47" s="10">
        <v>2030</v>
      </c>
      <c r="H47" s="10">
        <v>2040</v>
      </c>
      <c r="I47" s="10">
        <v>2050</v>
      </c>
      <c r="J47" s="10"/>
      <c r="K47" s="10"/>
    </row>
    <row r="48" spans="1:44" ht="15">
      <c r="A48" t="s">
        <v>16</v>
      </c>
      <c r="C48" t="s">
        <v>40</v>
      </c>
      <c r="D48" s="31" t="s">
        <v>46</v>
      </c>
      <c r="E48" s="68"/>
      <c r="F48" s="68">
        <f t="shared" si="24" ref="F48:I50">(F43/E43)^(1/(F$42-E$42))-1</f>
        <v>0</v>
      </c>
      <c r="G48" s="68">
        <f t="shared" si="24"/>
        <v>0</v>
      </c>
      <c r="H48" s="68">
        <f t="shared" si="24"/>
        <v>0</v>
      </c>
      <c r="I48" s="68">
        <f t="shared" si="24"/>
        <v>0</v>
      </c>
      <c r="J48" s="68"/>
      <c r="K48" s="68"/>
      <c r="L48" s="12"/>
      <c r="M48" s="12"/>
      <c r="N48" s="12"/>
      <c r="O48" s="12"/>
      <c r="P48" s="12"/>
      <c r="Q48" s="12"/>
      <c r="R48" s="12"/>
      <c r="S48" s="12"/>
      <c r="T48" s="12"/>
      <c r="V48" s="12"/>
      <c r="W48" s="12"/>
      <c r="X48" s="12"/>
      <c r="Y48" s="12"/>
      <c r="Z48" s="12"/>
      <c r="AA48" s="12"/>
      <c r="AB48" s="12"/>
      <c r="AC48" s="12"/>
      <c r="AD48" s="12"/>
      <c r="AP48" s="12"/>
      <c r="AR48" s="12"/>
    </row>
    <row r="49" spans="1:44" ht="15">
      <c r="A49" t="s">
        <v>16</v>
      </c>
      <c r="C49" t="s">
        <v>42</v>
      </c>
      <c r="E49" s="68"/>
      <c r="F49" s="68">
        <f t="shared" si="24"/>
        <v>0</v>
      </c>
      <c r="G49" s="68">
        <f t="shared" si="24"/>
        <v>0</v>
      </c>
      <c r="H49" s="68">
        <f t="shared" si="24"/>
        <v>0</v>
      </c>
      <c r="I49" s="68">
        <f t="shared" si="24"/>
        <v>0</v>
      </c>
      <c r="J49" s="68"/>
      <c r="K49" s="68"/>
      <c r="L49" s="12"/>
      <c r="M49" s="12"/>
      <c r="N49" s="12"/>
      <c r="O49" s="12"/>
      <c r="P49" s="12"/>
      <c r="Q49" s="12"/>
      <c r="R49" s="12"/>
      <c r="S49" s="12"/>
      <c r="T49" s="12"/>
      <c r="V49" s="12"/>
      <c r="W49" s="12"/>
      <c r="X49" s="12"/>
      <c r="Y49" s="12"/>
      <c r="Z49" s="12"/>
      <c r="AA49" s="12"/>
      <c r="AB49" s="12"/>
      <c r="AC49" s="12"/>
      <c r="AD49" s="12"/>
      <c r="AP49" s="12"/>
      <c r="AR49" s="12"/>
    </row>
    <row r="50" spans="1:44" ht="15">
      <c r="A50" t="s">
        <v>16</v>
      </c>
      <c r="C50" t="s">
        <v>41</v>
      </c>
      <c r="E50" s="68"/>
      <c r="F50" s="50">
        <f t="shared" si="24"/>
        <v>-0.024413634205925572</v>
      </c>
      <c r="G50" s="50">
        <f t="shared" si="24"/>
        <v>0.045765877194847704</v>
      </c>
      <c r="H50" s="50">
        <f t="shared" si="24"/>
        <v>0.04334283891834656</v>
      </c>
      <c r="I50" s="50">
        <f t="shared" si="24"/>
        <v>0.035131251270561714</v>
      </c>
      <c r="J50" s="50"/>
      <c r="K50" s="50"/>
      <c r="L50" s="12"/>
      <c r="M50" s="12"/>
      <c r="N50" s="12"/>
      <c r="O50" s="12"/>
      <c r="P50" s="12"/>
      <c r="Q50" s="12"/>
      <c r="R50" s="12"/>
      <c r="S50" s="12"/>
      <c r="T50" s="12"/>
      <c r="V50" s="12"/>
      <c r="W50" s="12"/>
      <c r="X50" s="12"/>
      <c r="Y50" s="12"/>
      <c r="Z50" s="12"/>
      <c r="AA50" s="12"/>
      <c r="AB50" s="12"/>
      <c r="AC50" s="12"/>
      <c r="AD50" s="12"/>
      <c r="AP50" s="11"/>
      <c r="AR50" s="11"/>
    </row>
    <row r="51" spans="1:1" ht="15">
      <c r="A51" t="s">
        <v>16</v>
      </c>
    </row>
    <row r="52" spans="1:3" ht="18" thickBot="1">
      <c r="A52" t="s">
        <v>16</v>
      </c>
      <c r="C52" s="33" t="s">
        <v>278</v>
      </c>
    </row>
    <row r="53" spans="1:8" ht="15.75" thickTop="1">
      <c r="A53" t="s">
        <v>16</v>
      </c>
      <c r="D53" t="s">
        <v>43</v>
      </c>
      <c r="E53">
        <v>1</v>
      </c>
      <c r="F53">
        <v>2</v>
      </c>
      <c r="G53">
        <v>3</v>
      </c>
      <c r="H53" s="36"/>
    </row>
    <row r="54" spans="1:8" ht="15">
      <c r="A54" t="s">
        <v>16</v>
      </c>
      <c r="B54">
        <f>[12]RES!$B32</f>
        <v>0</v>
      </c>
      <c r="C54" t="str">
        <f>[12]RES!A32</f>
        <v>USE the names but not the numbers in the greyed out stuff, all the balance numbers are taken directly from the energy balance sheet</v>
      </c>
      <c r="E54">
        <v>0.30</v>
      </c>
      <c r="F54" s="14">
        <v>0.25</v>
      </c>
      <c r="G54" s="14">
        <v>0.20</v>
      </c>
      <c r="H54" s="36"/>
    </row>
    <row r="55" spans="1:8" ht="15">
      <c r="A55" t="s">
        <v>16</v>
      </c>
      <c r="B55" t="str">
        <f>[12]RES!$B33</f>
        <v>Demand</v>
      </c>
      <c r="C55" t="str">
        <f>[12]RES!A33</f>
        <v>End use demands</v>
      </c>
      <c r="E55">
        <v>0.10</v>
      </c>
      <c r="F55" s="14">
        <v>0.10</v>
      </c>
      <c r="G55" s="14">
        <v>0.10</v>
      </c>
      <c r="H55" s="36"/>
    </row>
    <row r="56" spans="1:8" ht="15">
      <c r="A56" t="s">
        <v>16</v>
      </c>
      <c r="B56" t="str">
        <f>[12]RES!$B34</f>
        <v>L</v>
      </c>
      <c r="C56" t="str">
        <f>[12]RES!A34</f>
        <v>Lighting</v>
      </c>
      <c r="E56">
        <v>0.50</v>
      </c>
      <c r="F56" s="14">
        <v>0.40</v>
      </c>
      <c r="G56" s="14">
        <v>0.30</v>
      </c>
      <c r="H56" s="36"/>
    </row>
    <row r="57" spans="1:8" ht="15">
      <c r="A57" t="s">
        <v>16</v>
      </c>
      <c r="B57" t="str">
        <f>[12]RES!$B35</f>
        <v>K</v>
      </c>
      <c r="C57" t="str">
        <f>[12]RES!A35</f>
        <v>Cooking</v>
      </c>
      <c r="E57">
        <v>0.30</v>
      </c>
      <c r="F57" s="14">
        <v>0.25</v>
      </c>
      <c r="G57" s="14">
        <v>0.20</v>
      </c>
      <c r="H57" s="36"/>
    </row>
    <row r="58" spans="1:8" ht="15">
      <c r="A58" t="s">
        <v>16</v>
      </c>
      <c r="B58" t="str">
        <f>[12]RES!$B36</f>
        <v>H</v>
      </c>
      <c r="C58" t="str">
        <f>[12]RES!A36</f>
        <v>Space Heating</v>
      </c>
      <c r="E58">
        <v>0.20</v>
      </c>
      <c r="F58" s="14">
        <v>0.15</v>
      </c>
      <c r="G58" s="14">
        <v>0.10</v>
      </c>
      <c r="H58" s="36"/>
    </row>
    <row r="59" spans="1:8" ht="15">
      <c r="A59" t="s">
        <v>16</v>
      </c>
      <c r="B59" t="str">
        <f>[12]RES!$B37</f>
        <v>WG</v>
      </c>
      <c r="C59" t="str">
        <f>[12]RES!A37</f>
        <v>Water Heating Geyser</v>
      </c>
      <c r="E59">
        <v>0.50</v>
      </c>
      <c r="F59" s="14">
        <v>0.40</v>
      </c>
      <c r="G59" s="14">
        <v>0.30</v>
      </c>
      <c r="H59" s="36"/>
    </row>
    <row r="60" spans="1:8" ht="15">
      <c r="A60" t="s">
        <v>16</v>
      </c>
      <c r="B60" t="str">
        <f>[12]RES!$B38</f>
        <v>W</v>
      </c>
      <c r="C60" t="str">
        <f>[12]RES!A38</f>
        <v>Water Heating</v>
      </c>
      <c r="E60">
        <v>0</v>
      </c>
      <c r="F60" s="14">
        <v>0</v>
      </c>
      <c r="G60" s="14">
        <v>0</v>
      </c>
      <c r="H60" s="36"/>
    </row>
    <row r="61" spans="1:2" ht="15">
      <c r="A61" t="s">
        <v>16</v>
      </c>
      <c r="B61" s="23"/>
    </row>
    <row r="62" spans="1:3" ht="15">
      <c r="A62" t="s">
        <v>16</v>
      </c>
      <c r="C62" s="8" t="str">
        <f>C52</f>
        <v>High Income Household Elasticities</v>
      </c>
    </row>
    <row r="63" spans="1:39" ht="15">
      <c r="A63" t="s">
        <v>16</v>
      </c>
      <c r="C63" t="str">
        <f t="shared" si="25" ref="C63:C69">C54</f>
        <v>USE the names but not the numbers in the greyed out stuff, all the balance numbers are taken directly from the energy balance sheet</v>
      </c>
      <c r="E63" s="9">
        <f t="shared" si="26" ref="E63:I69">FORECAST(E$45,$E54:$G54,$E$53:$G$53)</f>
        <v>0.29619408393743729</v>
      </c>
      <c r="F63" s="9">
        <f t="shared" si="26"/>
        <v>0.30003945163421375</v>
      </c>
      <c r="G63" s="9">
        <f t="shared" si="26"/>
        <v>0.27184228288572054</v>
      </c>
      <c r="H63" s="9">
        <f t="shared" si="26"/>
        <v>0.23053456702443315</v>
      </c>
      <c r="I63" s="9">
        <f t="shared" si="26"/>
        <v>0.18126838414868604</v>
      </c>
      <c r="J63" s="9">
        <f t="shared" si="27" ref="J63:K63">FORECAST(J$45,$E54:$G54,$E$53:$G$53)</f>
        <v>0.15355135114693338</v>
      </c>
      <c r="K63" s="9">
        <f t="shared" si="27"/>
        <v>0.13564844497910011</v>
      </c>
      <c r="L63" cm="1">
        <f t="array" ref="L63">IF(L$7=-1,M63,IF(L$7=99,#REF!,IF(L$7=0,INDEX($E63:$I63,0,L$5),(INDEX($E63:$I63,0,L$7+1)-INDEX($E63:$I63,0,L$7))/(INDEX($E$4:$I$4,0,L$7+1)-INDEX($E$4:$I$4,0,L$7))+#REF!)))</f>
        <v>0.29619408393743729</v>
      </c>
      <c r="M63" cm="1">
        <f t="array" ref="M63">IF(M$7=-1,N63,IF(M$7=99,L63,IF(M$7=0,INDEX($E63:$I63,0,M$5),(INDEX($E63:$I63,0,M$7+1)-INDEX($E63:$I63,0,M$7))/(INDEX($E$4:$I$4,0,M$7+1)-INDEX($E$4:$I$4,0,M$7))+L63)))</f>
        <v>0.29747587316969609</v>
      </c>
      <c r="N63" cm="1">
        <f t="array" ref="N63">IF(N$7=-1,O63,IF(N$7=99,M63,IF(N$7=0,INDEX($E63:$I63,0,N$5),(INDEX($E63:$I63,0,N$7+1)-INDEX($E63:$I63,0,N$7))/(INDEX($E$4:$I$4,0,N$7+1)-INDEX($E$4:$I$4,0,N$7))+M63)))</f>
        <v>0.29875766240195489</v>
      </c>
      <c r="O63" cm="1">
        <f t="array" ref="O63">IF(O$7=-1,P63,IF(O$7=99,N63,IF(O$7=0,INDEX($E63:$I63,0,O$5),(INDEX($E63:$I63,0,O$7+1)-INDEX($E63:$I63,0,O$7))/(INDEX($E$4:$I$4,0,O$7+1)-INDEX($E$4:$I$4,0,O$7))+N63)))</f>
        <v>0.30003945163421375</v>
      </c>
      <c r="P63" cm="1">
        <f t="array" ref="P63">IF(P$7=-1,Q63,IF(P$7=99,O63,IF(P$7=0,INDEX($E63:$I63,0,P$5),(INDEX($E63:$I63,0,P$7+1)-INDEX($E63:$I63,0,P$7))/(INDEX($E$4:$I$4,0,P$7+1)-INDEX($E$4:$I$4,0,P$7))+O63)))</f>
        <v>0.29721973475936442</v>
      </c>
      <c r="Q63" cm="1">
        <f t="array" ref="Q63">IF(Q$7=-1,R63,IF(Q$7=99,P63,IF(Q$7=0,INDEX($E63:$I63,0,Q$5),(INDEX($E63:$I63,0,Q$7+1)-INDEX($E63:$I63,0,Q$7))/(INDEX($E$4:$I$4,0,Q$7+1)-INDEX($E$4:$I$4,0,Q$7))+P63)))</f>
        <v>0.29440001788451509</v>
      </c>
      <c r="R63" cm="1">
        <f t="array" ref="R63">IF(R$7=-1,S63,IF(R$7=99,Q63,IF(R$7=0,INDEX($E63:$I63,0,R$5),(INDEX($E63:$I63,0,R$7+1)-INDEX($E63:$I63,0,R$7))/(INDEX($E$4:$I$4,0,R$7+1)-INDEX($E$4:$I$4,0,R$7))+Q63)))</f>
        <v>0.29158030100966575</v>
      </c>
      <c r="S63" cm="1">
        <f t="array" ref="S63">IF(S$7=-1,T63,IF(S$7=99,R63,IF(S$7=0,INDEX($E63:$I63,0,S$5),(INDEX($E63:$I63,0,S$7+1)-INDEX($E63:$I63,0,S$7))/(INDEX($E$4:$I$4,0,S$7+1)-INDEX($E$4:$I$4,0,S$7))+R63)))</f>
        <v>0.28876058413481642</v>
      </c>
      <c r="T63" cm="1">
        <f t="array" ref="T63">IF(T$7=-1,U63,IF(T$7=99,S63,IF(T$7=0,INDEX($E63:$I63,0,T$5),(INDEX($E63:$I63,0,T$7+1)-INDEX($E63:$I63,0,T$7))/(INDEX($E$4:$I$4,0,T$7+1)-INDEX($E$4:$I$4,0,T$7))+S63)))</f>
        <v>0.28594086725996709</v>
      </c>
      <c r="U63" cm="1">
        <f t="array" ref="U63">IF(U$7=-1,V63,IF(U$7=99,T63,IF(U$7=0,INDEX($E63:$I63,0,U$5),(INDEX($E63:$I63,0,U$7+1)-INDEX($E63:$I63,0,U$7))/(INDEX($E$4:$I$4,0,U$7+1)-INDEX($E$4:$I$4,0,U$7))+T63)))</f>
        <v>0.28312115038511776</v>
      </c>
      <c r="V63" cm="1">
        <f t="array" ref="V63">IF(V$7=-1,W63,IF(V$7=99,U63,IF(V$7=0,INDEX($E63:$I63,0,V$5),(INDEX($E63:$I63,0,V$7+1)-INDEX($E63:$I63,0,V$7))/(INDEX($E$4:$I$4,0,V$7+1)-INDEX($E$4:$I$4,0,V$7))+U63)))</f>
        <v>0.28030143351026843</v>
      </c>
      <c r="W63" cm="1">
        <f t="array" ref="W63">IF(W$7=-1,X63,IF(W$7=99,V63,IF(W$7=0,INDEX($E63:$I63,0,W$5),(INDEX($E63:$I63,0,W$7+1)-INDEX($E63:$I63,0,W$7))/(INDEX($E$4:$I$4,0,W$7+1)-INDEX($E$4:$I$4,0,W$7))+V63)))</f>
        <v>0.2774817166354191</v>
      </c>
      <c r="X63" cm="1">
        <f t="array" ref="X63">IF(X$7=-1,Y63,IF(X$7=99,W63,IF(X$7=0,INDEX($E63:$I63,0,X$5),(INDEX($E63:$I63,0,X$7+1)-INDEX($E63:$I63,0,X$7))/(INDEX($E$4:$I$4,0,X$7+1)-INDEX($E$4:$I$4,0,X$7))+W63)))</f>
        <v>0.27466199976056976</v>
      </c>
      <c r="Y63" cm="1">
        <f t="array" ref="Y63">IF(Y$7=-1,Z63,IF(Y$7=99,X63,IF(Y$7=0,INDEX($E63:$I63,0,Y$5),(INDEX($E63:$I63,0,Y$7+1)-INDEX($E63:$I63,0,Y$7))/(INDEX($E$4:$I$4,0,Y$7+1)-INDEX($E$4:$I$4,0,Y$7))+X63)))</f>
        <v>0.27184228288572054</v>
      </c>
      <c r="Z63" cm="1">
        <f t="array" ref="Z63">IF(Z$7=-1,AA63,IF(Z$7=99,Y63,IF(Z$7=0,INDEX($E63:$I63,0,Z$5),(INDEX($E63:$I63,0,Z$7+1)-INDEX($E63:$I63,0,Z$7))/(INDEX($E$4:$I$4,0,Z$7+1)-INDEX($E$4:$I$4,0,Z$7))+Y63)))</f>
        <v>0.26771151129959181</v>
      </c>
      <c r="AA63" cm="1">
        <f t="array" ref="AA63">IF(AA$7=-1,AB63,IF(AA$7=99,Z63,IF(AA$7=0,INDEX($E63:$I63,0,AA$5),(INDEX($E63:$I63,0,AA$7+1)-INDEX($E63:$I63,0,AA$7))/(INDEX($E$4:$I$4,0,AA$7+1)-INDEX($E$4:$I$4,0,AA$7))+Z63)))</f>
        <v>0.26358073971346307</v>
      </c>
      <c r="AB63" cm="1">
        <f t="array" ref="AB63">IF(AB$7=-1,AC63,IF(AB$7=99,AA63,IF(AB$7=0,INDEX($E63:$I63,0,AB$5),(INDEX($E63:$I63,0,AB$7+1)-INDEX($E63:$I63,0,AB$7))/(INDEX($E$4:$I$4,0,AB$7+1)-INDEX($E$4:$I$4,0,AB$7))+AA63)))</f>
        <v>0.25944996812733434</v>
      </c>
      <c r="AC63" cm="1">
        <f t="array" ref="AC63">IF(AC$7=-1,AD63,IF(AC$7=99,AB63,IF(AC$7=0,INDEX($E63:$I63,0,AC$5),(INDEX($E63:$I63,0,AC$7+1)-INDEX($E63:$I63,0,AC$7))/(INDEX($E$4:$I$4,0,AC$7+1)-INDEX($E$4:$I$4,0,AC$7))+AB63)))</f>
        <v>0.25531919654120561</v>
      </c>
      <c r="AD63" cm="1">
        <f t="array" ref="AD63">IF(AD$7=-1,AE63,IF(AD$7=99,AC63,IF(AD$7=0,INDEX($E63:$I63,0,AD$5),(INDEX($E63:$I63,0,AD$7+1)-INDEX($E63:$I63,0,AD$7))/(INDEX($E$4:$I$4,0,AD$7+1)-INDEX($E$4:$I$4,0,AD$7))+AC63)))</f>
        <v>0.25118842495507687</v>
      </c>
      <c r="AE63" cm="1">
        <f t="array" ref="AE63">IF(AE$7=-1,AF63,IF(AE$7=99,AD63,IF(AE$7=0,INDEX($E63:$I63,0,AE$5),(INDEX($E63:$I63,0,AE$7+1)-INDEX($E63:$I63,0,AE$7))/(INDEX($E$4:$I$4,0,AE$7+1)-INDEX($E$4:$I$4,0,AE$7))+AD63)))</f>
        <v>0.24705765336894814</v>
      </c>
      <c r="AF63" cm="1">
        <f t="array" ref="AF63">IF(AF$7=-1,AG63,IF(AF$7=99,AE63,IF(AF$7=0,INDEX($E63:$I63,0,AF$5),(INDEX($E63:$I63,0,AF$7+1)-INDEX($E63:$I63,0,AF$7))/(INDEX($E$4:$I$4,0,AF$7+1)-INDEX($E$4:$I$4,0,AF$7))+AE63)))</f>
        <v>0.2429268817828194</v>
      </c>
      <c r="AG63" cm="1">
        <f t="array" ref="AG63">IF(AG$7=-1,AH63,IF(AG$7=99,AF63,IF(AG$7=0,INDEX($E63:$I63,0,AG$5),(INDEX($E63:$I63,0,AG$7+1)-INDEX($E63:$I63,0,AG$7))/(INDEX($E$4:$I$4,0,AG$7+1)-INDEX($E$4:$I$4,0,AG$7))+AF63)))</f>
        <v>0.23879611019669067</v>
      </c>
      <c r="AH63" cm="1">
        <f t="array" ref="AH63">IF(AH$7=-1,AI63,IF(AH$7=99,AG63,IF(AH$7=0,INDEX($E63:$I63,0,AH$5),(INDEX($E63:$I63,0,AH$7+1)-INDEX($E63:$I63,0,AH$7))/(INDEX($E$4:$I$4,0,AH$7+1)-INDEX($E$4:$I$4,0,AH$7))+AG63)))</f>
        <v>0.23466533861056194</v>
      </c>
      <c r="AI63" cm="1">
        <f t="array" ref="AI63">IF(AI$7=-1,AJ63,IF(AI$7=99,AH63,IF(AI$7=0,INDEX($E63:$I63,0,AI$5),(INDEX($E63:$I63,0,AI$7+1)-INDEX($E63:$I63,0,AI$7))/(INDEX($E$4:$I$4,0,AI$7+1)-INDEX($E$4:$I$4,0,AI$7))+AH63)))</f>
        <v>0.23053456702443315</v>
      </c>
      <c r="AJ63" cm="1">
        <f t="array" ref="AJ63">IF(AJ$7=-1,AK63,IF(AJ$7=99,AI63,IF(AJ$7=0,INDEX($E63:$I63,0,AJ$5),(INDEX($E63:$I63,0,AJ$7+1)-INDEX($E63:$I63,0,AJ$7))/(INDEX($E$4:$I$4,0,AJ$7+1)-INDEX($E$4:$I$4,0,AJ$7))+AI63)))</f>
        <v>0.22560794873685844</v>
      </c>
      <c r="AK63" cm="1">
        <f t="array" ref="AK63">IF(AK$7=-1,AL63,IF(AK$7=99,AJ63,IF(AK$7=0,INDEX($E63:$I63,0,AK$5),(INDEX($E63:$I63,0,AK$7+1)-INDEX($E63:$I63,0,AK$7))/(INDEX($E$4:$I$4,0,AK$7+1)-INDEX($E$4:$I$4,0,AK$7))+AJ63)))</f>
        <v>0.18126838414868604</v>
      </c>
      <c r="AL63" cm="1">
        <f t="array" ref="AL63">IF(AL$7=-1,AM63,IF(AL$7=99,AK63,IF(AL$7=0,INDEX($E63:$K63,0,AL$5),(INDEX($E63:$K63,0,AL$7+1)-INDEX($E63:$K63,0,AL$7))/(INDEX($E$4:$K$4,0,AL$7+1)-INDEX($E$4:$K$4,0,AL$7))+AK63)))</f>
        <v>0.15355135114693338</v>
      </c>
      <c r="AM63" cm="1">
        <f t="array" ref="AM63">IF(AM$7=-1,AN63,IF(AM$7=99,AL63,IF(AM$7=0,INDEX($E63:$K63,0,AM$5),(INDEX($E63:$K63,0,AM$7+1)-INDEX($E63:$K63,0,AM$7))/(INDEX($E$4:$K$4,0,AM$7+1)-INDEX($E$4:$K$4,0,AM$7))+AL63)))</f>
        <v>0.13564844497910011</v>
      </c>
    </row>
    <row r="64" spans="1:39" ht="15">
      <c r="A64" t="s">
        <v>16</v>
      </c>
      <c r="C64" t="str">
        <f t="shared" si="25"/>
        <v>End use demands</v>
      </c>
      <c r="E64" s="9">
        <f t="shared" si="26"/>
        <v>0.10000000000000002</v>
      </c>
      <c r="F64" s="9">
        <f t="shared" si="26"/>
        <v>0.10000000000000002</v>
      </c>
      <c r="G64" s="9">
        <f t="shared" si="26"/>
        <v>0.10000000000000002</v>
      </c>
      <c r="H64" s="9">
        <f t="shared" si="26"/>
        <v>0.10000000000000002</v>
      </c>
      <c r="I64" s="9">
        <f t="shared" si="26"/>
        <v>0.10000000000000002</v>
      </c>
      <c r="J64" s="9">
        <f t="shared" si="28" ref="J64:K64">FORECAST(J$45,$E55:$G55,$E$53:$G$53)</f>
        <v>0.10000000000000002</v>
      </c>
      <c r="K64" s="9">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ht="15">
      <c r="A65" t="s">
        <v>16</v>
      </c>
      <c r="C65" t="str">
        <f t="shared" si="25"/>
        <v>Lighting</v>
      </c>
      <c r="E65" s="9">
        <f t="shared" si="26"/>
        <v>0.49238816787487444</v>
      </c>
      <c r="F65" s="9">
        <f t="shared" si="26"/>
        <v>0.5000789032684273</v>
      </c>
      <c r="G65" s="9">
        <f t="shared" si="26"/>
        <v>0.443684565771441</v>
      </c>
      <c r="H65" s="9">
        <f t="shared" si="26"/>
        <v>0.36106913404886631</v>
      </c>
      <c r="I65" s="9">
        <f t="shared" si="26"/>
        <v>0.26253676829737221</v>
      </c>
      <c r="J65" s="9">
        <f t="shared" si="29" ref="J65:K65">FORECAST(J$45,$E56:$G56,$E$53:$G$53)</f>
        <v>0.20710270229386696</v>
      </c>
      <c r="K65" s="9">
        <f t="shared" si="29"/>
        <v>0.17129688995820047</v>
      </c>
      <c r="L65" cm="1">
        <f t="array" ref="L65">IF(L$7=-1,M65,IF(L$7=99,#REF!,IF(L$7=0,INDEX($E65:$I65,0,L$5),(INDEX($E65:$I65,0,L$7+1)-INDEX($E65:$I65,0,L$7))/(INDEX($E$4:$I$4,0,L$7+1)-INDEX($E$4:$I$4,0,L$7))+#REF!)))</f>
        <v>0.49238816787487444</v>
      </c>
      <c r="M65" cm="1">
        <f t="array" ref="M65">IF(M$7=-1,N65,IF(M$7=99,L65,IF(M$7=0,INDEX($E65:$I65,0,M$5),(INDEX($E65:$I65,0,M$7+1)-INDEX($E65:$I65,0,M$7))/(INDEX($E$4:$I$4,0,M$7+1)-INDEX($E$4:$I$4,0,M$7))+L65)))</f>
        <v>0.49495174633939204</v>
      </c>
      <c r="N65" cm="1">
        <f t="array" ref="N65">IF(N$7=-1,O65,IF(N$7=99,M65,IF(N$7=0,INDEX($E65:$I65,0,N$5),(INDEX($E65:$I65,0,N$7+1)-INDEX($E65:$I65,0,N$7))/(INDEX($E$4:$I$4,0,N$7+1)-INDEX($E$4:$I$4,0,N$7))+M65)))</f>
        <v>0.49751532480390964</v>
      </c>
      <c r="O65" cm="1">
        <f t="array" ref="O65">IF(O$7=-1,P65,IF(O$7=99,N65,IF(O$7=0,INDEX($E65:$I65,0,O$5),(INDEX($E65:$I65,0,O$7+1)-INDEX($E65:$I65,0,O$7))/(INDEX($E$4:$I$4,0,O$7+1)-INDEX($E$4:$I$4,0,O$7))+N65)))</f>
        <v>0.5000789032684273</v>
      </c>
      <c r="P65" cm="1">
        <f t="array" ref="P65">IF(P$7=-1,Q65,IF(P$7=99,O65,IF(P$7=0,INDEX($E65:$I65,0,P$5),(INDEX($E65:$I65,0,P$7+1)-INDEX($E65:$I65,0,P$7))/(INDEX($E$4:$I$4,0,P$7+1)-INDEX($E$4:$I$4,0,P$7))+O65)))</f>
        <v>0.49443946951872869</v>
      </c>
      <c r="Q65" cm="1">
        <f t="array" ref="Q65">IF(Q$7=-1,R65,IF(Q$7=99,P65,IF(Q$7=0,INDEX($E65:$I65,0,Q$5),(INDEX($E65:$I65,0,Q$7+1)-INDEX($E65:$I65,0,Q$7))/(INDEX($E$4:$I$4,0,Q$7+1)-INDEX($E$4:$I$4,0,Q$7))+P65)))</f>
        <v>0.48880003576903008</v>
      </c>
      <c r="R65" cm="1">
        <f t="array" ref="R65">IF(R$7=-1,S65,IF(R$7=99,Q65,IF(R$7=0,INDEX($E65:$I65,0,R$5),(INDEX($E65:$I65,0,R$7+1)-INDEX($E65:$I65,0,R$7))/(INDEX($E$4:$I$4,0,R$7+1)-INDEX($E$4:$I$4,0,R$7))+Q65)))</f>
        <v>0.48316060201933148</v>
      </c>
      <c r="S65" cm="1">
        <f t="array" ref="S65">IF(S$7=-1,T65,IF(S$7=99,R65,IF(S$7=0,INDEX($E65:$I65,0,S$5),(INDEX($E65:$I65,0,S$7+1)-INDEX($E65:$I65,0,S$7))/(INDEX($E$4:$I$4,0,S$7+1)-INDEX($E$4:$I$4,0,S$7))+R65)))</f>
        <v>0.47752116826963287</v>
      </c>
      <c r="T65" cm="1">
        <f t="array" ref="T65">IF(T$7=-1,U65,IF(T$7=99,S65,IF(T$7=0,INDEX($E65:$I65,0,T$5),(INDEX($E65:$I65,0,T$7+1)-INDEX($E65:$I65,0,T$7))/(INDEX($E$4:$I$4,0,T$7+1)-INDEX($E$4:$I$4,0,T$7))+S65)))</f>
        <v>0.47188173451993426</v>
      </c>
      <c r="U65" cm="1">
        <f t="array" ref="U65">IF(U$7=-1,V65,IF(U$7=99,T65,IF(U$7=0,INDEX($E65:$I65,0,U$5),(INDEX($E65:$I65,0,U$7+1)-INDEX($E65:$I65,0,U$7))/(INDEX($E$4:$I$4,0,U$7+1)-INDEX($E$4:$I$4,0,U$7))+T65)))</f>
        <v>0.46624230077023565</v>
      </c>
      <c r="V65" cm="1">
        <f t="array" ref="V65">IF(V$7=-1,W65,IF(V$7=99,U65,IF(V$7=0,INDEX($E65:$I65,0,V$5),(INDEX($E65:$I65,0,V$7+1)-INDEX($E65:$I65,0,V$7))/(INDEX($E$4:$I$4,0,V$7+1)-INDEX($E$4:$I$4,0,V$7))+U65)))</f>
        <v>0.46060286702053704</v>
      </c>
      <c r="W65" cm="1">
        <f t="array" ref="W65">IF(W$7=-1,X65,IF(W$7=99,V65,IF(W$7=0,INDEX($E65:$I65,0,W$5),(INDEX($E65:$I65,0,W$7+1)-INDEX($E65:$I65,0,W$7))/(INDEX($E$4:$I$4,0,W$7+1)-INDEX($E$4:$I$4,0,W$7))+V65)))</f>
        <v>0.45496343327083844</v>
      </c>
      <c r="X65" cm="1">
        <f t="array" ref="X65">IF(X$7=-1,Y65,IF(X$7=99,W65,IF(X$7=0,INDEX($E65:$I65,0,X$5),(INDEX($E65:$I65,0,X$7+1)-INDEX($E65:$I65,0,X$7))/(INDEX($E$4:$I$4,0,X$7+1)-INDEX($E$4:$I$4,0,X$7))+W65)))</f>
        <v>0.44932399952113983</v>
      </c>
      <c r="Y65" cm="1">
        <f t="array" ref="Y65">IF(Y$7=-1,Z65,IF(Y$7=99,X65,IF(Y$7=0,INDEX($E65:$I65,0,Y$5),(INDEX($E65:$I65,0,Y$7+1)-INDEX($E65:$I65,0,Y$7))/(INDEX($E$4:$I$4,0,Y$7+1)-INDEX($E$4:$I$4,0,Y$7))+X65)))</f>
        <v>0.443684565771441</v>
      </c>
      <c r="Z65" cm="1">
        <f t="array" ref="Z65">IF(Z$7=-1,AA65,IF(Z$7=99,Y65,IF(Z$7=0,INDEX($E65:$I65,0,Z$5),(INDEX($E65:$I65,0,Z$7+1)-INDEX($E65:$I65,0,Z$7))/(INDEX($E$4:$I$4,0,Z$7+1)-INDEX($E$4:$I$4,0,Z$7))+Y65)))</f>
        <v>0.43542302259918353</v>
      </c>
      <c r="AA65" cm="1">
        <f t="array" ref="AA65">IF(AA$7=-1,AB65,IF(AA$7=99,Z65,IF(AA$7=0,INDEX($E65:$I65,0,AA$5),(INDEX($E65:$I65,0,AA$7+1)-INDEX($E65:$I65,0,AA$7))/(INDEX($E$4:$I$4,0,AA$7+1)-INDEX($E$4:$I$4,0,AA$7))+Z65)))</f>
        <v>0.42716147942692606</v>
      </c>
      <c r="AB65" cm="1">
        <f t="array" ref="AB65">IF(AB$7=-1,AC65,IF(AB$7=99,AA65,IF(AB$7=0,INDEX($E65:$I65,0,AB$5),(INDEX($E65:$I65,0,AB$7+1)-INDEX($E65:$I65,0,AB$7))/(INDEX($E$4:$I$4,0,AB$7+1)-INDEX($E$4:$I$4,0,AB$7))+AA65)))</f>
        <v>0.41889993625466859</v>
      </c>
      <c r="AC65" cm="1">
        <f t="array" ref="AC65">IF(AC$7=-1,AD65,IF(AC$7=99,AB65,IF(AC$7=0,INDEX($E65:$I65,0,AC$5),(INDEX($E65:$I65,0,AC$7+1)-INDEX($E65:$I65,0,AC$7))/(INDEX($E$4:$I$4,0,AC$7+1)-INDEX($E$4:$I$4,0,AC$7))+AB65)))</f>
        <v>0.41063839308241112</v>
      </c>
      <c r="AD65" cm="1">
        <f t="array" ref="AD65">IF(AD$7=-1,AE65,IF(AD$7=99,AC65,IF(AD$7=0,INDEX($E65:$I65,0,AD$5),(INDEX($E65:$I65,0,AD$7+1)-INDEX($E65:$I65,0,AD$7))/(INDEX($E$4:$I$4,0,AD$7+1)-INDEX($E$4:$I$4,0,AD$7))+AC65)))</f>
        <v>0.40237684991015366</v>
      </c>
      <c r="AE65" cm="1">
        <f t="array" ref="AE65">IF(AE$7=-1,AF65,IF(AE$7=99,AD65,IF(AE$7=0,INDEX($E65:$I65,0,AE$5),(INDEX($E65:$I65,0,AE$7+1)-INDEX($E65:$I65,0,AE$7))/(INDEX($E$4:$I$4,0,AE$7+1)-INDEX($E$4:$I$4,0,AE$7))+AD65)))</f>
        <v>0.39411530673789619</v>
      </c>
      <c r="AF65" cm="1">
        <f t="array" ref="AF65">IF(AF$7=-1,AG65,IF(AF$7=99,AE65,IF(AF$7=0,INDEX($E65:$I65,0,AF$5),(INDEX($E65:$I65,0,AF$7+1)-INDEX($E65:$I65,0,AF$7))/(INDEX($E$4:$I$4,0,AF$7+1)-INDEX($E$4:$I$4,0,AF$7))+AE65)))</f>
        <v>0.38585376356563872</v>
      </c>
      <c r="AG65" cm="1">
        <f t="array" ref="AG65">IF(AG$7=-1,AH65,IF(AG$7=99,AF65,IF(AG$7=0,INDEX($E65:$I65,0,AG$5),(INDEX($E65:$I65,0,AG$7+1)-INDEX($E65:$I65,0,AG$7))/(INDEX($E$4:$I$4,0,AG$7+1)-INDEX($E$4:$I$4,0,AG$7))+AF65)))</f>
        <v>0.37759222039338125</v>
      </c>
      <c r="AH65" cm="1">
        <f t="array" ref="AH65">IF(AH$7=-1,AI65,IF(AH$7=99,AG65,IF(AH$7=0,INDEX($E65:$I65,0,AH$5),(INDEX($E65:$I65,0,AH$7+1)-INDEX($E65:$I65,0,AH$7))/(INDEX($E$4:$I$4,0,AH$7+1)-INDEX($E$4:$I$4,0,AH$7))+AG65)))</f>
        <v>0.36933067722112378</v>
      </c>
      <c r="AI65" cm="1">
        <f t="array" ref="AI65">IF(AI$7=-1,AJ65,IF(AI$7=99,AH65,IF(AI$7=0,INDEX($E65:$I65,0,AI$5),(INDEX($E65:$I65,0,AI$7+1)-INDEX($E65:$I65,0,AI$7))/(INDEX($E$4:$I$4,0,AI$7+1)-INDEX($E$4:$I$4,0,AI$7))+AH65)))</f>
        <v>0.36106913404886631</v>
      </c>
      <c r="AJ65" cm="1">
        <f t="array" ref="AJ65">IF(AJ$7=-1,AK65,IF(AJ$7=99,AI65,IF(AJ$7=0,INDEX($E65:$I65,0,AJ$5),(INDEX($E65:$I65,0,AJ$7+1)-INDEX($E65:$I65,0,AJ$7))/(INDEX($E$4:$I$4,0,AJ$7+1)-INDEX($E$4:$I$4,0,AJ$7))+AI65)))</f>
        <v>0.3512158974737169</v>
      </c>
      <c r="AK65" cm="1">
        <f t="array" ref="AK65">IF(AK$7=-1,AL65,IF(AK$7=99,AJ65,IF(AK$7=0,INDEX($E65:$I65,0,AK$5),(INDEX($E65:$I65,0,AK$7+1)-INDEX($E65:$I65,0,AK$7))/(INDEX($E$4:$I$4,0,AK$7+1)-INDEX($E$4:$I$4,0,AK$7))+AJ65)))</f>
        <v>0.26253676829737221</v>
      </c>
      <c r="AL65" cm="1">
        <f t="array" ref="AL65">IF(AL$7=-1,AM65,IF(AL$7=99,AK65,IF(AL$7=0,INDEX($E65:$K65,0,AL$5),(INDEX($E65:$K65,0,AL$7+1)-INDEX($E65:$K65,0,AL$7))/(INDEX($E$4:$K$4,0,AL$7+1)-INDEX($E$4:$K$4,0,AL$7))+AK65)))</f>
        <v>0.20710270229386696</v>
      </c>
      <c r="AM65" cm="1">
        <f t="array" ref="AM65">IF(AM$7=-1,AN65,IF(AM$7=99,AL65,IF(AM$7=0,INDEX($E65:$K65,0,AM$5),(INDEX($E65:$K65,0,AM$7+1)-INDEX($E65:$K65,0,AM$7))/(INDEX($E$4:$K$4,0,AM$7+1)-INDEX($E$4:$K$4,0,AM$7))+AL65)))</f>
        <v>0.17129688995820047</v>
      </c>
    </row>
    <row r="66" spans="1:39" ht="15">
      <c r="A66" t="s">
        <v>16</v>
      </c>
      <c r="C66" t="str">
        <f t="shared" si="25"/>
        <v>Cooking</v>
      </c>
      <c r="E66" s="9">
        <f t="shared" si="26"/>
        <v>0.29619408393743729</v>
      </c>
      <c r="F66" s="9">
        <f t="shared" si="26"/>
        <v>0.30003945163421375</v>
      </c>
      <c r="G66" s="9">
        <f t="shared" si="26"/>
        <v>0.27184228288572054</v>
      </c>
      <c r="H66" s="9">
        <f t="shared" si="26"/>
        <v>0.23053456702443315</v>
      </c>
      <c r="I66" s="9">
        <f t="shared" si="26"/>
        <v>0.18126838414868604</v>
      </c>
      <c r="J66" s="9">
        <f t="shared" si="30" ref="J66:K66">FORECAST(J$45,$E57:$G57,$E$53:$G$53)</f>
        <v>0.15355135114693338</v>
      </c>
      <c r="K66" s="9">
        <f t="shared" si="30"/>
        <v>0.13564844497910011</v>
      </c>
      <c r="L66" cm="1">
        <f t="array" ref="L66">IF(L$7=-1,M66,IF(L$7=99,#REF!,IF(L$7=0,INDEX($E66:$I66,0,L$5),(INDEX($E66:$I66,0,L$7+1)-INDEX($E66:$I66,0,L$7))/(INDEX($E$4:$I$4,0,L$7+1)-INDEX($E$4:$I$4,0,L$7))+#REF!)))</f>
        <v>0.29619408393743729</v>
      </c>
      <c r="M66" cm="1">
        <f t="array" ref="M66">IF(M$7=-1,N66,IF(M$7=99,L66,IF(M$7=0,INDEX($E66:$I66,0,M$5),(INDEX($E66:$I66,0,M$7+1)-INDEX($E66:$I66,0,M$7))/(INDEX($E$4:$I$4,0,M$7+1)-INDEX($E$4:$I$4,0,M$7))+L66)))</f>
        <v>0.29747587316969609</v>
      </c>
      <c r="N66" cm="1">
        <f t="array" ref="N66">IF(N$7=-1,O66,IF(N$7=99,M66,IF(N$7=0,INDEX($E66:$I66,0,N$5),(INDEX($E66:$I66,0,N$7+1)-INDEX($E66:$I66,0,N$7))/(INDEX($E$4:$I$4,0,N$7+1)-INDEX($E$4:$I$4,0,N$7))+M66)))</f>
        <v>0.29875766240195489</v>
      </c>
      <c r="O66" cm="1">
        <f t="array" ref="O66">IF(O$7=-1,P66,IF(O$7=99,N66,IF(O$7=0,INDEX($E66:$I66,0,O$5),(INDEX($E66:$I66,0,O$7+1)-INDEX($E66:$I66,0,O$7))/(INDEX($E$4:$I$4,0,O$7+1)-INDEX($E$4:$I$4,0,O$7))+N66)))</f>
        <v>0.30003945163421375</v>
      </c>
      <c r="P66" cm="1">
        <f t="array" ref="P66">IF(P$7=-1,Q66,IF(P$7=99,O66,IF(P$7=0,INDEX($E66:$I66,0,P$5),(INDEX($E66:$I66,0,P$7+1)-INDEX($E66:$I66,0,P$7))/(INDEX($E$4:$I$4,0,P$7+1)-INDEX($E$4:$I$4,0,P$7))+O66)))</f>
        <v>0.29721973475936442</v>
      </c>
      <c r="Q66" cm="1">
        <f t="array" ref="Q66">IF(Q$7=-1,R66,IF(Q$7=99,P66,IF(Q$7=0,INDEX($E66:$I66,0,Q$5),(INDEX($E66:$I66,0,Q$7+1)-INDEX($E66:$I66,0,Q$7))/(INDEX($E$4:$I$4,0,Q$7+1)-INDEX($E$4:$I$4,0,Q$7))+P66)))</f>
        <v>0.29440001788451509</v>
      </c>
      <c r="R66" cm="1">
        <f t="array" ref="R66">IF(R$7=-1,S66,IF(R$7=99,Q66,IF(R$7=0,INDEX($E66:$I66,0,R$5),(INDEX($E66:$I66,0,R$7+1)-INDEX($E66:$I66,0,R$7))/(INDEX($E$4:$I$4,0,R$7+1)-INDEX($E$4:$I$4,0,R$7))+Q66)))</f>
        <v>0.29158030100966575</v>
      </c>
      <c r="S66" cm="1">
        <f t="array" ref="S66">IF(S$7=-1,T66,IF(S$7=99,R66,IF(S$7=0,INDEX($E66:$I66,0,S$5),(INDEX($E66:$I66,0,S$7+1)-INDEX($E66:$I66,0,S$7))/(INDEX($E$4:$I$4,0,S$7+1)-INDEX($E$4:$I$4,0,S$7))+R66)))</f>
        <v>0.28876058413481642</v>
      </c>
      <c r="T66" cm="1">
        <f t="array" ref="T66">IF(T$7=-1,U66,IF(T$7=99,S66,IF(T$7=0,INDEX($E66:$I66,0,T$5),(INDEX($E66:$I66,0,T$7+1)-INDEX($E66:$I66,0,T$7))/(INDEX($E$4:$I$4,0,T$7+1)-INDEX($E$4:$I$4,0,T$7))+S66)))</f>
        <v>0.28594086725996709</v>
      </c>
      <c r="U66" cm="1">
        <f t="array" ref="U66">IF(U$7=-1,V66,IF(U$7=99,T66,IF(U$7=0,INDEX($E66:$I66,0,U$5),(INDEX($E66:$I66,0,U$7+1)-INDEX($E66:$I66,0,U$7))/(INDEX($E$4:$I$4,0,U$7+1)-INDEX($E$4:$I$4,0,U$7))+T66)))</f>
        <v>0.28312115038511776</v>
      </c>
      <c r="V66" cm="1">
        <f t="array" ref="V66">IF(V$7=-1,W66,IF(V$7=99,U66,IF(V$7=0,INDEX($E66:$I66,0,V$5),(INDEX($E66:$I66,0,V$7+1)-INDEX($E66:$I66,0,V$7))/(INDEX($E$4:$I$4,0,V$7+1)-INDEX($E$4:$I$4,0,V$7))+U66)))</f>
        <v>0.28030143351026843</v>
      </c>
      <c r="W66" cm="1">
        <f t="array" ref="W66">IF(W$7=-1,X66,IF(W$7=99,V66,IF(W$7=0,INDEX($E66:$I66,0,W$5),(INDEX($E66:$I66,0,W$7+1)-INDEX($E66:$I66,0,W$7))/(INDEX($E$4:$I$4,0,W$7+1)-INDEX($E$4:$I$4,0,W$7))+V66)))</f>
        <v>0.2774817166354191</v>
      </c>
      <c r="X66" cm="1">
        <f t="array" ref="X66">IF(X$7=-1,Y66,IF(X$7=99,W66,IF(X$7=0,INDEX($E66:$I66,0,X$5),(INDEX($E66:$I66,0,X$7+1)-INDEX($E66:$I66,0,X$7))/(INDEX($E$4:$I$4,0,X$7+1)-INDEX($E$4:$I$4,0,X$7))+W66)))</f>
        <v>0.27466199976056976</v>
      </c>
      <c r="Y66" cm="1">
        <f t="array" ref="Y66">IF(Y$7=-1,Z66,IF(Y$7=99,X66,IF(Y$7=0,INDEX($E66:$I66,0,Y$5),(INDEX($E66:$I66,0,Y$7+1)-INDEX($E66:$I66,0,Y$7))/(INDEX($E$4:$I$4,0,Y$7+1)-INDEX($E$4:$I$4,0,Y$7))+X66)))</f>
        <v>0.27184228288572054</v>
      </c>
      <c r="Z66" cm="1">
        <f t="array" ref="Z66">IF(Z$7=-1,AA66,IF(Z$7=99,Y66,IF(Z$7=0,INDEX($E66:$I66,0,Z$5),(INDEX($E66:$I66,0,Z$7+1)-INDEX($E66:$I66,0,Z$7))/(INDEX($E$4:$I$4,0,Z$7+1)-INDEX($E$4:$I$4,0,Z$7))+Y66)))</f>
        <v>0.26771151129959181</v>
      </c>
      <c r="AA66" cm="1">
        <f t="array" ref="AA66">IF(AA$7=-1,AB66,IF(AA$7=99,Z66,IF(AA$7=0,INDEX($E66:$I66,0,AA$5),(INDEX($E66:$I66,0,AA$7+1)-INDEX($E66:$I66,0,AA$7))/(INDEX($E$4:$I$4,0,AA$7+1)-INDEX($E$4:$I$4,0,AA$7))+Z66)))</f>
        <v>0.26358073971346307</v>
      </c>
      <c r="AB66" cm="1">
        <f t="array" ref="AB66">IF(AB$7=-1,AC66,IF(AB$7=99,AA66,IF(AB$7=0,INDEX($E66:$I66,0,AB$5),(INDEX($E66:$I66,0,AB$7+1)-INDEX($E66:$I66,0,AB$7))/(INDEX($E$4:$I$4,0,AB$7+1)-INDEX($E$4:$I$4,0,AB$7))+AA66)))</f>
        <v>0.25944996812733434</v>
      </c>
      <c r="AC66" cm="1">
        <f t="array" ref="AC66">IF(AC$7=-1,AD66,IF(AC$7=99,AB66,IF(AC$7=0,INDEX($E66:$I66,0,AC$5),(INDEX($E66:$I66,0,AC$7+1)-INDEX($E66:$I66,0,AC$7))/(INDEX($E$4:$I$4,0,AC$7+1)-INDEX($E$4:$I$4,0,AC$7))+AB66)))</f>
        <v>0.25531919654120561</v>
      </c>
      <c r="AD66" cm="1">
        <f t="array" ref="AD66">IF(AD$7=-1,AE66,IF(AD$7=99,AC66,IF(AD$7=0,INDEX($E66:$I66,0,AD$5),(INDEX($E66:$I66,0,AD$7+1)-INDEX($E66:$I66,0,AD$7))/(INDEX($E$4:$I$4,0,AD$7+1)-INDEX($E$4:$I$4,0,AD$7))+AC66)))</f>
        <v>0.25118842495507687</v>
      </c>
      <c r="AE66" cm="1">
        <f t="array" ref="AE66">IF(AE$7=-1,AF66,IF(AE$7=99,AD66,IF(AE$7=0,INDEX($E66:$I66,0,AE$5),(INDEX($E66:$I66,0,AE$7+1)-INDEX($E66:$I66,0,AE$7))/(INDEX($E$4:$I$4,0,AE$7+1)-INDEX($E$4:$I$4,0,AE$7))+AD66)))</f>
        <v>0.24705765336894814</v>
      </c>
      <c r="AF66" cm="1">
        <f t="array" ref="AF66">IF(AF$7=-1,AG66,IF(AF$7=99,AE66,IF(AF$7=0,INDEX($E66:$I66,0,AF$5),(INDEX($E66:$I66,0,AF$7+1)-INDEX($E66:$I66,0,AF$7))/(INDEX($E$4:$I$4,0,AF$7+1)-INDEX($E$4:$I$4,0,AF$7))+AE66)))</f>
        <v>0.2429268817828194</v>
      </c>
      <c r="AG66" cm="1">
        <f t="array" ref="AG66">IF(AG$7=-1,AH66,IF(AG$7=99,AF66,IF(AG$7=0,INDEX($E66:$I66,0,AG$5),(INDEX($E66:$I66,0,AG$7+1)-INDEX($E66:$I66,0,AG$7))/(INDEX($E$4:$I$4,0,AG$7+1)-INDEX($E$4:$I$4,0,AG$7))+AF66)))</f>
        <v>0.23879611019669067</v>
      </c>
      <c r="AH66" cm="1">
        <f t="array" ref="AH66">IF(AH$7=-1,AI66,IF(AH$7=99,AG66,IF(AH$7=0,INDEX($E66:$I66,0,AH$5),(INDEX($E66:$I66,0,AH$7+1)-INDEX($E66:$I66,0,AH$7))/(INDEX($E$4:$I$4,0,AH$7+1)-INDEX($E$4:$I$4,0,AH$7))+AG66)))</f>
        <v>0.23466533861056194</v>
      </c>
      <c r="AI66" cm="1">
        <f t="array" ref="AI66">IF(AI$7=-1,AJ66,IF(AI$7=99,AH66,IF(AI$7=0,INDEX($E66:$I66,0,AI$5),(INDEX($E66:$I66,0,AI$7+1)-INDEX($E66:$I66,0,AI$7))/(INDEX($E$4:$I$4,0,AI$7+1)-INDEX($E$4:$I$4,0,AI$7))+AH66)))</f>
        <v>0.23053456702443315</v>
      </c>
      <c r="AJ66" cm="1">
        <f t="array" ref="AJ66">IF(AJ$7=-1,AK66,IF(AJ$7=99,AI66,IF(AJ$7=0,INDEX($E66:$I66,0,AJ$5),(INDEX($E66:$I66,0,AJ$7+1)-INDEX($E66:$I66,0,AJ$7))/(INDEX($E$4:$I$4,0,AJ$7+1)-INDEX($E$4:$I$4,0,AJ$7))+AI66)))</f>
        <v>0.22560794873685844</v>
      </c>
      <c r="AK66" cm="1">
        <f t="array" ref="AK66">IF(AK$7=-1,AL66,IF(AK$7=99,AJ66,IF(AK$7=0,INDEX($E66:$I66,0,AK$5),(INDEX($E66:$I66,0,AK$7+1)-INDEX($E66:$I66,0,AK$7))/(INDEX($E$4:$I$4,0,AK$7+1)-INDEX($E$4:$I$4,0,AK$7))+AJ66)))</f>
        <v>0.18126838414868604</v>
      </c>
      <c r="AL66" cm="1">
        <f t="array" ref="AL66">IF(AL$7=-1,AM66,IF(AL$7=99,AK66,IF(AL$7=0,INDEX($E66:$K66,0,AL$5),(INDEX($E66:$K66,0,AL$7+1)-INDEX($E66:$K66,0,AL$7))/(INDEX($E$4:$K$4,0,AL$7+1)-INDEX($E$4:$K$4,0,AL$7))+AK66)))</f>
        <v>0.15355135114693338</v>
      </c>
      <c r="AM66" cm="1">
        <f t="array" ref="AM66">IF(AM$7=-1,AN66,IF(AM$7=99,AL66,IF(AM$7=0,INDEX($E66:$K66,0,AM$5),(INDEX($E66:$K66,0,AM$7+1)-INDEX($E66:$K66,0,AM$7))/(INDEX($E$4:$K$4,0,AM$7+1)-INDEX($E$4:$K$4,0,AM$7))+AL66)))</f>
        <v>0.13564844497910011</v>
      </c>
    </row>
    <row r="67" spans="1:39" ht="15">
      <c r="A67" t="s">
        <v>16</v>
      </c>
      <c r="C67" t="str">
        <f t="shared" si="25"/>
        <v>Space Heating</v>
      </c>
      <c r="E67" s="9">
        <f t="shared" si="26"/>
        <v>0.19619408393743723</v>
      </c>
      <c r="F67" s="9">
        <f t="shared" si="26"/>
        <v>0.20003945163421366</v>
      </c>
      <c r="G67" s="9">
        <f t="shared" si="26"/>
        <v>0.17184228288572051</v>
      </c>
      <c r="H67" s="9">
        <f t="shared" si="26"/>
        <v>0.13053456702443317</v>
      </c>
      <c r="I67" s="9">
        <f t="shared" si="26"/>
        <v>0.081268384148686118</v>
      </c>
      <c r="J67" s="9">
        <f t="shared" si="31" ref="J67:K67">FORECAST(J$45,$E58:$G58,$E$53:$G$53)</f>
        <v>0.05355135114693349</v>
      </c>
      <c r="K67" s="9">
        <f t="shared" si="31"/>
        <v>0.035648444979100247</v>
      </c>
      <c r="L67" cm="1">
        <f t="array" ref="L67">IF(L$7=-1,M67,IF(L$7=99,#REF!,IF(L$7=0,INDEX($E67:$I67,0,L$5),(INDEX($E67:$I67,0,L$7+1)-INDEX($E67:$I67,0,L$7))/(INDEX($E$4:$I$4,0,L$7+1)-INDEX($E$4:$I$4,0,L$7))+#REF!)))</f>
        <v>0.19619408393743723</v>
      </c>
      <c r="M67" cm="1">
        <f t="array" ref="M67">IF(M$7=-1,N67,IF(M$7=99,L67,IF(M$7=0,INDEX($E67:$I67,0,M$5),(INDEX($E67:$I67,0,M$7+1)-INDEX($E67:$I67,0,M$7))/(INDEX($E$4:$I$4,0,M$7+1)-INDEX($E$4:$I$4,0,M$7))+L67)))</f>
        <v>0.19747587316969603</v>
      </c>
      <c r="N67" cm="1">
        <f t="array" ref="N67">IF(N$7=-1,O67,IF(N$7=99,M67,IF(N$7=0,INDEX($E67:$I67,0,N$5),(INDEX($E67:$I67,0,N$7+1)-INDEX($E67:$I67,0,N$7))/(INDEX($E$4:$I$4,0,N$7+1)-INDEX($E$4:$I$4,0,N$7))+M67)))</f>
        <v>0.19875766240195483</v>
      </c>
      <c r="O67" cm="1">
        <f t="array" ref="O67">IF(O$7=-1,P67,IF(O$7=99,N67,IF(O$7=0,INDEX($E67:$I67,0,O$5),(INDEX($E67:$I67,0,O$7+1)-INDEX($E67:$I67,0,O$7))/(INDEX($E$4:$I$4,0,O$7+1)-INDEX($E$4:$I$4,0,O$7))+N67)))</f>
        <v>0.20003945163421366</v>
      </c>
      <c r="P67" cm="1">
        <f t="array" ref="P67">IF(P$7=-1,Q67,IF(P$7=99,O67,IF(P$7=0,INDEX($E67:$I67,0,P$5),(INDEX($E67:$I67,0,P$7+1)-INDEX($E67:$I67,0,P$7))/(INDEX($E$4:$I$4,0,P$7+1)-INDEX($E$4:$I$4,0,P$7))+O67)))</f>
        <v>0.19721973475936436</v>
      </c>
      <c r="Q67" cm="1">
        <f t="array" ref="Q67">IF(Q$7=-1,R67,IF(Q$7=99,P67,IF(Q$7=0,INDEX($E67:$I67,0,Q$5),(INDEX($E67:$I67,0,Q$7+1)-INDEX($E67:$I67,0,Q$7))/(INDEX($E$4:$I$4,0,Q$7+1)-INDEX($E$4:$I$4,0,Q$7))+P67)))</f>
        <v>0.19440001788451505</v>
      </c>
      <c r="R67" cm="1">
        <f t="array" ref="R67">IF(R$7=-1,S67,IF(R$7=99,Q67,IF(R$7=0,INDEX($E67:$I67,0,R$5),(INDEX($E67:$I67,0,R$7+1)-INDEX($E67:$I67,0,R$7))/(INDEX($E$4:$I$4,0,R$7+1)-INDEX($E$4:$I$4,0,R$7))+Q67)))</f>
        <v>0.19158030100966575</v>
      </c>
      <c r="S67" cm="1">
        <f t="array" ref="S67">IF(S$7=-1,T67,IF(S$7=99,R67,IF(S$7=0,INDEX($E67:$I67,0,S$5),(INDEX($E67:$I67,0,S$7+1)-INDEX($E67:$I67,0,S$7))/(INDEX($E$4:$I$4,0,S$7+1)-INDEX($E$4:$I$4,0,S$7))+R67)))</f>
        <v>0.18876058413481644</v>
      </c>
      <c r="T67" cm="1">
        <f t="array" ref="T67">IF(T$7=-1,U67,IF(T$7=99,S67,IF(T$7=0,INDEX($E67:$I67,0,T$5),(INDEX($E67:$I67,0,T$7+1)-INDEX($E67:$I67,0,T$7))/(INDEX($E$4:$I$4,0,T$7+1)-INDEX($E$4:$I$4,0,T$7))+S67)))</f>
        <v>0.18594086725996714</v>
      </c>
      <c r="U67" cm="1">
        <f t="array" ref="U67">IF(U$7=-1,V67,IF(U$7=99,T67,IF(U$7=0,INDEX($E67:$I67,0,U$5),(INDEX($E67:$I67,0,U$7+1)-INDEX($E67:$I67,0,U$7))/(INDEX($E$4:$I$4,0,U$7+1)-INDEX($E$4:$I$4,0,U$7))+T67)))</f>
        <v>0.18312115038511784</v>
      </c>
      <c r="V67" cm="1">
        <f t="array" ref="V67">IF(V$7=-1,W67,IF(V$7=99,U67,IF(V$7=0,INDEX($E67:$I67,0,V$5),(INDEX($E67:$I67,0,V$7+1)-INDEX($E67:$I67,0,V$7))/(INDEX($E$4:$I$4,0,V$7+1)-INDEX($E$4:$I$4,0,V$7))+U67)))</f>
        <v>0.18030143351026853</v>
      </c>
      <c r="W67" cm="1">
        <f t="array" ref="W67">IF(W$7=-1,X67,IF(W$7=99,V67,IF(W$7=0,INDEX($E67:$I67,0,W$5),(INDEX($E67:$I67,0,W$7+1)-INDEX($E67:$I67,0,W$7))/(INDEX($E$4:$I$4,0,W$7+1)-INDEX($E$4:$I$4,0,W$7))+V67)))</f>
        <v>0.17748171663541923</v>
      </c>
      <c r="X67" cm="1">
        <f t="array" ref="X67">IF(X$7=-1,Y67,IF(X$7=99,W67,IF(X$7=0,INDEX($E67:$I67,0,X$5),(INDEX($E67:$I67,0,X$7+1)-INDEX($E67:$I67,0,X$7))/(INDEX($E$4:$I$4,0,X$7+1)-INDEX($E$4:$I$4,0,X$7))+W67)))</f>
        <v>0.17466199976056992</v>
      </c>
      <c r="Y67" cm="1">
        <f t="array" ref="Y67">IF(Y$7=-1,Z67,IF(Y$7=99,X67,IF(Y$7=0,INDEX($E67:$I67,0,Y$5),(INDEX($E67:$I67,0,Y$7+1)-INDEX($E67:$I67,0,Y$7))/(INDEX($E$4:$I$4,0,Y$7+1)-INDEX($E$4:$I$4,0,Y$7))+X67)))</f>
        <v>0.17184228288572051</v>
      </c>
      <c r="Z67" cm="1">
        <f t="array" ref="Z67">IF(Z$7=-1,AA67,IF(Z$7=99,Y67,IF(Z$7=0,INDEX($E67:$I67,0,Z$5),(INDEX($E67:$I67,0,Z$7+1)-INDEX($E67:$I67,0,Z$7))/(INDEX($E$4:$I$4,0,Z$7+1)-INDEX($E$4:$I$4,0,Z$7))+Y67)))</f>
        <v>0.16771151129959178</v>
      </c>
      <c r="AA67" cm="1">
        <f t="array" ref="AA67">IF(AA$7=-1,AB67,IF(AA$7=99,Z67,IF(AA$7=0,INDEX($E67:$I67,0,AA$5),(INDEX($E67:$I67,0,AA$7+1)-INDEX($E67:$I67,0,AA$7))/(INDEX($E$4:$I$4,0,AA$7+1)-INDEX($E$4:$I$4,0,AA$7))+Z67)))</f>
        <v>0.16358073971346304</v>
      </c>
      <c r="AB67" cm="1">
        <f t="array" ref="AB67">IF(AB$7=-1,AC67,IF(AB$7=99,AA67,IF(AB$7=0,INDEX($E67:$I67,0,AB$5),(INDEX($E67:$I67,0,AB$7+1)-INDEX($E67:$I67,0,AB$7))/(INDEX($E$4:$I$4,0,AB$7+1)-INDEX($E$4:$I$4,0,AB$7))+AA67)))</f>
        <v>0.15944996812733431</v>
      </c>
      <c r="AC67" cm="1">
        <f t="array" ref="AC67">IF(AC$7=-1,AD67,IF(AC$7=99,AB67,IF(AC$7=0,INDEX($E67:$I67,0,AC$5),(INDEX($E67:$I67,0,AC$7+1)-INDEX($E67:$I67,0,AC$7))/(INDEX($E$4:$I$4,0,AC$7+1)-INDEX($E$4:$I$4,0,AC$7))+AB67)))</f>
        <v>0.15531919654120557</v>
      </c>
      <c r="AD67" cm="1">
        <f t="array" ref="AD67">IF(AD$7=-1,AE67,IF(AD$7=99,AC67,IF(AD$7=0,INDEX($E67:$I67,0,AD$5),(INDEX($E67:$I67,0,AD$7+1)-INDEX($E67:$I67,0,AD$7))/(INDEX($E$4:$I$4,0,AD$7+1)-INDEX($E$4:$I$4,0,AD$7))+AC67)))</f>
        <v>0.15118842495507684</v>
      </c>
      <c r="AE67" cm="1">
        <f t="array" ref="AE67">IF(AE$7=-1,AF67,IF(AE$7=99,AD67,IF(AE$7=0,INDEX($E67:$I67,0,AE$5),(INDEX($E67:$I67,0,AE$7+1)-INDEX($E67:$I67,0,AE$7))/(INDEX($E$4:$I$4,0,AE$7+1)-INDEX($E$4:$I$4,0,AE$7))+AD67)))</f>
        <v>0.1470576533689481</v>
      </c>
      <c r="AF67" cm="1">
        <f t="array" ref="AF67">IF(AF$7=-1,AG67,IF(AF$7=99,AE67,IF(AF$7=0,INDEX($E67:$I67,0,AF$5),(INDEX($E67:$I67,0,AF$7+1)-INDEX($E67:$I67,0,AF$7))/(INDEX($E$4:$I$4,0,AF$7+1)-INDEX($E$4:$I$4,0,AF$7))+AE67)))</f>
        <v>0.14292688178281937</v>
      </c>
      <c r="AG67" cm="1">
        <f t="array" ref="AG67">IF(AG$7=-1,AH67,IF(AG$7=99,AF67,IF(AG$7=0,INDEX($E67:$I67,0,AG$5),(INDEX($E67:$I67,0,AG$7+1)-INDEX($E67:$I67,0,AG$7))/(INDEX($E$4:$I$4,0,AG$7+1)-INDEX($E$4:$I$4,0,AG$7))+AF67)))</f>
        <v>0.13879611019669064</v>
      </c>
      <c r="AH67" cm="1">
        <f t="array" ref="AH67">IF(AH$7=-1,AI67,IF(AH$7=99,AG67,IF(AH$7=0,INDEX($E67:$I67,0,AH$5),(INDEX($E67:$I67,0,AH$7+1)-INDEX($E67:$I67,0,AH$7))/(INDEX($E$4:$I$4,0,AH$7+1)-INDEX($E$4:$I$4,0,AH$7))+AG67)))</f>
        <v>0.1346653386105619</v>
      </c>
      <c r="AI67" cm="1">
        <f t="array" ref="AI67">IF(AI$7=-1,AJ67,IF(AI$7=99,AH67,IF(AI$7=0,INDEX($E67:$I67,0,AI$5),(INDEX($E67:$I67,0,AI$7+1)-INDEX($E67:$I67,0,AI$7))/(INDEX($E$4:$I$4,0,AI$7+1)-INDEX($E$4:$I$4,0,AI$7))+AH67)))</f>
        <v>0.13053456702443317</v>
      </c>
      <c r="AJ67" cm="1">
        <f t="array" ref="AJ67">IF(AJ$7=-1,AK67,IF(AJ$7=99,AI67,IF(AJ$7=0,INDEX($E67:$I67,0,AJ$5),(INDEX($E67:$I67,0,AJ$7+1)-INDEX($E67:$I67,0,AJ$7))/(INDEX($E$4:$I$4,0,AJ$7+1)-INDEX($E$4:$I$4,0,AJ$7))+AI67)))</f>
        <v>0.12560794873685846</v>
      </c>
      <c r="AK67" cm="1">
        <f t="array" ref="AK67">IF(AK$7=-1,AL67,IF(AK$7=99,AJ67,IF(AK$7=0,INDEX($E67:$I67,0,AK$5),(INDEX($E67:$I67,0,AK$7+1)-INDEX($E67:$I67,0,AK$7))/(INDEX($E$4:$I$4,0,AK$7+1)-INDEX($E$4:$I$4,0,AK$7))+AJ67)))</f>
        <v>0.081268384148686118</v>
      </c>
      <c r="AL67" cm="1">
        <f t="array" ref="AL67">IF(AL$7=-1,AM67,IF(AL$7=99,AK67,IF(AL$7=0,INDEX($E67:$K67,0,AL$5),(INDEX($E67:$K67,0,AL$7+1)-INDEX($E67:$K67,0,AL$7))/(INDEX($E$4:$K$4,0,AL$7+1)-INDEX($E$4:$K$4,0,AL$7))+AK67)))</f>
        <v>0.05355135114693349</v>
      </c>
      <c r="AM67" cm="1">
        <f t="array" ref="AM67">IF(AM$7=-1,AN67,IF(AM$7=99,AL67,IF(AM$7=0,INDEX($E67:$K67,0,AM$5),(INDEX($E67:$K67,0,AM$7+1)-INDEX($E67:$K67,0,AM$7))/(INDEX($E$4:$K$4,0,AM$7+1)-INDEX($E$4:$K$4,0,AM$7))+AL67)))</f>
        <v>0.035648444979100247</v>
      </c>
    </row>
    <row r="68" spans="1:39" ht="15">
      <c r="A68" t="s">
        <v>16</v>
      </c>
      <c r="C68" t="str">
        <f t="shared" si="25"/>
        <v>Water Heating Geyser</v>
      </c>
      <c r="E68" s="9">
        <f t="shared" si="26"/>
        <v>0.49238816787487444</v>
      </c>
      <c r="F68" s="9">
        <f t="shared" si="26"/>
        <v>0.5000789032684273</v>
      </c>
      <c r="G68" s="9">
        <f t="shared" si="26"/>
        <v>0.443684565771441</v>
      </c>
      <c r="H68" s="9">
        <f t="shared" si="26"/>
        <v>0.36106913404886631</v>
      </c>
      <c r="I68" s="9">
        <f t="shared" si="26"/>
        <v>0.26253676829737221</v>
      </c>
      <c r="J68" s="9">
        <f t="shared" si="32" ref="J68:K68">FORECAST(J$45,$E59:$G59,$E$53:$G$53)</f>
        <v>0.20710270229386696</v>
      </c>
      <c r="K68" s="9">
        <f t="shared" si="32"/>
        <v>0.17129688995820047</v>
      </c>
      <c r="L68" cm="1">
        <f t="array" ref="L68">IF(L$7=-1,M68,IF(L$7=99,#REF!,IF(L$7=0,INDEX($E68:$I68,0,L$5),(INDEX($E68:$I68,0,L$7+1)-INDEX($E68:$I68,0,L$7))/(INDEX($E$4:$I$4,0,L$7+1)-INDEX($E$4:$I$4,0,L$7))+#REF!)))</f>
        <v>0.49238816787487444</v>
      </c>
      <c r="M68" cm="1">
        <f t="array" ref="M68">IF(M$7=-1,N68,IF(M$7=99,L68,IF(M$7=0,INDEX($E68:$I68,0,M$5),(INDEX($E68:$I68,0,M$7+1)-INDEX($E68:$I68,0,M$7))/(INDEX($E$4:$I$4,0,M$7+1)-INDEX($E$4:$I$4,0,M$7))+L68)))</f>
        <v>0.49495174633939204</v>
      </c>
      <c r="N68" cm="1">
        <f t="array" ref="N68">IF(N$7=-1,O68,IF(N$7=99,M68,IF(N$7=0,INDEX($E68:$I68,0,N$5),(INDEX($E68:$I68,0,N$7+1)-INDEX($E68:$I68,0,N$7))/(INDEX($E$4:$I$4,0,N$7+1)-INDEX($E$4:$I$4,0,N$7))+M68)))</f>
        <v>0.49751532480390964</v>
      </c>
      <c r="O68" cm="1">
        <f t="array" ref="O68">IF(O$7=-1,P68,IF(O$7=99,N68,IF(O$7=0,INDEX($E68:$I68,0,O$5),(INDEX($E68:$I68,0,O$7+1)-INDEX($E68:$I68,0,O$7))/(INDEX($E$4:$I$4,0,O$7+1)-INDEX($E$4:$I$4,0,O$7))+N68)))</f>
        <v>0.5000789032684273</v>
      </c>
      <c r="P68" cm="1">
        <f t="array" ref="P68">IF(P$7=-1,Q68,IF(P$7=99,O68,IF(P$7=0,INDEX($E68:$I68,0,P$5),(INDEX($E68:$I68,0,P$7+1)-INDEX($E68:$I68,0,P$7))/(INDEX($E$4:$I$4,0,P$7+1)-INDEX($E$4:$I$4,0,P$7))+O68)))</f>
        <v>0.49443946951872869</v>
      </c>
      <c r="Q68" cm="1">
        <f t="array" ref="Q68">IF(Q$7=-1,R68,IF(Q$7=99,P68,IF(Q$7=0,INDEX($E68:$I68,0,Q$5),(INDEX($E68:$I68,0,Q$7+1)-INDEX($E68:$I68,0,Q$7))/(INDEX($E$4:$I$4,0,Q$7+1)-INDEX($E$4:$I$4,0,Q$7))+P68)))</f>
        <v>0.48880003576903008</v>
      </c>
      <c r="R68" cm="1">
        <f t="array" ref="R68">IF(R$7=-1,S68,IF(R$7=99,Q68,IF(R$7=0,INDEX($E68:$I68,0,R$5),(INDEX($E68:$I68,0,R$7+1)-INDEX($E68:$I68,0,R$7))/(INDEX($E$4:$I$4,0,R$7+1)-INDEX($E$4:$I$4,0,R$7))+Q68)))</f>
        <v>0.48316060201933148</v>
      </c>
      <c r="S68" cm="1">
        <f t="array" ref="S68">IF(S$7=-1,T68,IF(S$7=99,R68,IF(S$7=0,INDEX($E68:$I68,0,S$5),(INDEX($E68:$I68,0,S$7+1)-INDEX($E68:$I68,0,S$7))/(INDEX($E$4:$I$4,0,S$7+1)-INDEX($E$4:$I$4,0,S$7))+R68)))</f>
        <v>0.47752116826963287</v>
      </c>
      <c r="T68" cm="1">
        <f t="array" ref="T68">IF(T$7=-1,U68,IF(T$7=99,S68,IF(T$7=0,INDEX($E68:$I68,0,T$5),(INDEX($E68:$I68,0,T$7+1)-INDEX($E68:$I68,0,T$7))/(INDEX($E$4:$I$4,0,T$7+1)-INDEX($E$4:$I$4,0,T$7))+S68)))</f>
        <v>0.47188173451993426</v>
      </c>
      <c r="U68" cm="1">
        <f t="array" ref="U68">IF(U$7=-1,V68,IF(U$7=99,T68,IF(U$7=0,INDEX($E68:$I68,0,U$5),(INDEX($E68:$I68,0,U$7+1)-INDEX($E68:$I68,0,U$7))/(INDEX($E$4:$I$4,0,U$7+1)-INDEX($E$4:$I$4,0,U$7))+T68)))</f>
        <v>0.46624230077023565</v>
      </c>
      <c r="V68" cm="1">
        <f t="array" ref="V68">IF(V$7=-1,W68,IF(V$7=99,U68,IF(V$7=0,INDEX($E68:$I68,0,V$5),(INDEX($E68:$I68,0,V$7+1)-INDEX($E68:$I68,0,V$7))/(INDEX($E$4:$I$4,0,V$7+1)-INDEX($E$4:$I$4,0,V$7))+U68)))</f>
        <v>0.46060286702053704</v>
      </c>
      <c r="W68" cm="1">
        <f t="array" ref="W68">IF(W$7=-1,X68,IF(W$7=99,V68,IF(W$7=0,INDEX($E68:$I68,0,W$5),(INDEX($E68:$I68,0,W$7+1)-INDEX($E68:$I68,0,W$7))/(INDEX($E$4:$I$4,0,W$7+1)-INDEX($E$4:$I$4,0,W$7))+V68)))</f>
        <v>0.45496343327083844</v>
      </c>
      <c r="X68" cm="1">
        <f t="array" ref="X68">IF(X$7=-1,Y68,IF(X$7=99,W68,IF(X$7=0,INDEX($E68:$I68,0,X$5),(INDEX($E68:$I68,0,X$7+1)-INDEX($E68:$I68,0,X$7))/(INDEX($E$4:$I$4,0,X$7+1)-INDEX($E$4:$I$4,0,X$7))+W68)))</f>
        <v>0.44932399952113983</v>
      </c>
      <c r="Y68" cm="1">
        <f t="array" ref="Y68">IF(Y$7=-1,Z68,IF(Y$7=99,X68,IF(Y$7=0,INDEX($E68:$I68,0,Y$5),(INDEX($E68:$I68,0,Y$7+1)-INDEX($E68:$I68,0,Y$7))/(INDEX($E$4:$I$4,0,Y$7+1)-INDEX($E$4:$I$4,0,Y$7))+X68)))</f>
        <v>0.443684565771441</v>
      </c>
      <c r="Z68" cm="1">
        <f t="array" ref="Z68">IF(Z$7=-1,AA68,IF(Z$7=99,Y68,IF(Z$7=0,INDEX($E68:$I68,0,Z$5),(INDEX($E68:$I68,0,Z$7+1)-INDEX($E68:$I68,0,Z$7))/(INDEX($E$4:$I$4,0,Z$7+1)-INDEX($E$4:$I$4,0,Z$7))+Y68)))</f>
        <v>0.43542302259918353</v>
      </c>
      <c r="AA68" cm="1">
        <f t="array" ref="AA68">IF(AA$7=-1,AB68,IF(AA$7=99,Z68,IF(AA$7=0,INDEX($E68:$I68,0,AA$5),(INDEX($E68:$I68,0,AA$7+1)-INDEX($E68:$I68,0,AA$7))/(INDEX($E$4:$I$4,0,AA$7+1)-INDEX($E$4:$I$4,0,AA$7))+Z68)))</f>
        <v>0.42716147942692606</v>
      </c>
      <c r="AB68" cm="1">
        <f t="array" ref="AB68">IF(AB$7=-1,AC68,IF(AB$7=99,AA68,IF(AB$7=0,INDEX($E68:$I68,0,AB$5),(INDEX($E68:$I68,0,AB$7+1)-INDEX($E68:$I68,0,AB$7))/(INDEX($E$4:$I$4,0,AB$7+1)-INDEX($E$4:$I$4,0,AB$7))+AA68)))</f>
        <v>0.41889993625466859</v>
      </c>
      <c r="AC68" cm="1">
        <f t="array" ref="AC68">IF(AC$7=-1,AD68,IF(AC$7=99,AB68,IF(AC$7=0,INDEX($E68:$I68,0,AC$5),(INDEX($E68:$I68,0,AC$7+1)-INDEX($E68:$I68,0,AC$7))/(INDEX($E$4:$I$4,0,AC$7+1)-INDEX($E$4:$I$4,0,AC$7))+AB68)))</f>
        <v>0.41063839308241112</v>
      </c>
      <c r="AD68" cm="1">
        <f t="array" ref="AD68">IF(AD$7=-1,AE68,IF(AD$7=99,AC68,IF(AD$7=0,INDEX($E68:$I68,0,AD$5),(INDEX($E68:$I68,0,AD$7+1)-INDEX($E68:$I68,0,AD$7))/(INDEX($E$4:$I$4,0,AD$7+1)-INDEX($E$4:$I$4,0,AD$7))+AC68)))</f>
        <v>0.40237684991015366</v>
      </c>
      <c r="AE68" cm="1">
        <f t="array" ref="AE68">IF(AE$7=-1,AF68,IF(AE$7=99,AD68,IF(AE$7=0,INDEX($E68:$I68,0,AE$5),(INDEX($E68:$I68,0,AE$7+1)-INDEX($E68:$I68,0,AE$7))/(INDEX($E$4:$I$4,0,AE$7+1)-INDEX($E$4:$I$4,0,AE$7))+AD68)))</f>
        <v>0.39411530673789619</v>
      </c>
      <c r="AF68" cm="1">
        <f t="array" ref="AF68">IF(AF$7=-1,AG68,IF(AF$7=99,AE68,IF(AF$7=0,INDEX($E68:$I68,0,AF$5),(INDEX($E68:$I68,0,AF$7+1)-INDEX($E68:$I68,0,AF$7))/(INDEX($E$4:$I$4,0,AF$7+1)-INDEX($E$4:$I$4,0,AF$7))+AE68)))</f>
        <v>0.38585376356563872</v>
      </c>
      <c r="AG68" cm="1">
        <f t="array" ref="AG68">IF(AG$7=-1,AH68,IF(AG$7=99,AF68,IF(AG$7=0,INDEX($E68:$I68,0,AG$5),(INDEX($E68:$I68,0,AG$7+1)-INDEX($E68:$I68,0,AG$7))/(INDEX($E$4:$I$4,0,AG$7+1)-INDEX($E$4:$I$4,0,AG$7))+AF68)))</f>
        <v>0.37759222039338125</v>
      </c>
      <c r="AH68" cm="1">
        <f t="array" ref="AH68">IF(AH$7=-1,AI68,IF(AH$7=99,AG68,IF(AH$7=0,INDEX($E68:$I68,0,AH$5),(INDEX($E68:$I68,0,AH$7+1)-INDEX($E68:$I68,0,AH$7))/(INDEX($E$4:$I$4,0,AH$7+1)-INDEX($E$4:$I$4,0,AH$7))+AG68)))</f>
        <v>0.36933067722112378</v>
      </c>
      <c r="AI68" cm="1">
        <f t="array" ref="AI68">IF(AI$7=-1,AJ68,IF(AI$7=99,AH68,IF(AI$7=0,INDEX($E68:$I68,0,AI$5),(INDEX($E68:$I68,0,AI$7+1)-INDEX($E68:$I68,0,AI$7))/(INDEX($E$4:$I$4,0,AI$7+1)-INDEX($E$4:$I$4,0,AI$7))+AH68)))</f>
        <v>0.36106913404886631</v>
      </c>
      <c r="AJ68" cm="1">
        <f t="array" ref="AJ68">IF(AJ$7=-1,AK68,IF(AJ$7=99,AI68,IF(AJ$7=0,INDEX($E68:$I68,0,AJ$5),(INDEX($E68:$I68,0,AJ$7+1)-INDEX($E68:$I68,0,AJ$7))/(INDEX($E$4:$I$4,0,AJ$7+1)-INDEX($E$4:$I$4,0,AJ$7))+AI68)))</f>
        <v>0.3512158974737169</v>
      </c>
      <c r="AK68" cm="1">
        <f t="array" ref="AK68">IF(AK$7=-1,AL68,IF(AK$7=99,AJ68,IF(AK$7=0,INDEX($E68:$I68,0,AK$5),(INDEX($E68:$I68,0,AK$7+1)-INDEX($E68:$I68,0,AK$7))/(INDEX($E$4:$I$4,0,AK$7+1)-INDEX($E$4:$I$4,0,AK$7))+AJ68)))</f>
        <v>0.26253676829737221</v>
      </c>
      <c r="AL68" cm="1">
        <f t="array" ref="AL68">IF(AL$7=-1,AM68,IF(AL$7=99,AK68,IF(AL$7=0,INDEX($E68:$K68,0,AL$5),(INDEX($E68:$K68,0,AL$7+1)-INDEX($E68:$K68,0,AL$7))/(INDEX($E$4:$K$4,0,AL$7+1)-INDEX($E$4:$K$4,0,AL$7))+AK68)))</f>
        <v>0.20710270229386696</v>
      </c>
      <c r="AM68" cm="1">
        <f t="array" ref="AM68">IF(AM$7=-1,AN68,IF(AM$7=99,AL68,IF(AM$7=0,INDEX($E68:$K68,0,AM$5),(INDEX($E68:$K68,0,AM$7+1)-INDEX($E68:$K68,0,AM$7))/(INDEX($E$4:$K$4,0,AM$7+1)-INDEX($E$4:$K$4,0,AM$7))+AL68)))</f>
        <v>0.17129688995820047</v>
      </c>
    </row>
    <row r="69" spans="1:39" ht="15">
      <c r="A69" t="s">
        <v>16</v>
      </c>
      <c r="C69" t="str">
        <f t="shared" si="25"/>
        <v>Water Heating</v>
      </c>
      <c r="E69" s="9">
        <f t="shared" si="26"/>
        <v>0</v>
      </c>
      <c r="F69" s="9">
        <f t="shared" si="26"/>
        <v>0</v>
      </c>
      <c r="G69" s="9">
        <f t="shared" si="26"/>
        <v>0</v>
      </c>
      <c r="H69" s="9">
        <f t="shared" si="26"/>
        <v>0</v>
      </c>
      <c r="I69" s="9">
        <f t="shared" si="26"/>
        <v>0</v>
      </c>
      <c r="J69" s="9">
        <f t="shared" si="33" ref="J69:K69">FORECAST(J$45,$E60:$G60,$E$53:$G$53)</f>
        <v>0</v>
      </c>
      <c r="K69" s="9">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1" ht="15">
      <c r="A70" t="s">
        <v>16</v>
      </c>
    </row>
    <row r="71" spans="1:11" ht="15">
      <c r="A71" t="s">
        <v>16</v>
      </c>
      <c r="C71" s="178" t="s">
        <v>529</v>
      </c>
      <c r="D71" s="179" t="s">
        <v>530</v>
      </c>
      <c r="E71" s="180"/>
      <c r="F71" s="180"/>
      <c r="G71" s="180"/>
      <c r="H71" s="180"/>
      <c r="I71" s="180"/>
      <c r="J71" s="180"/>
      <c r="K71" s="180"/>
    </row>
    <row r="72" spans="1:11" ht="15">
      <c r="A72" t="s">
        <v>16</v>
      </c>
      <c r="E72" s="9"/>
      <c r="F72" s="9"/>
      <c r="G72" s="9"/>
      <c r="H72" s="9"/>
      <c r="I72" s="9"/>
      <c r="J72" s="9"/>
      <c r="K72" s="9"/>
    </row>
    <row r="73" spans="1:39" ht="15">
      <c r="A73" t="s">
        <v>16</v>
      </c>
      <c r="E73" s="9"/>
      <c r="F73" s="9"/>
      <c r="G73" s="9"/>
      <c r="H73" s="9"/>
      <c r="I73" s="9"/>
      <c r="J73" s="9"/>
      <c r="K73" s="9"/>
      <c r="L73">
        <f t="shared" si="34" ref="L73:AM73">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ht="15">
      <c r="A74" t="s">
        <v>16</v>
      </c>
      <c r="C74" t="s">
        <v>531</v>
      </c>
      <c r="E74" s="9"/>
      <c r="F74" s="9"/>
      <c r="G74" s="9"/>
      <c r="H74" s="9"/>
      <c r="I74" s="9"/>
      <c r="J74" s="9"/>
      <c r="K74" s="9"/>
      <c r="L74" s="9">
        <f t="shared" si="35" ref="L74:AM74">L102+L109+L116</f>
        <v>24.154971024725953</v>
      </c>
      <c r="M74" s="9">
        <f t="shared" ca="1" si="35"/>
        <v>24.589643362482196</v>
      </c>
      <c r="N74" s="9">
        <f t="shared" ca="1" si="35"/>
        <v>25.024586855413357</v>
      </c>
      <c r="O74" s="9">
        <f t="shared" ca="1" si="35"/>
        <v>25.077460822404735</v>
      </c>
      <c r="P74" s="9">
        <f t="shared" ca="1" si="35"/>
        <v>25.145521115040662</v>
      </c>
      <c r="Q74" s="9">
        <f t="shared" ca="1" si="35"/>
        <v>25.546341548596107</v>
      </c>
      <c r="R74" s="9">
        <f t="shared" ca="1" si="35"/>
        <v>25.83421021409205</v>
      </c>
      <c r="S74" s="9">
        <f t="shared" ca="1" si="35"/>
        <v>26.132507700017069</v>
      </c>
      <c r="T74" s="9">
        <f t="shared" ca="1" si="35"/>
        <v>26.450619763853364</v>
      </c>
      <c r="U74" s="9">
        <f t="shared" ca="1" si="35"/>
        <v>26.746515921084605</v>
      </c>
      <c r="V74" s="9">
        <f t="shared" ca="1" si="35"/>
        <v>27.029236434592917</v>
      </c>
      <c r="W74" s="9">
        <f t="shared" ca="1" si="35"/>
        <v>27.344815710657027</v>
      </c>
      <c r="X74" s="9">
        <f t="shared" ca="1" si="35"/>
        <v>27.649898163648217</v>
      </c>
      <c r="Y74" s="9">
        <f t="shared" ca="1" si="35"/>
        <v>27.951163875897151</v>
      </c>
      <c r="Z74" s="9">
        <f t="shared" ca="1" si="35"/>
        <v>28.249836005312034</v>
      </c>
      <c r="AA74" s="9">
        <f t="shared" ca="1" si="35"/>
        <v>28.542288245880215</v>
      </c>
      <c r="AB74" s="9">
        <f t="shared" ca="1" si="35"/>
        <v>28.828916871676796</v>
      </c>
      <c r="AC74" s="9">
        <f t="shared" ca="1" si="35"/>
        <v>29.110777484902908</v>
      </c>
      <c r="AD74" s="9">
        <f t="shared" ca="1" si="35"/>
        <v>29.38662327404867</v>
      </c>
      <c r="AE74" s="9">
        <f t="shared" ca="1" si="35"/>
        <v>29.652893912084814</v>
      </c>
      <c r="AF74" s="9">
        <f t="shared" ca="1" si="35"/>
        <v>29.915002782800002</v>
      </c>
      <c r="AG74" s="9">
        <f t="shared" ca="1" si="35"/>
        <v>30.171496315058128</v>
      </c>
      <c r="AH74" s="9">
        <f t="shared" ca="1" si="35"/>
        <v>30.42091605218279</v>
      </c>
      <c r="AI74" s="9">
        <f t="shared" ca="1" si="35"/>
        <v>30.666809200429199</v>
      </c>
      <c r="AJ74" s="9">
        <f t="shared" ca="1" si="35"/>
        <v>31.785674116881641</v>
      </c>
      <c r="AK74" s="9">
        <f t="shared" ca="1" si="35"/>
        <v>32.71193242812901</v>
      </c>
      <c r="AL74" s="9">
        <f t="shared" ca="1" si="35"/>
        <v>33.387019921006726</v>
      </c>
      <c r="AM74" s="9">
        <f t="shared" ca="1" si="35"/>
        <v>34.007280756837432</v>
      </c>
    </row>
    <row r="75" spans="1:39" ht="15">
      <c r="A75" t="s">
        <v>16</v>
      </c>
      <c r="C75" t="s">
        <v>532</v>
      </c>
      <c r="D75" s="9" t="s">
        <v>471</v>
      </c>
      <c r="E75" s="181">
        <f>IF(E78=1,0.2,IF(E78=2,0.13,IF(E78=3,0.2,0.2)))</f>
        <v>0.20000000000000001</v>
      </c>
      <c r="F75" s="9"/>
      <c r="G75" s="9"/>
      <c r="H75" s="9"/>
      <c r="I75" s="9"/>
      <c r="J75" s="9"/>
      <c r="K75" s="9"/>
      <c r="L75" s="68">
        <v>0</v>
      </c>
      <c r="M75" s="68">
        <v>0</v>
      </c>
      <c r="N75" s="68">
        <v>0</v>
      </c>
      <c r="O75" s="68">
        <v>0</v>
      </c>
      <c r="P75" s="68">
        <f>(($Y$75-$O$75)/($Y$73-$O$73))*(P$73-$O$73)</f>
        <v>0.02</v>
      </c>
      <c r="Q75" s="68">
        <f t="shared" si="36" ref="Q75:X75">(($Y$75-$O$75)/($Y$73-$O$73))*(Q$73-$O$73)</f>
        <v>0.040000000000000001</v>
      </c>
      <c r="R75" s="68">
        <f t="shared" si="36"/>
        <v>0.059999999999999998</v>
      </c>
      <c r="S75" s="68">
        <f t="shared" si="36"/>
        <v>0.080000000000000002</v>
      </c>
      <c r="T75" s="50">
        <f t="shared" si="36"/>
        <v>0.10000000000000001</v>
      </c>
      <c r="U75" s="50">
        <f t="shared" si="36"/>
        <v>0.12</v>
      </c>
      <c r="V75" s="50">
        <f t="shared" si="36"/>
        <v>0.14000000000000001</v>
      </c>
      <c r="W75" s="50">
        <f t="shared" si="36"/>
        <v>0.16</v>
      </c>
      <c r="X75" s="50">
        <f t="shared" si="36"/>
        <v>0.17999999999999999</v>
      </c>
      <c r="Y75" s="26">
        <f>$E$75</f>
        <v>0.20000000000000001</v>
      </c>
      <c r="Z75" s="68">
        <f t="shared" si="37" ref="Z75:AM75">Y75</f>
        <v>0.20000000000000001</v>
      </c>
      <c r="AA75" s="68">
        <f t="shared" si="37"/>
        <v>0.20000000000000001</v>
      </c>
      <c r="AB75" s="68">
        <f t="shared" si="37"/>
        <v>0.20000000000000001</v>
      </c>
      <c r="AC75" s="68">
        <f t="shared" si="37"/>
        <v>0.20000000000000001</v>
      </c>
      <c r="AD75" s="68">
        <f t="shared" si="37"/>
        <v>0.20000000000000001</v>
      </c>
      <c r="AE75" s="68">
        <f t="shared" si="37"/>
        <v>0.20000000000000001</v>
      </c>
      <c r="AF75" s="68">
        <f t="shared" si="37"/>
        <v>0.20000000000000001</v>
      </c>
      <c r="AG75" s="68">
        <f t="shared" si="37"/>
        <v>0.20000000000000001</v>
      </c>
      <c r="AH75" s="68">
        <f t="shared" si="37"/>
        <v>0.20000000000000001</v>
      </c>
      <c r="AI75" s="68">
        <f t="shared" si="37"/>
        <v>0.20000000000000001</v>
      </c>
      <c r="AJ75" s="68">
        <f t="shared" si="37"/>
        <v>0.20000000000000001</v>
      </c>
      <c r="AK75" s="68">
        <f t="shared" si="37"/>
        <v>0.20000000000000001</v>
      </c>
      <c r="AL75" s="68">
        <f t="shared" si="37"/>
        <v>0.20000000000000001</v>
      </c>
      <c r="AM75" s="68">
        <f t="shared" si="37"/>
        <v>0.20000000000000001</v>
      </c>
    </row>
    <row r="76" spans="1:39" ht="15">
      <c r="A76" t="s">
        <v>16</v>
      </c>
      <c r="D76" t="s">
        <v>472</v>
      </c>
      <c r="E76" s="181">
        <f>IF(E78=1,0.2,IF(E78=2,0.13,IF(E78=3,0.2,0.2)))</f>
        <v>0.20000000000000001</v>
      </c>
      <c r="F76" s="9"/>
      <c r="G76" s="9"/>
      <c r="H76" s="9"/>
      <c r="I76" s="9"/>
      <c r="J76" s="9"/>
      <c r="K76" s="9"/>
      <c r="L76" s="68">
        <v>0</v>
      </c>
      <c r="M76" s="68">
        <v>0</v>
      </c>
      <c r="N76" s="68">
        <v>0</v>
      </c>
      <c r="O76" s="68">
        <v>0</v>
      </c>
      <c r="P76" s="50">
        <f>(($Y$76-$O$76)/($Y$73-$O$73))*(P$73-$O$73)</f>
        <v>0.02</v>
      </c>
      <c r="Q76" s="50">
        <f t="shared" si="38" ref="Q76:X76">(($Y$76-$O$76)/($Y$73-$O$73))*(Q$73-$O$73)</f>
        <v>0.040000000000000001</v>
      </c>
      <c r="R76" s="50">
        <f t="shared" si="38"/>
        <v>0.059999999999999998</v>
      </c>
      <c r="S76" s="50">
        <f t="shared" si="38"/>
        <v>0.080000000000000002</v>
      </c>
      <c r="T76" s="50">
        <f t="shared" si="38"/>
        <v>0.10000000000000001</v>
      </c>
      <c r="U76" s="50">
        <f t="shared" si="38"/>
        <v>0.12</v>
      </c>
      <c r="V76" s="50">
        <f t="shared" si="38"/>
        <v>0.14000000000000001</v>
      </c>
      <c r="W76" s="50">
        <f t="shared" si="38"/>
        <v>0.16</v>
      </c>
      <c r="X76" s="50">
        <f t="shared" si="38"/>
        <v>0.17999999999999999</v>
      </c>
      <c r="Y76" s="26">
        <f>$E$76</f>
        <v>0.20000000000000001</v>
      </c>
      <c r="Z76" s="68">
        <f t="shared" si="39" ref="Z76:AM76">Y76</f>
        <v>0.20000000000000001</v>
      </c>
      <c r="AA76" s="68">
        <f t="shared" si="39"/>
        <v>0.20000000000000001</v>
      </c>
      <c r="AB76" s="68">
        <f t="shared" si="39"/>
        <v>0.20000000000000001</v>
      </c>
      <c r="AC76" s="68">
        <f t="shared" si="39"/>
        <v>0.20000000000000001</v>
      </c>
      <c r="AD76" s="68">
        <f t="shared" si="39"/>
        <v>0.20000000000000001</v>
      </c>
      <c r="AE76" s="68">
        <f t="shared" si="39"/>
        <v>0.20000000000000001</v>
      </c>
      <c r="AF76" s="68">
        <f t="shared" si="39"/>
        <v>0.20000000000000001</v>
      </c>
      <c r="AG76" s="68">
        <f t="shared" si="39"/>
        <v>0.20000000000000001</v>
      </c>
      <c r="AH76" s="68">
        <f t="shared" si="39"/>
        <v>0.20000000000000001</v>
      </c>
      <c r="AI76" s="68">
        <f t="shared" si="39"/>
        <v>0.20000000000000001</v>
      </c>
      <c r="AJ76" s="68">
        <f t="shared" si="39"/>
        <v>0.20000000000000001</v>
      </c>
      <c r="AK76" s="68">
        <f t="shared" si="39"/>
        <v>0.20000000000000001</v>
      </c>
      <c r="AL76" s="68">
        <f t="shared" si="39"/>
        <v>0.20000000000000001</v>
      </c>
      <c r="AM76" s="68">
        <f t="shared" si="39"/>
        <v>0.20000000000000001</v>
      </c>
    </row>
    <row r="77" spans="1:39" ht="15">
      <c r="A77" t="s">
        <v>16</v>
      </c>
      <c r="C77" t="s">
        <v>533</v>
      </c>
      <c r="E77" s="9"/>
      <c r="F77" s="9"/>
      <c r="G77" s="9"/>
      <c r="L77" s="9">
        <f>(($L$74*(1-L$75))+((L74-$L$74)*(1-L$76)))</f>
        <v>24.154971024725953</v>
      </c>
      <c r="M77" s="9">
        <f ca="1" t="shared" si="40" ref="M77:AM77">(($L$74*(1-M$75))+((M74-$L$74)*(1-M$76)))</f>
        <v>24.589643362482196</v>
      </c>
      <c r="N77" s="9">
        <f t="shared" ca="1" si="40"/>
        <v>25.024586855413357</v>
      </c>
      <c r="O77" s="9">
        <f t="shared" ca="1" si="40"/>
        <v>25.077460822404735</v>
      </c>
      <c r="P77" s="9">
        <f t="shared" ca="1" si="40"/>
        <v>24.642610692739851</v>
      </c>
      <c r="Q77" s="9">
        <f t="shared" ca="1" si="40"/>
        <v>24.52448788665226</v>
      </c>
      <c r="R77" s="9">
        <f t="shared" ca="1" si="40"/>
        <v>24.284157601246523</v>
      </c>
      <c r="S77" s="9">
        <f t="shared" ca="1" si="40"/>
        <v>24.041907084015705</v>
      </c>
      <c r="T77" s="9">
        <f t="shared" ca="1" si="40"/>
        <v>23.805557787468025</v>
      </c>
      <c r="U77" s="9">
        <f t="shared" ca="1" si="40"/>
        <v>23.536934010554454</v>
      </c>
      <c r="V77" s="9">
        <f t="shared" ca="1" si="40"/>
        <v>23.245143333749908</v>
      </c>
      <c r="W77" s="9">
        <f t="shared" ca="1" si="40"/>
        <v>22.969645196951902</v>
      </c>
      <c r="X77" s="9">
        <f t="shared" ca="1" si="40"/>
        <v>22.67291649419154</v>
      </c>
      <c r="Y77" s="9">
        <f t="shared" ca="1" si="40"/>
        <v>22.360931100717725</v>
      </c>
      <c r="Z77" s="9">
        <f t="shared" ca="1" si="40"/>
        <v>22.599868804249631</v>
      </c>
      <c r="AA77" s="9">
        <f t="shared" ca="1" si="40"/>
        <v>22.833830596704175</v>
      </c>
      <c r="AB77" s="9">
        <f t="shared" ca="1" si="40"/>
        <v>23.06313349734144</v>
      </c>
      <c r="AC77" s="9">
        <f t="shared" ca="1" si="40"/>
        <v>23.28862198792233</v>
      </c>
      <c r="AD77" s="9">
        <f t="shared" ca="1" si="40"/>
        <v>23.50929861923894</v>
      </c>
      <c r="AE77" s="9">
        <f t="shared" ca="1" si="40"/>
        <v>23.722315129667855</v>
      </c>
      <c r="AF77" s="9">
        <f t="shared" ca="1" si="40"/>
        <v>23.932002226240005</v>
      </c>
      <c r="AG77" s="9">
        <f t="shared" ca="1" si="40"/>
        <v>24.137197052046506</v>
      </c>
      <c r="AH77" s="9">
        <f t="shared" ca="1" si="40"/>
        <v>24.336732841746233</v>
      </c>
      <c r="AI77" s="9">
        <f t="shared" ca="1" si="40"/>
        <v>24.533447360343363</v>
      </c>
      <c r="AJ77" s="9">
        <f t="shared" ca="1" si="40"/>
        <v>25.428539293505317</v>
      </c>
      <c r="AK77" s="9">
        <f t="shared" ca="1" si="40"/>
        <v>26.169545942503213</v>
      </c>
      <c r="AL77" s="9">
        <f t="shared" ca="1" si="40"/>
        <v>26.709615936805385</v>
      </c>
      <c r="AM77" s="9">
        <f t="shared" ca="1" si="40"/>
        <v>27.20582460546995</v>
      </c>
    </row>
    <row r="78" spans="1:7" ht="15">
      <c r="A78" t="s">
        <v>16</v>
      </c>
      <c r="D78" t="s">
        <v>534</v>
      </c>
      <c r="E78" s="182">
        <f>DriversGams!A164</f>
        <v>-1</v>
      </c>
      <c r="F78" s="268" t="s">
        <v>633</v>
      </c>
      <c r="G78" s="9" t="s">
        <v>32</v>
      </c>
    </row>
    <row r="79" spans="1:12" ht="15">
      <c r="A79" t="s">
        <v>16</v>
      </c>
      <c r="B79" s="23"/>
      <c r="D79" s="9"/>
      <c r="F79" s="79">
        <v>1</v>
      </c>
      <c r="G79" s="79" t="s">
        <v>611</v>
      </c>
      <c r="L79" s="8"/>
    </row>
    <row r="80" spans="1:39" ht="15">
      <c r="A80" t="s">
        <v>16</v>
      </c>
      <c r="B80" s="23"/>
      <c r="D80" s="9"/>
      <c r="F80" s="79">
        <v>2</v>
      </c>
      <c r="G80" s="79" t="s">
        <v>615</v>
      </c>
      <c r="L80" s="10">
        <f t="shared" si="41" ref="L80:AM80">L73</f>
        <v>2017</v>
      </c>
      <c r="M80" s="10">
        <f t="shared" si="41"/>
        <v>2018</v>
      </c>
      <c r="N80" s="10">
        <f t="shared" si="41"/>
        <v>2019</v>
      </c>
      <c r="O80" s="10">
        <f t="shared" si="41"/>
        <v>2020</v>
      </c>
      <c r="P80" s="10">
        <f t="shared" si="41"/>
        <v>2021</v>
      </c>
      <c r="Q80" s="10">
        <f t="shared" si="41"/>
        <v>2022</v>
      </c>
      <c r="R80" s="10">
        <f t="shared" si="41"/>
        <v>2023</v>
      </c>
      <c r="S80" s="10">
        <f t="shared" si="41"/>
        <v>2024</v>
      </c>
      <c r="T80" s="10">
        <f t="shared" si="41"/>
        <v>2025</v>
      </c>
      <c r="U80" s="10">
        <f t="shared" si="41"/>
        <v>2026</v>
      </c>
      <c r="V80" s="10">
        <f t="shared" si="41"/>
        <v>2027</v>
      </c>
      <c r="W80" s="10">
        <f t="shared" si="41"/>
        <v>2028</v>
      </c>
      <c r="X80" s="10">
        <f t="shared" si="41"/>
        <v>2029</v>
      </c>
      <c r="Y80" s="10">
        <f t="shared" si="41"/>
        <v>2030</v>
      </c>
      <c r="Z80" s="10">
        <f t="shared" si="41"/>
        <v>2031</v>
      </c>
      <c r="AA80" s="10">
        <f t="shared" si="41"/>
        <v>2032</v>
      </c>
      <c r="AB80" s="10">
        <f t="shared" si="41"/>
        <v>2033</v>
      </c>
      <c r="AC80" s="10">
        <f t="shared" si="41"/>
        <v>2034</v>
      </c>
      <c r="AD80" s="10">
        <f t="shared" si="41"/>
        <v>2035</v>
      </c>
      <c r="AE80" s="10">
        <f t="shared" si="41"/>
        <v>2036</v>
      </c>
      <c r="AF80" s="10">
        <f t="shared" si="41"/>
        <v>2037</v>
      </c>
      <c r="AG80" s="10">
        <f t="shared" si="41"/>
        <v>2038</v>
      </c>
      <c r="AH80" s="10">
        <f t="shared" si="41"/>
        <v>2039</v>
      </c>
      <c r="AI80" s="10">
        <f t="shared" si="41"/>
        <v>2040</v>
      </c>
      <c r="AJ80" s="10">
        <f t="shared" si="41"/>
        <v>2045</v>
      </c>
      <c r="AK80" s="10">
        <f t="shared" si="41"/>
        <v>2050</v>
      </c>
      <c r="AL80" s="10">
        <f t="shared" si="41"/>
        <v>2060</v>
      </c>
      <c r="AM80" s="10">
        <f t="shared" si="41"/>
        <v>2070</v>
      </c>
    </row>
    <row r="81" spans="1:51" ht="15">
      <c r="A81" t="s">
        <v>16</v>
      </c>
      <c r="B81" s="23"/>
      <c r="C81" t="s">
        <v>535</v>
      </c>
      <c r="D81" s="9" t="str">
        <f>D102</f>
        <v>RLEH</v>
      </c>
      <c r="F81" s="79">
        <v>3</v>
      </c>
      <c r="G81" s="79" t="s">
        <v>611</v>
      </c>
      <c r="L81" s="37">
        <f t="shared" si="42" ref="L81">L102</f>
        <v>9.2994915751840495</v>
      </c>
      <c r="M81" s="22">
        <f ca="1" t="shared" si="43" ref="M81:AM81">OFFSET(M$33,$AY81,$L$95)/OFFSET(L$33,$AY81,$L$95)*L81</f>
        <v>9.281682818880185</v>
      </c>
      <c r="N81" s="22">
        <f t="shared" ca="1" si="43"/>
        <v>9.3685816904468826</v>
      </c>
      <c r="O81" s="22">
        <f t="shared" ca="1" si="43"/>
        <v>9.7482669746133581</v>
      </c>
      <c r="P81" s="22">
        <f t="shared" ca="1" si="43"/>
        <v>10.674171004969926</v>
      </c>
      <c r="Q81" s="22">
        <f t="shared" ca="1" si="43"/>
        <v>10.147055661823975</v>
      </c>
      <c r="R81" s="22">
        <f t="shared" ca="1" si="43"/>
        <v>9.9913745481445542</v>
      </c>
      <c r="S81" s="22">
        <f t="shared" ca="1" si="43"/>
        <v>9.9107175847334918</v>
      </c>
      <c r="T81" s="22">
        <f t="shared" ca="1" si="43"/>
        <v>9.8560033066003694</v>
      </c>
      <c r="U81" s="22">
        <f t="shared" ca="1" si="43"/>
        <v>9.8608036630688787</v>
      </c>
      <c r="V81" s="22">
        <f t="shared" ca="1" si="43"/>
        <v>9.721521879306593</v>
      </c>
      <c r="W81" s="22">
        <f t="shared" ca="1" si="43"/>
        <v>9.4918128705583165</v>
      </c>
      <c r="X81" s="22">
        <f t="shared" ca="1" si="43"/>
        <v>9.2542998448376252</v>
      </c>
      <c r="Y81" s="22">
        <f t="shared" ca="1" si="43"/>
        <v>9.0034671322000612</v>
      </c>
      <c r="Z81" s="22">
        <f t="shared" ca="1" si="43"/>
        <v>8.7498546450070815</v>
      </c>
      <c r="AA81" s="22">
        <f t="shared" ca="1" si="43"/>
        <v>8.5031931053488119</v>
      </c>
      <c r="AB81" s="22">
        <f t="shared" ca="1" si="43"/>
        <v>8.2642612814005414</v>
      </c>
      <c r="AC81" s="22">
        <f t="shared" ca="1" si="43"/>
        <v>8.0331521231047915</v>
      </c>
      <c r="AD81" s="22">
        <f t="shared" ca="1" si="43"/>
        <v>7.807971728389191</v>
      </c>
      <c r="AE81" s="22">
        <f t="shared" ca="1" si="43"/>
        <v>7.598965076164129</v>
      </c>
      <c r="AF81" s="22">
        <f t="shared" ca="1" si="43"/>
        <v>7.3897976185197347</v>
      </c>
      <c r="AG81" s="22">
        <f t="shared" ca="1" si="43"/>
        <v>7.1818402027770381</v>
      </c>
      <c r="AH81" s="22">
        <f t="shared" ca="1" si="43"/>
        <v>6.9748106028880228</v>
      </c>
      <c r="AI81" s="22">
        <f t="shared" ca="1" si="43"/>
        <v>6.7699794955123052</v>
      </c>
      <c r="AJ81" s="22">
        <f t="shared" ca="1" si="43"/>
        <v>5.9084487332521816</v>
      </c>
      <c r="AK81" s="22">
        <f t="shared" ca="1" si="43"/>
        <v>5.1962544088631546</v>
      </c>
      <c r="AL81" s="22">
        <f t="shared" ca="1" si="43"/>
        <v>4.5260365750938192</v>
      </c>
      <c r="AM81" s="22">
        <f t="shared" ca="1" si="43"/>
        <v>3.9510915655906511</v>
      </c>
      <c r="AY81">
        <v>1</v>
      </c>
    </row>
    <row r="82" spans="1:51" ht="15">
      <c r="A82" t="s">
        <v>16</v>
      </c>
      <c r="B82" s="23"/>
      <c r="D82" s="9" t="str">
        <f>D109</f>
        <v>RMEH</v>
      </c>
      <c r="H82" t="s">
        <v>628</v>
      </c>
      <c r="L82" s="37">
        <f t="shared" si="44" ref="L82">L109</f>
        <v>9.6822001330816203</v>
      </c>
      <c r="M82" s="22">
        <f ca="1" t="shared" si="45" ref="M82:AM82">OFFSET(M$33,$AY82,$L$95)/OFFSET(L$33,$AY82,$L$95)*L82</f>
        <v>9.9434395743318245</v>
      </c>
      <c r="N82" s="22">
        <f t="shared" ca="1" si="45"/>
        <v>10.212153747437592</v>
      </c>
      <c r="O82" s="22">
        <f t="shared" ca="1" si="45"/>
        <v>10.73168899547419</v>
      </c>
      <c r="P82" s="22">
        <f t="shared" ca="1" si="45"/>
        <v>9.6131095833670734</v>
      </c>
      <c r="Q82" s="22">
        <f t="shared" ca="1" si="45"/>
        <v>10.167011418822584</v>
      </c>
      <c r="R82" s="22">
        <f t="shared" ca="1" si="45"/>
        <v>10.413584699047048</v>
      </c>
      <c r="S82" s="22">
        <f t="shared" ca="1" si="45"/>
        <v>10.60380708935846</v>
      </c>
      <c r="T82" s="22">
        <f t="shared" ca="1" si="45"/>
        <v>10.805452159459032</v>
      </c>
      <c r="U82" s="22">
        <f t="shared" ca="1" si="45"/>
        <v>10.974935489253413</v>
      </c>
      <c r="V82" s="22">
        <f t="shared" ca="1" si="45"/>
        <v>11.088895307599755</v>
      </c>
      <c r="W82" s="22">
        <f t="shared" ca="1" si="45"/>
        <v>11.312930831389684</v>
      </c>
      <c r="X82" s="22">
        <f t="shared" ca="1" si="45"/>
        <v>11.521319367946617</v>
      </c>
      <c r="Y82" s="22">
        <f t="shared" ca="1" si="45"/>
        <v>11.731382716216091</v>
      </c>
      <c r="Z82" s="22">
        <f t="shared" ca="1" si="45"/>
        <v>11.949241192077833</v>
      </c>
      <c r="AA82" s="22">
        <f t="shared" ca="1" si="45"/>
        <v>12.162135547692058</v>
      </c>
      <c r="AB82" s="22">
        <f t="shared" ca="1" si="45"/>
        <v>12.370646918285956</v>
      </c>
      <c r="AC82" s="22">
        <f t="shared" ca="1" si="45"/>
        <v>12.579768753150203</v>
      </c>
      <c r="AD82" s="22">
        <f t="shared" ca="1" si="45"/>
        <v>12.783280954154073</v>
      </c>
      <c r="AE82" s="22">
        <f t="shared" ca="1" si="45"/>
        <v>12.969539751557242</v>
      </c>
      <c r="AF82" s="22">
        <f t="shared" ca="1" si="45"/>
        <v>13.154159463209448</v>
      </c>
      <c r="AG82" s="22">
        <f t="shared" ca="1" si="45"/>
        <v>13.335971222196207</v>
      </c>
      <c r="AH82" s="22">
        <f t="shared" ca="1" si="45"/>
        <v>13.509899380659954</v>
      </c>
      <c r="AI82" s="22">
        <f t="shared" ca="1" si="45"/>
        <v>13.687078755650996</v>
      </c>
      <c r="AJ82" s="22">
        <f t="shared" ca="1" si="45"/>
        <v>14.481876936754041</v>
      </c>
      <c r="AK82" s="22">
        <f t="shared" ca="1" si="45"/>
        <v>15.174492041888589</v>
      </c>
      <c r="AL82" s="22">
        <f t="shared" ca="1" si="45"/>
        <v>15.616276602811221</v>
      </c>
      <c r="AM82" s="22">
        <f t="shared" ca="1" si="45"/>
        <v>16.419443671776218</v>
      </c>
      <c r="AY82">
        <v>2</v>
      </c>
    </row>
    <row r="83" spans="1:51" ht="15">
      <c r="A83" t="s">
        <v>16</v>
      </c>
      <c r="B83" s="23"/>
      <c r="D83" s="9" t="str">
        <f>D116</f>
        <v>RHEH</v>
      </c>
      <c r="H83" t="s">
        <v>627</v>
      </c>
      <c r="L83" s="37">
        <f t="shared" si="46" ref="L83">L116</f>
        <v>5.1732793164602802</v>
      </c>
      <c r="M83" s="22">
        <f ca="1" t="shared" si="47" ref="M83:AM83">OFFSET(M$33,$AY83,$L$95)/OFFSET(L$33,$AY83,$L$95)*L83</f>
        <v>5.3645209692701856</v>
      </c>
      <c r="N83" s="22">
        <f t="shared" ca="1" si="47"/>
        <v>5.4438514175288821</v>
      </c>
      <c r="O83" s="22">
        <f t="shared" ca="1" si="47"/>
        <v>4.5975048523171873</v>
      </c>
      <c r="P83" s="22">
        <f t="shared" ca="1" si="47"/>
        <v>4.858240526703665</v>
      </c>
      <c r="Q83" s="22">
        <f t="shared" ca="1" si="47"/>
        <v>5.2322744679495488</v>
      </c>
      <c r="R83" s="22">
        <f t="shared" ca="1" si="47"/>
        <v>5.4292509669004474</v>
      </c>
      <c r="S83" s="22">
        <f t="shared" ca="1" si="47"/>
        <v>5.617983025925116</v>
      </c>
      <c r="T83" s="22">
        <f t="shared" ca="1" si="47"/>
        <v>5.7891642977939641</v>
      </c>
      <c r="U83" s="22">
        <f t="shared" ca="1" si="47"/>
        <v>5.9107767687623145</v>
      </c>
      <c r="V83" s="22">
        <f t="shared" ca="1" si="47"/>
        <v>6.2188192476865698</v>
      </c>
      <c r="W83" s="22">
        <f t="shared" ca="1" si="47"/>
        <v>6.5400720087090276</v>
      </c>
      <c r="X83" s="22">
        <f t="shared" ca="1" si="47"/>
        <v>6.8742789508639754</v>
      </c>
      <c r="Y83" s="22">
        <f t="shared" ca="1" si="47"/>
        <v>7.2163140274809958</v>
      </c>
      <c r="Z83" s="22">
        <f t="shared" ca="1" si="47"/>
        <v>7.5507401682271169</v>
      </c>
      <c r="AA83" s="22">
        <f t="shared" ca="1" si="47"/>
        <v>7.8769595928393432</v>
      </c>
      <c r="AB83" s="22">
        <f t="shared" ca="1" si="47"/>
        <v>8.1940086719902983</v>
      </c>
      <c r="AC83" s="22">
        <f t="shared" ca="1" si="47"/>
        <v>8.4978566086479113</v>
      </c>
      <c r="AD83" s="22">
        <f t="shared" ca="1" si="47"/>
        <v>8.7953705915054066</v>
      </c>
      <c r="AE83" s="22">
        <f t="shared" ca="1" si="47"/>
        <v>9.0843890843634458</v>
      </c>
      <c r="AF83" s="22">
        <f t="shared" ca="1" si="47"/>
        <v>9.3710457010708179</v>
      </c>
      <c r="AG83" s="22">
        <f t="shared" ca="1" si="47"/>
        <v>9.6536848900848842</v>
      </c>
      <c r="AH83" s="22">
        <f t="shared" ca="1" si="47"/>
        <v>9.9362060686348137</v>
      </c>
      <c r="AI83" s="22">
        <f t="shared" ca="1" si="47"/>
        <v>10.209750949265901</v>
      </c>
      <c r="AJ83" s="22">
        <f t="shared" ca="1" si="47"/>
        <v>11.395348446875417</v>
      </c>
      <c r="AK83" s="22">
        <f t="shared" ca="1" si="47"/>
        <v>12.341185977377265</v>
      </c>
      <c r="AL83" s="22">
        <f t="shared" ca="1" si="47"/>
        <v>13.244706743101688</v>
      </c>
      <c r="AM83" s="22">
        <f t="shared" ca="1" si="47"/>
        <v>13.636745519470566</v>
      </c>
      <c r="AY83">
        <v>3</v>
      </c>
    </row>
    <row r="84" spans="1:51" ht="15">
      <c r="A84" t="s">
        <v>16</v>
      </c>
      <c r="B84" s="23"/>
      <c r="D84" s="9" t="s">
        <v>361</v>
      </c>
      <c r="L84" s="37">
        <f t="shared" si="48" ref="L84">L113</f>
        <v>7.7618829459684902</v>
      </c>
      <c r="M84" s="22">
        <f ca="1" t="shared" si="49" ref="M84:AM84">OFFSET(M$33,$AY113,$L$95)/OFFSET(L$33,$AY113,$L$95)*L84</f>
        <v>7.971309515961206</v>
      </c>
      <c r="N84" s="22">
        <f t="shared" ca="1" si="49"/>
        <v>8.1867283183926158</v>
      </c>
      <c r="O84" s="22">
        <f t="shared" ca="1" si="49"/>
        <v>8.6032216490547775</v>
      </c>
      <c r="P84" s="22">
        <f t="shared" ca="1" si="49"/>
        <v>7.7064954563291659</v>
      </c>
      <c r="Q84" s="22">
        <f t="shared" ca="1" si="49"/>
        <v>8.150539284309243</v>
      </c>
      <c r="R84" s="22">
        <f t="shared" ca="1" si="49"/>
        <v>8.3482085033296762</v>
      </c>
      <c r="S84" s="22">
        <f t="shared" ca="1" si="49"/>
        <v>8.5007031746859045</v>
      </c>
      <c r="T84" s="22">
        <f t="shared" ca="1" si="49"/>
        <v>8.6623550109668486</v>
      </c>
      <c r="U84" s="22">
        <f t="shared" ca="1" si="49"/>
        <v>8.7982238991405399</v>
      </c>
      <c r="V84" s="22">
        <f t="shared" ca="1" si="49"/>
        <v>8.8895815201760602</v>
      </c>
      <c r="W84" s="22">
        <f t="shared" ca="1" si="49"/>
        <v>9.0691830040841097</v>
      </c>
      <c r="X84" s="22">
        <f t="shared" ca="1" si="49"/>
        <v>9.2362408427782352</v>
      </c>
      <c r="Y84" s="22">
        <f t="shared" ca="1" si="49"/>
        <v>9.4046413197457497</v>
      </c>
      <c r="Z84" s="22">
        <f t="shared" ca="1" si="49"/>
        <v>9.5792908792656206</v>
      </c>
      <c r="AA84" s="22">
        <f t="shared" ca="1" si="49"/>
        <v>9.7499608763140149</v>
      </c>
      <c r="AB84" s="22">
        <f t="shared" ca="1" si="49"/>
        <v>9.9171171867814571</v>
      </c>
      <c r="AC84" s="22">
        <f t="shared" ca="1" si="49"/>
        <v>10.084762885212793</v>
      </c>
      <c r="AD84" s="22">
        <f t="shared" ca="1" si="49"/>
        <v>10.24791153537044</v>
      </c>
      <c r="AE84" s="22">
        <f t="shared" ca="1" si="49"/>
        <v>10.397228732208854</v>
      </c>
      <c r="AF84" s="22">
        <f t="shared" ca="1" si="49"/>
        <v>10.545231931034158</v>
      </c>
      <c r="AG84" s="22">
        <f t="shared" ca="1" si="49"/>
        <v>10.690984091912773</v>
      </c>
      <c r="AH84" s="22">
        <f t="shared" ca="1" si="49"/>
        <v>10.830416244568948</v>
      </c>
      <c r="AI84" s="22">
        <f t="shared" ca="1" si="49"/>
        <v>10.972454784386096</v>
      </c>
      <c r="AJ84" s="22">
        <f t="shared" ca="1" si="49"/>
        <v>11.609616830470246</v>
      </c>
      <c r="AK84" s="22">
        <f t="shared" ca="1" si="49"/>
        <v>12.164862260101019</v>
      </c>
      <c r="AL84" s="22">
        <f t="shared" ca="1" si="49"/>
        <v>12.519025570307885</v>
      </c>
      <c r="AM84" s="22">
        <f t="shared" ca="1" si="49"/>
        <v>13.162896662588102</v>
      </c>
      <c r="AY84">
        <v>4</v>
      </c>
    </row>
    <row r="85" spans="1:51" ht="15">
      <c r="A85" t="s">
        <v>16</v>
      </c>
      <c r="B85" s="23"/>
      <c r="D85" s="9" t="s">
        <v>349</v>
      </c>
      <c r="L85" s="37">
        <f t="shared" si="50" ref="L85">L119</f>
        <v>14.27502736796</v>
      </c>
      <c r="M85" s="22">
        <f ca="1" t="shared" si="51" ref="M85:AM85">OFFSET(M$33,$AY119,$L$95)/OFFSET(L$33,$AY119,$L$95)*L85</f>
        <v>14.80273516426419</v>
      </c>
      <c r="N85" s="22">
        <f t="shared" ca="1" si="51"/>
        <v>15.021637769503817</v>
      </c>
      <c r="O85" s="22">
        <f t="shared" ca="1" si="51"/>
        <v>12.686248620355284</v>
      </c>
      <c r="P85" s="22">
        <f t="shared" ca="1" si="51"/>
        <v>13.405716613476752</v>
      </c>
      <c r="Q85" s="22">
        <f t="shared" ca="1" si="51"/>
        <v>14.43781722533474</v>
      </c>
      <c r="R85" s="22">
        <f t="shared" ca="1" si="51"/>
        <v>14.981349623522158</v>
      </c>
      <c r="S85" s="22">
        <f t="shared" ca="1" si="51"/>
        <v>15.502132504743427</v>
      </c>
      <c r="T85" s="22">
        <f t="shared" ca="1" si="51"/>
        <v>15.974486149564987</v>
      </c>
      <c r="U85" s="22">
        <f t="shared" ca="1" si="51"/>
        <v>16.310060790940874</v>
      </c>
      <c r="V85" s="22">
        <f t="shared" ca="1" si="51"/>
        <v>17.160066087029691</v>
      </c>
      <c r="W85" s="22">
        <f t="shared" ca="1" si="51"/>
        <v>18.046523530190932</v>
      </c>
      <c r="X85" s="22">
        <f t="shared" ca="1" si="51"/>
        <v>18.968726441339452</v>
      </c>
      <c r="Y85" s="22">
        <f t="shared" ca="1" si="51"/>
        <v>19.912530125779028</v>
      </c>
      <c r="Z85" s="22">
        <f t="shared" ca="1" si="51"/>
        <v>20.835337888453363</v>
      </c>
      <c r="AA85" s="22">
        <f t="shared" ca="1" si="51"/>
        <v>21.735500228322152</v>
      </c>
      <c r="AB85" s="22">
        <f t="shared" ca="1" si="51"/>
        <v>22.610358128893264</v>
      </c>
      <c r="AC85" s="22">
        <f t="shared" ca="1" si="51"/>
        <v>23.448789102006351</v>
      </c>
      <c r="AD85" s="22">
        <f t="shared" ca="1" si="51"/>
        <v>24.269742309409715</v>
      </c>
      <c r="AE85" s="22">
        <f t="shared" ca="1" si="51"/>
        <v>25.06725325807777</v>
      </c>
      <c r="AF85" s="22">
        <f t="shared" ca="1" si="51"/>
        <v>25.858246900289313</v>
      </c>
      <c r="AG85" s="22">
        <f t="shared" ca="1" si="51"/>
        <v>26.638154945384869</v>
      </c>
      <c r="AH85" s="22">
        <f t="shared" ca="1" si="51"/>
        <v>27.417737355133443</v>
      </c>
      <c r="AI85" s="22">
        <f t="shared" ca="1" si="51"/>
        <v>28.172550775887601</v>
      </c>
      <c r="AJ85" s="22">
        <f t="shared" ca="1" si="51"/>
        <v>31.444061106271416</v>
      </c>
      <c r="AK85" s="22">
        <f t="shared" ca="1" si="51"/>
        <v>34.053983325355453</v>
      </c>
      <c r="AL85" s="22">
        <f t="shared" ca="1" si="51"/>
        <v>36.547137641844472</v>
      </c>
      <c r="AM85" s="22">
        <f t="shared" ca="1" si="51"/>
        <v>37.628920379567688</v>
      </c>
      <c r="AY85">
        <v>5</v>
      </c>
    </row>
    <row r="86" spans="1:39" ht="15">
      <c r="A86" t="s">
        <v>16</v>
      </c>
      <c r="B86" s="23"/>
      <c r="D86" s="9"/>
      <c r="L86" s="9"/>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row>
    <row r="87" spans="1:39" ht="15">
      <c r="A87" t="s">
        <v>16</v>
      </c>
      <c r="B87" s="23"/>
      <c r="D87" s="9"/>
      <c r="L87" s="9"/>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row>
    <row r="88" spans="1:2 41:41" ht="15">
      <c r="A88" t="s">
        <v>16</v>
      </c>
      <c r="B88" s="23"/>
      <c r="AO88" t="s">
        <v>634</v>
      </c>
    </row>
    <row r="89" spans="1:41" ht="15">
      <c r="A89" t="s">
        <v>16</v>
      </c>
      <c r="B89" s="23"/>
      <c r="C89" t="s">
        <v>635</v>
      </c>
      <c r="D89" s="9" t="str">
        <f>D81</f>
        <v>RLEH</v>
      </c>
      <c r="L89" s="37">
        <f t="shared" si="52" ref="L89:L93">L81</f>
        <v>9.2994915751840495</v>
      </c>
      <c r="M89" s="9">
        <f ca="1">(($L$81*(1-M$75))+((M81-$L$81)*(1-M$76)))</f>
        <v>9.281682818880185</v>
      </c>
      <c r="N89" s="9">
        <f ca="1">(($L$81*(1-N$75))+((N81-$L$81)*(1-N$76)))</f>
        <v>9.3685816904468826</v>
      </c>
      <c r="O89" s="9">
        <f ca="1" t="shared" si="53" ref="O89:AM89">(($L$81*(1-O$75))+((O81-$L$81)*(1-O$76)))</f>
        <v>9.7482669746133581</v>
      </c>
      <c r="P89" s="9">
        <f t="shared" ca="1" si="53"/>
        <v>10.460687584870527</v>
      </c>
      <c r="Q89" s="9">
        <f t="shared" ca="1" si="53"/>
        <v>9.7411734353510155</v>
      </c>
      <c r="R89" s="9">
        <f t="shared" ca="1" si="53"/>
        <v>9.3918920752558801</v>
      </c>
      <c r="S89" s="9">
        <f t="shared" ca="1" si="53"/>
        <v>9.1178601779548138</v>
      </c>
      <c r="T89" s="9">
        <f t="shared" ca="1" si="53"/>
        <v>8.8704029759403333</v>
      </c>
      <c r="U89" s="9">
        <f t="shared" ca="1" si="53"/>
        <v>8.6775072235006139</v>
      </c>
      <c r="V89" s="9">
        <f t="shared" ca="1" si="53"/>
        <v>8.3605088162036694</v>
      </c>
      <c r="W89" s="9">
        <f t="shared" ca="1" si="53"/>
        <v>7.9731228112689863</v>
      </c>
      <c r="X89" s="9">
        <f t="shared" ca="1" si="53"/>
        <v>7.5885258727668532</v>
      </c>
      <c r="Y89" s="9">
        <f t="shared" ca="1" si="53"/>
        <v>7.2027737057600492</v>
      </c>
      <c r="Z89" s="9">
        <f t="shared" ca="1" si="53"/>
        <v>6.9998837160056659</v>
      </c>
      <c r="AA89" s="9">
        <f t="shared" ca="1" si="53"/>
        <v>6.8025544842790495</v>
      </c>
      <c r="AB89" s="9">
        <f t="shared" ca="1" si="53"/>
        <v>6.6114090251204338</v>
      </c>
      <c r="AC89" s="9">
        <f t="shared" ca="1" si="53"/>
        <v>6.4265216984838336</v>
      </c>
      <c r="AD89" s="9">
        <f t="shared" ca="1" si="53"/>
        <v>6.2463773827113531</v>
      </c>
      <c r="AE89" s="9">
        <f t="shared" ca="1" si="53"/>
        <v>6.0791720609313034</v>
      </c>
      <c r="AF89" s="9">
        <f t="shared" ca="1" si="53"/>
        <v>5.9118380948157885</v>
      </c>
      <c r="AG89" s="9">
        <f t="shared" ca="1" si="53"/>
        <v>5.7454721622216312</v>
      </c>
      <c r="AH89" s="9">
        <f t="shared" ca="1" si="53"/>
        <v>5.5798484823104184</v>
      </c>
      <c r="AI89" s="9">
        <f t="shared" ca="1" si="53"/>
        <v>5.4159835964098448</v>
      </c>
      <c r="AJ89" s="9">
        <f t="shared" ca="1" si="53"/>
        <v>4.7267589866017454</v>
      </c>
      <c r="AK89" s="9">
        <f t="shared" ca="1" si="53"/>
        <v>4.1570035270905237</v>
      </c>
      <c r="AL89" s="9">
        <f t="shared" ca="1" si="53"/>
        <v>3.6208292600750558</v>
      </c>
      <c r="AM89" s="9">
        <f t="shared" ca="1" si="53"/>
        <v>3.1608732524725216</v>
      </c>
      <c r="AO89" s="9">
        <v>5.6509347274363675</v>
      </c>
    </row>
    <row r="90" spans="1:41" ht="15">
      <c r="A90" t="s">
        <v>16</v>
      </c>
      <c r="B90" s="23"/>
      <c r="D90" s="9" t="str">
        <f>D82</f>
        <v>RMEH</v>
      </c>
      <c r="L90" s="37">
        <f t="shared" si="52"/>
        <v>9.6822001330816203</v>
      </c>
      <c r="M90" s="9">
        <f ca="1">(($L$82*(1-M$75))+((M82-$L$82)*(1-M$76)))</f>
        <v>9.9434395743318245</v>
      </c>
      <c r="N90" s="9">
        <f ca="1">(($L$82*(1-N$75))+((N82-$L$82)*(1-N$76)))</f>
        <v>10.212153747437592</v>
      </c>
      <c r="O90" s="9">
        <f ca="1" t="shared" si="54" ref="O90:AM90">(($L$82*(1-O$75))+((O82-$L$82)*(1-O$76)))</f>
        <v>10.73168899547419</v>
      </c>
      <c r="P90" s="9">
        <f t="shared" ca="1" si="54"/>
        <v>9.4208473916997324</v>
      </c>
      <c r="Q90" s="9">
        <f t="shared" ca="1" si="54"/>
        <v>9.7603309620696805</v>
      </c>
      <c r="R90" s="9">
        <f t="shared" ca="1" si="54"/>
        <v>9.7887696171042258</v>
      </c>
      <c r="S90" s="9">
        <f t="shared" ca="1" si="54"/>
        <v>9.7555025222097846</v>
      </c>
      <c r="T90" s="9">
        <f t="shared" ca="1" si="54"/>
        <v>9.7249069435131279</v>
      </c>
      <c r="U90" s="9">
        <f t="shared" ca="1" si="54"/>
        <v>9.6579432305430046</v>
      </c>
      <c r="V90" s="9">
        <f t="shared" ca="1" si="54"/>
        <v>9.5364499645357874</v>
      </c>
      <c r="W90" s="9">
        <f t="shared" ca="1" si="54"/>
        <v>9.5028618983673354</v>
      </c>
      <c r="X90" s="9">
        <f t="shared" ca="1" si="54"/>
        <v>9.4474818817162269</v>
      </c>
      <c r="Y90" s="9">
        <f t="shared" ca="1" si="54"/>
        <v>9.3851061729728738</v>
      </c>
      <c r="Z90" s="9">
        <f t="shared" ca="1" si="54"/>
        <v>9.5593929536622682</v>
      </c>
      <c r="AA90" s="9">
        <f t="shared" ca="1" si="54"/>
        <v>9.7297084381536472</v>
      </c>
      <c r="AB90" s="9">
        <f t="shared" ca="1" si="54"/>
        <v>9.8965175346287655</v>
      </c>
      <c r="AC90" s="9">
        <f t="shared" ca="1" si="54"/>
        <v>10.063815002520164</v>
      </c>
      <c r="AD90" s="9">
        <f t="shared" ca="1" si="54"/>
        <v>10.226624763323258</v>
      </c>
      <c r="AE90" s="9">
        <f t="shared" ca="1" si="54"/>
        <v>10.375631801245795</v>
      </c>
      <c r="AF90" s="9">
        <f t="shared" ca="1" si="54"/>
        <v>10.52332757056756</v>
      </c>
      <c r="AG90" s="9">
        <f t="shared" ca="1" si="54"/>
        <v>10.668776977756966</v>
      </c>
      <c r="AH90" s="9">
        <f t="shared" ca="1" si="54"/>
        <v>10.807919504527964</v>
      </c>
      <c r="AI90" s="9">
        <f t="shared" ca="1" si="54"/>
        <v>10.949663004520797</v>
      </c>
      <c r="AJ90" s="9">
        <f t="shared" ca="1" si="54"/>
        <v>11.585501549403233</v>
      </c>
      <c r="AK90" s="9">
        <f t="shared" ca="1" si="54"/>
        <v>12.139593633510872</v>
      </c>
      <c r="AL90" s="9">
        <f t="shared" ca="1" si="54"/>
        <v>12.493021282248977</v>
      </c>
      <c r="AM90" s="9">
        <f t="shared" ca="1" si="54"/>
        <v>13.135554937420975</v>
      </c>
      <c r="AO90" s="9">
        <v>15.965795038638294</v>
      </c>
    </row>
    <row r="91" spans="1:41" ht="15">
      <c r="A91" t="s">
        <v>16</v>
      </c>
      <c r="B91" s="23"/>
      <c r="D91" s="9" t="str">
        <f>D83</f>
        <v>RHEH</v>
      </c>
      <c r="L91" s="37">
        <f t="shared" si="52"/>
        <v>5.1732793164602802</v>
      </c>
      <c r="M91" s="9">
        <f ca="1">(($L$83*(1-M$75))+((M83-$L$83)*(1-M$76)))</f>
        <v>5.3645209692701856</v>
      </c>
      <c r="N91" s="9">
        <f ca="1">(($L$83*(1-N$75))+((N83-$L$83)*(1-N$76)))</f>
        <v>5.4438514175288821</v>
      </c>
      <c r="O91" s="9">
        <f ca="1" t="shared" si="55" ref="O91:AM91">(($L$83*(1-O$75))+((O83-$L$83)*(1-O$76)))</f>
        <v>4.5975048523171873</v>
      </c>
      <c r="P91" s="9">
        <f t="shared" ca="1" si="55"/>
        <v>4.761075716169592</v>
      </c>
      <c r="Q91" s="9">
        <f t="shared" ca="1" si="55"/>
        <v>5.0229834892315672</v>
      </c>
      <c r="R91" s="9">
        <f t="shared" ca="1" si="55"/>
        <v>5.1034959088864209</v>
      </c>
      <c r="S91" s="9">
        <f t="shared" ca="1" si="55"/>
        <v>5.1685443838511071</v>
      </c>
      <c r="T91" s="9">
        <f t="shared" ca="1" si="55"/>
        <v>5.2102478680145676</v>
      </c>
      <c r="U91" s="9">
        <f t="shared" ca="1" si="55"/>
        <v>5.201483556510837</v>
      </c>
      <c r="V91" s="9">
        <f t="shared" ca="1" si="55"/>
        <v>5.3481845530104506</v>
      </c>
      <c r="W91" s="9">
        <f t="shared" ca="1" si="55"/>
        <v>5.4936604873155828</v>
      </c>
      <c r="X91" s="9">
        <f t="shared" ca="1" si="55"/>
        <v>5.6369087397084607</v>
      </c>
      <c r="Y91" s="9">
        <f t="shared" ca="1" si="55"/>
        <v>5.7730512219847974</v>
      </c>
      <c r="Z91" s="9">
        <f t="shared" ca="1" si="55"/>
        <v>6.0405921345816944</v>
      </c>
      <c r="AA91" s="9">
        <f t="shared" ca="1" si="55"/>
        <v>6.3015676742714746</v>
      </c>
      <c r="AB91" s="9">
        <f t="shared" ca="1" si="55"/>
        <v>6.5552069375922395</v>
      </c>
      <c r="AC91" s="9">
        <f t="shared" ca="1" si="55"/>
        <v>6.7982852869183299</v>
      </c>
      <c r="AD91" s="9">
        <f t="shared" ca="1" si="55"/>
        <v>7.0362964732043256</v>
      </c>
      <c r="AE91" s="9">
        <f t="shared" ca="1" si="55"/>
        <v>7.2675112674907574</v>
      </c>
      <c r="AF91" s="9">
        <f t="shared" ca="1" si="55"/>
        <v>7.4968365608566554</v>
      </c>
      <c r="AG91" s="9">
        <f t="shared" ca="1" si="55"/>
        <v>7.7229479120679079</v>
      </c>
      <c r="AH91" s="9">
        <f t="shared" ca="1" si="55"/>
        <v>7.9489648549078513</v>
      </c>
      <c r="AI91" s="9">
        <f t="shared" ca="1" si="55"/>
        <v>8.1678007594127209</v>
      </c>
      <c r="AJ91" s="9">
        <f t="shared" ca="1" si="55"/>
        <v>9.1162787575003357</v>
      </c>
      <c r="AK91" s="9">
        <f t="shared" ca="1" si="55"/>
        <v>9.8729487819018118</v>
      </c>
      <c r="AL91" s="9">
        <f t="shared" ca="1" si="55"/>
        <v>10.595765394481351</v>
      </c>
      <c r="AM91" s="9">
        <f t="shared" ca="1" si="55"/>
        <v>10.909396415576452</v>
      </c>
      <c r="AO91" s="9">
        <v>15.624866478724483</v>
      </c>
    </row>
    <row r="92" spans="1:41" ht="15">
      <c r="A92" t="s">
        <v>16</v>
      </c>
      <c r="B92" s="23"/>
      <c r="D92" s="9" t="str">
        <f>D84</f>
        <v>RMEO</v>
      </c>
      <c r="I92">
        <v>0.10</v>
      </c>
      <c r="L92" s="37">
        <f t="shared" si="52"/>
        <v>7.7618829459684902</v>
      </c>
      <c r="M92" s="9">
        <f ca="1">OFFSET(M$33,$AY113,$L$95)/OFFSET(L$33,$AY113,$L$95)*L113</f>
        <v>7.971309515961206</v>
      </c>
      <c r="N92" s="9">
        <f ca="1" t="shared" si="56" ref="N92:AM92">(($L$84*(1-N$75*$I$92))+((N84-$L$84)*(1-N$76*$I$92)))</f>
        <v>8.1867283183926158</v>
      </c>
      <c r="O92" s="9">
        <f t="shared" ca="1" si="56"/>
        <v>8.6032216490547775</v>
      </c>
      <c r="P92" s="9">
        <f t="shared" ca="1" si="56"/>
        <v>7.6910824654165069</v>
      </c>
      <c r="Q92" s="9">
        <f t="shared" ca="1" si="56"/>
        <v>8.1179371271720058</v>
      </c>
      <c r="R92" s="9">
        <f t="shared" ca="1" si="56"/>
        <v>8.2981192523096983</v>
      </c>
      <c r="S92" s="9">
        <f t="shared" ca="1" si="56"/>
        <v>8.4326975492884166</v>
      </c>
      <c r="T92" s="9">
        <f t="shared" ca="1" si="56"/>
        <v>8.5757314608571793</v>
      </c>
      <c r="U92" s="9">
        <f t="shared" ca="1" si="56"/>
        <v>8.692645212350854</v>
      </c>
      <c r="V92" s="9">
        <f t="shared" ca="1" si="56"/>
        <v>8.7651273788935953</v>
      </c>
      <c r="W92" s="9">
        <f t="shared" ca="1" si="56"/>
        <v>8.9240760760187641</v>
      </c>
      <c r="X92" s="9">
        <f t="shared" ca="1" si="56"/>
        <v>9.0699885076082261</v>
      </c>
      <c r="Y92" s="9">
        <f t="shared" ca="1" si="56"/>
        <v>9.2165484933508335</v>
      </c>
      <c r="Z92" s="9">
        <f t="shared" ca="1" si="56"/>
        <v>9.3877050616803075</v>
      </c>
      <c r="AA92" s="9">
        <f t="shared" ca="1" si="56"/>
        <v>9.5549616587877342</v>
      </c>
      <c r="AB92" s="9">
        <f t="shared" ca="1" si="56"/>
        <v>9.7187748430458285</v>
      </c>
      <c r="AC92" s="9">
        <f t="shared" ca="1" si="56"/>
        <v>9.8830676275085363</v>
      </c>
      <c r="AD92" s="9">
        <f t="shared" ca="1" si="56"/>
        <v>10.04295330466303</v>
      </c>
      <c r="AE92" s="9">
        <f t="shared" ca="1" si="56"/>
        <v>10.189284157564677</v>
      </c>
      <c r="AF92" s="9">
        <f t="shared" ca="1" si="56"/>
        <v>10.334327292413473</v>
      </c>
      <c r="AG92" s="9">
        <f t="shared" ca="1" si="56"/>
        <v>10.477164410074517</v>
      </c>
      <c r="AH92" s="9">
        <f t="shared" ca="1" si="56"/>
        <v>10.613807919677569</v>
      </c>
      <c r="AI92" s="9">
        <f t="shared" ca="1" si="56"/>
        <v>10.753005688698373</v>
      </c>
      <c r="AJ92" s="9">
        <f t="shared" ca="1" si="56"/>
        <v>11.37742449386084</v>
      </c>
      <c r="AK92" s="9">
        <f t="shared" ca="1" si="56"/>
        <v>11.921565014898999</v>
      </c>
      <c r="AL92" s="9">
        <f t="shared" ca="1" si="56"/>
        <v>12.268645058901727</v>
      </c>
      <c r="AM92" s="9">
        <f t="shared" ca="1" si="56"/>
        <v>12.899638729336338</v>
      </c>
      <c r="AO92" s="9">
        <v>12.91511152465643</v>
      </c>
    </row>
    <row r="93" spans="1:41" ht="15">
      <c r="A93" t="s">
        <v>16</v>
      </c>
      <c r="B93" s="23"/>
      <c r="D93" s="9" t="str">
        <f>D85</f>
        <v>RHEO</v>
      </c>
      <c r="I93">
        <v>0.10</v>
      </c>
      <c r="L93" s="37">
        <f t="shared" si="52"/>
        <v>14.27502736796</v>
      </c>
      <c r="M93" s="9">
        <f ca="1">(($L$85*(1-M$75))+((M85-$L$85)*(1-M$76)))</f>
        <v>14.80273516426419</v>
      </c>
      <c r="N93" s="9">
        <f ca="1">(($L$85*(1-N$75))+((N85-$L$85)*(1-N$76)))</f>
        <v>15.021637769503817</v>
      </c>
      <c r="O93" s="9">
        <f ca="1" t="shared" si="57" ref="O93:AM93">(($L$85*(1-O$75))+((O85-$L$85)*(1-O$76)))</f>
        <v>12.686248620355284</v>
      </c>
      <c r="P93" s="9">
        <f t="shared" ca="1" si="57"/>
        <v>13.137602281207217</v>
      </c>
      <c r="Q93" s="9">
        <f t="shared" ca="1" si="57"/>
        <v>13.860304536321349</v>
      </c>
      <c r="R93" s="9">
        <f t="shared" ca="1" si="57"/>
        <v>14.082468646110827</v>
      </c>
      <c r="S93" s="9">
        <f t="shared" ca="1" si="57"/>
        <v>14.261961904363952</v>
      </c>
      <c r="T93" s="9">
        <f t="shared" ca="1" si="57"/>
        <v>14.377037534608489</v>
      </c>
      <c r="U93" s="9">
        <f t="shared" ca="1" si="57"/>
        <v>14.352853496027969</v>
      </c>
      <c r="V93" s="9">
        <f t="shared" ca="1" si="57"/>
        <v>14.757656834845534</v>
      </c>
      <c r="W93" s="9">
        <f t="shared" ca="1" si="57"/>
        <v>15.159079765360381</v>
      </c>
      <c r="X93" s="9">
        <f t="shared" ca="1" si="57"/>
        <v>15.554355681898352</v>
      </c>
      <c r="Y93" s="9">
        <f t="shared" ca="1" si="57"/>
        <v>15.930024100623223</v>
      </c>
      <c r="Z93" s="9">
        <f t="shared" ca="1" si="57"/>
        <v>16.668270310762693</v>
      </c>
      <c r="AA93" s="9">
        <f t="shared" ca="1" si="57"/>
        <v>17.388400182657723</v>
      </c>
      <c r="AB93" s="9">
        <f t="shared" ca="1" si="57"/>
        <v>18.08828650311461</v>
      </c>
      <c r="AC93" s="9">
        <f t="shared" ca="1" si="57"/>
        <v>18.759031281605083</v>
      </c>
      <c r="AD93" s="9">
        <f t="shared" ca="1" si="57"/>
        <v>19.415793847527773</v>
      </c>
      <c r="AE93" s="9">
        <f t="shared" ca="1" si="57"/>
        <v>20.053802606462217</v>
      </c>
      <c r="AF93" s="9">
        <f t="shared" ca="1" si="57"/>
        <v>20.686597520231452</v>
      </c>
      <c r="AG93" s="9">
        <f t="shared" ca="1" si="57"/>
        <v>21.310523956307897</v>
      </c>
      <c r="AH93" s="9">
        <f t="shared" ca="1" si="57"/>
        <v>21.934189884106758</v>
      </c>
      <c r="AI93" s="9">
        <f t="shared" ca="1" si="57"/>
        <v>22.538040620710081</v>
      </c>
      <c r="AJ93" s="9">
        <f t="shared" ca="1" si="57"/>
        <v>25.155248885017134</v>
      </c>
      <c r="AK93" s="9">
        <f t="shared" ca="1" si="57"/>
        <v>27.243186660284366</v>
      </c>
      <c r="AL93" s="9">
        <f t="shared" ca="1" si="57"/>
        <v>29.237710113475579</v>
      </c>
      <c r="AM93" s="9">
        <f t="shared" ca="1" si="57"/>
        <v>30.103136303654153</v>
      </c>
      <c r="AO93" s="9">
        <v>32.227542399636981</v>
      </c>
    </row>
    <row r="94" spans="1:39" ht="15">
      <c r="A94" t="s">
        <v>16</v>
      </c>
      <c r="B94" s="23"/>
      <c r="D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row>
    <row r="95" spans="1:12" ht="15">
      <c r="A95" t="s">
        <v>16</v>
      </c>
      <c r="B95" s="23"/>
      <c r="D95" s="9"/>
      <c r="L95" s="36">
        <v>0</v>
      </c>
    </row>
    <row r="96" spans="1:39" ht="18" thickBot="1">
      <c r="A96" t="s">
        <v>16</v>
      </c>
      <c r="B96" s="23"/>
      <c r="C96" s="33" t="s">
        <v>142</v>
      </c>
      <c r="D96" s="15"/>
      <c r="I96" s="120" t="s">
        <v>429</v>
      </c>
      <c r="J96" s="120"/>
      <c r="K96" s="120"/>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45" ht="24" thickTop="1">
      <c r="A97" t="s">
        <v>16</v>
      </c>
      <c r="B97" s="16" t="s">
        <v>18</v>
      </c>
      <c r="C97" s="16" t="s">
        <v>19</v>
      </c>
      <c r="D97" s="16" t="s">
        <v>20</v>
      </c>
      <c r="E97" s="16" t="s">
        <v>21</v>
      </c>
      <c r="F97" s="16" t="s">
        <v>22</v>
      </c>
      <c r="G97" s="16" t="s">
        <v>23</v>
      </c>
      <c r="H97" s="16" t="s">
        <v>24</v>
      </c>
      <c r="I97" s="17" t="s">
        <v>25</v>
      </c>
      <c r="J97" s="17"/>
      <c r="K97" s="17"/>
      <c r="L97" s="18">
        <v>2017</v>
      </c>
      <c r="M97" s="18">
        <f t="shared" si="58" ref="M97:AI97">1+L97</f>
        <v>2018</v>
      </c>
      <c r="N97" s="18">
        <f t="shared" si="58"/>
        <v>2019</v>
      </c>
      <c r="O97" s="18">
        <f t="shared" si="58"/>
        <v>2020</v>
      </c>
      <c r="P97" s="18">
        <f t="shared" si="58"/>
        <v>2021</v>
      </c>
      <c r="Q97" s="18">
        <f t="shared" si="58"/>
        <v>2022</v>
      </c>
      <c r="R97" s="18">
        <f t="shared" si="58"/>
        <v>2023</v>
      </c>
      <c r="S97" s="18">
        <f t="shared" si="58"/>
        <v>2024</v>
      </c>
      <c r="T97" s="18">
        <f t="shared" si="58"/>
        <v>2025</v>
      </c>
      <c r="U97" s="18">
        <f t="shared" si="58"/>
        <v>2026</v>
      </c>
      <c r="V97" s="18">
        <f t="shared" si="58"/>
        <v>2027</v>
      </c>
      <c r="W97" s="18">
        <f t="shared" si="58"/>
        <v>2028</v>
      </c>
      <c r="X97" s="18">
        <f t="shared" si="58"/>
        <v>2029</v>
      </c>
      <c r="Y97" s="18">
        <f t="shared" si="58"/>
        <v>2030</v>
      </c>
      <c r="Z97" s="18">
        <f t="shared" si="58"/>
        <v>2031</v>
      </c>
      <c r="AA97" s="18">
        <f t="shared" si="58"/>
        <v>2032</v>
      </c>
      <c r="AB97" s="18">
        <f t="shared" si="58"/>
        <v>2033</v>
      </c>
      <c r="AC97" s="18">
        <f t="shared" si="58"/>
        <v>2034</v>
      </c>
      <c r="AD97" s="18">
        <f t="shared" si="58"/>
        <v>2035</v>
      </c>
      <c r="AE97" s="18">
        <f t="shared" si="58"/>
        <v>2036</v>
      </c>
      <c r="AF97" s="18">
        <f t="shared" si="58"/>
        <v>2037</v>
      </c>
      <c r="AG97" s="18">
        <f t="shared" si="58"/>
        <v>2038</v>
      </c>
      <c r="AH97" s="18">
        <f t="shared" si="58"/>
        <v>2039</v>
      </c>
      <c r="AI97" s="18">
        <f t="shared" si="58"/>
        <v>2040</v>
      </c>
      <c r="AJ97" s="18">
        <f>5+AI97</f>
        <v>2045</v>
      </c>
      <c r="AK97" s="18">
        <f>5+AJ97</f>
        <v>2050</v>
      </c>
      <c r="AL97" s="18">
        <f>10+AK97</f>
        <v>2060</v>
      </c>
      <c r="AM97" s="18">
        <f>10+AL97</f>
        <v>2070</v>
      </c>
      <c r="AN97" s="18"/>
      <c r="AO97" s="18"/>
      <c r="AP97" s="18"/>
      <c r="AQ97" s="18"/>
      <c r="AR97" s="18"/>
      <c r="AS97" s="18"/>
    </row>
    <row r="98" spans="1:11" ht="15">
      <c r="A98" t="s">
        <v>16</v>
      </c>
      <c r="B98" s="16"/>
      <c r="C98" s="8" t="str">
        <f>C34</f>
        <v>Low Income Electrified</v>
      </c>
      <c r="D98" s="16"/>
      <c r="E98" s="16"/>
      <c r="F98" s="16"/>
      <c r="G98" s="16"/>
      <c r="H98" s="16"/>
      <c r="I98" s="17"/>
      <c r="J98" s="17"/>
      <c r="K98" s="17"/>
    </row>
    <row r="99" spans="1:51" ht="15">
      <c r="A99" s="20" t="str">
        <f>'[12]TS BYDem'!A10</f>
        <v/>
      </c>
      <c r="B99" s="20" t="str">
        <f>'[12]TS BYDem'!B10</f>
        <v>COM_PROJ</v>
      </c>
      <c r="C99" s="20" t="str">
        <f>'[12]TS BYDem'!C10</f>
        <v>-</v>
      </c>
      <c r="D99" s="20" t="str">
        <f>'[12]TS BYDem'!D10</f>
        <v>RLEL</v>
      </c>
      <c r="E99" s="98" t="str">
        <f>'[12]TS BYDem'!E10</f>
        <v>-</v>
      </c>
      <c r="F99" s="98" t="str">
        <f>'[12]TS BYDem'!F10</f>
        <v>-</v>
      </c>
      <c r="G99" s="98" t="str">
        <f>'[12]TS BYDem'!G10</f>
        <v>-</v>
      </c>
      <c r="H99" s="98" t="str">
        <f>'[12]TS BYDem'!H10</f>
        <v>-</v>
      </c>
      <c r="I99" s="98">
        <f>'[12]TS BYDem'!I10</f>
        <v>0</v>
      </c>
      <c r="J99" s="98"/>
      <c r="K99" s="98"/>
      <c r="L99" s="276">
        <f>INDEX('BY-DMD'!$I$5:$I$138,MATCH(D99,'BY-DMD'!$H$5:$H$138,0))</f>
        <v>15.5426860393993</v>
      </c>
      <c r="M99" s="22">
        <f ca="1" t="shared" si="59" ref="M99:AM99">OFFSET(M$21,$AY99,$L$95)/OFFSET(L$21,$AY99,$L$95)*L99</f>
        <v>15.512921411328472</v>
      </c>
      <c r="N99" s="22">
        <f t="shared" ca="1" si="59"/>
        <v>15.658159660862832</v>
      </c>
      <c r="O99" s="22">
        <f t="shared" ca="1" si="59"/>
        <v>16.292745876449878</v>
      </c>
      <c r="P99" s="22">
        <f t="shared" ca="1" si="59"/>
        <v>17.840253665461638</v>
      </c>
      <c r="Q99" s="22">
        <f t="shared" ca="1" si="59"/>
        <v>16.959260525263478</v>
      </c>
      <c r="R99" s="22">
        <f t="shared" ca="1" si="59"/>
        <v>16.699063217419216</v>
      </c>
      <c r="S99" s="22">
        <f t="shared" ca="1" si="59"/>
        <v>16.56425736819034</v>
      </c>
      <c r="T99" s="22">
        <f t="shared" ca="1" si="59"/>
        <v>16.47281077242538</v>
      </c>
      <c r="U99" s="22">
        <f t="shared" ca="1" si="59"/>
        <v>16.480833838295595</v>
      </c>
      <c r="V99" s="22">
        <f t="shared" ca="1" si="59"/>
        <v>16.248045516641369</v>
      </c>
      <c r="W99" s="22">
        <f t="shared" ca="1" si="59"/>
        <v>15.864121839252002</v>
      </c>
      <c r="X99" s="22">
        <f t="shared" ca="1" si="59"/>
        <v>15.467154934212205</v>
      </c>
      <c r="Y99" s="22">
        <f t="shared" ca="1" si="59"/>
        <v>15.047926197950959</v>
      </c>
      <c r="Z99" s="22">
        <f t="shared" ca="1" si="59"/>
        <v>14.624051491227151</v>
      </c>
      <c r="AA99" s="22">
        <f t="shared" ca="1" si="59"/>
        <v>14.211794236310777</v>
      </c>
      <c r="AB99" s="22">
        <f t="shared" ca="1" si="59"/>
        <v>13.812456025783339</v>
      </c>
      <c r="AC99" s="22">
        <f t="shared" ca="1" si="59"/>
        <v>13.426192211339314</v>
      </c>
      <c r="AD99" s="22">
        <f t="shared" ca="1" si="59"/>
        <v>13.049837423661224</v>
      </c>
      <c r="AE99" s="22">
        <f t="shared" ca="1" si="59"/>
        <v>12.700514587093595</v>
      </c>
      <c r="AF99" s="22">
        <f t="shared" ca="1" si="59"/>
        <v>12.350922988720452</v>
      </c>
      <c r="AG99" s="22">
        <f t="shared" ca="1" si="59"/>
        <v>12.0033537913808</v>
      </c>
      <c r="AH99" s="22">
        <f t="shared" ca="1" si="59"/>
        <v>11.657335297152127</v>
      </c>
      <c r="AI99" s="22">
        <f t="shared" ca="1" si="59"/>
        <v>11.314991248845351</v>
      </c>
      <c r="AJ99" s="22">
        <f t="shared" ca="1" si="59"/>
        <v>9.8750735885265453</v>
      </c>
      <c r="AK99" s="22">
        <f t="shared" ca="1" si="59"/>
        <v>8.6847490752424239</v>
      </c>
      <c r="AL99" s="22">
        <f t="shared" ca="1" si="59"/>
        <v>7.5645818828680476</v>
      </c>
      <c r="AM99" s="22">
        <f t="shared" ca="1" si="59"/>
        <v>6.6036487285788761</v>
      </c>
      <c r="AN99" s="9"/>
      <c r="AO99" s="9"/>
      <c r="AP99" s="9"/>
      <c r="AQ99" s="9"/>
      <c r="AR99" s="9"/>
      <c r="AS99" s="9"/>
      <c r="AY99">
        <f>MATCH(MID(D99,2,2),$B$34:$B$38,0)</f>
        <v>1</v>
      </c>
    </row>
    <row r="100" spans="1:51" ht="15">
      <c r="A100" s="20" t="str">
        <f>'[12]TS BYDem'!A11</f>
        <v/>
      </c>
      <c r="B100" s="20" t="str">
        <f>'[12]TS BYDem'!B11</f>
        <v>COM_PROJ</v>
      </c>
      <c r="C100" s="20" t="str">
        <f>'[12]TS BYDem'!C11</f>
        <v>-</v>
      </c>
      <c r="D100" s="20" t="str">
        <f>'[12]TS BYDem'!D11</f>
        <v>RLNL</v>
      </c>
      <c r="E100" s="98" t="s">
        <v>125</v>
      </c>
      <c r="F100" s="98" t="s">
        <v>125</v>
      </c>
      <c r="G100" s="98" t="s">
        <v>125</v>
      </c>
      <c r="H100" s="98" t="s">
        <v>125</v>
      </c>
      <c r="I100" s="98">
        <v>0</v>
      </c>
      <c r="J100" s="98"/>
      <c r="K100" s="98"/>
      <c r="L100" s="276">
        <f>INDEX('BY-DMD'!$I$5:$I$138,MATCH(D100,'BY-DMD'!$H$5:$H$138,0))</f>
        <v>0.036541482196776102</v>
      </c>
      <c r="M100" s="22">
        <f ca="1" t="shared" si="60" ref="M100:AM100">OFFSET(M$21,$AY100,$L$95)/OFFSET(L$21,$AY100,$L$95)*L100</f>
        <v>0.036471504354851823</v>
      </c>
      <c r="N100" s="22">
        <f t="shared" ca="1" si="60"/>
        <v>0.036812965341466199</v>
      </c>
      <c r="O100" s="22">
        <f t="shared" ca="1" si="60"/>
        <v>0.038304903146837301</v>
      </c>
      <c r="P100" s="22">
        <f t="shared" ca="1" si="60"/>
        <v>0.041943156417745618</v>
      </c>
      <c r="Q100" s="22">
        <f t="shared" ca="1" si="60"/>
        <v>0.039871905987387109</v>
      </c>
      <c r="R100" s="22">
        <f t="shared" ca="1" si="60"/>
        <v>0.039260171614825104</v>
      </c>
      <c r="S100" s="22">
        <f t="shared" ca="1" si="60"/>
        <v>0.038943237622390901</v>
      </c>
      <c r="T100" s="22">
        <f t="shared" ca="1" si="60"/>
        <v>0.038728242984872624</v>
      </c>
      <c r="U100" s="22">
        <f t="shared" ca="1" si="60"/>
        <v>0.038747105536552362</v>
      </c>
      <c r="V100" s="22">
        <f t="shared" ca="1" si="60"/>
        <v>0.03819981079677686</v>
      </c>
      <c r="W100" s="22">
        <f t="shared" ca="1" si="60"/>
        <v>0.037297190735695929</v>
      </c>
      <c r="X100" s="22">
        <f t="shared" ca="1" si="60"/>
        <v>0.036363905519971297</v>
      </c>
      <c r="Y100" s="22">
        <f t="shared" ca="1" si="60"/>
        <v>0.035378281840535555</v>
      </c>
      <c r="Z100" s="22">
        <f t="shared" ca="1" si="60"/>
        <v>0.034381735297026379</v>
      </c>
      <c r="AA100" s="22">
        <f t="shared" ca="1" si="60"/>
        <v>0.033412501851608302</v>
      </c>
      <c r="AB100" s="22">
        <f t="shared" ca="1" si="60"/>
        <v>0.03247364160097399</v>
      </c>
      <c r="AC100" s="22">
        <f t="shared" ca="1" si="60"/>
        <v>0.031565519783227317</v>
      </c>
      <c r="AD100" s="22">
        <f t="shared" ca="1" si="60"/>
        <v>0.03068069448734545</v>
      </c>
      <c r="AE100" s="22">
        <f t="shared" ca="1" si="60"/>
        <v>0.02985942239956051</v>
      </c>
      <c r="AF100" s="22">
        <f t="shared" ca="1" si="60"/>
        <v>0.029037518441923312</v>
      </c>
      <c r="AG100" s="22">
        <f t="shared" ca="1" si="60"/>
        <v>0.028220369230741955</v>
      </c>
      <c r="AH100" s="22">
        <f t="shared" ca="1" si="60"/>
        <v>0.027406865785162413</v>
      </c>
      <c r="AI100" s="22">
        <f t="shared" ca="1" si="60"/>
        <v>0.026602001110249518</v>
      </c>
      <c r="AJ100" s="22">
        <f t="shared" ca="1" si="60"/>
        <v>0.023216696574342114</v>
      </c>
      <c r="AK100" s="22">
        <f t="shared" ca="1" si="60"/>
        <v>0.020418195600939</v>
      </c>
      <c r="AL100" s="22">
        <f t="shared" ca="1" si="60"/>
        <v>0.017784637320613413</v>
      </c>
      <c r="AM100" s="22">
        <f t="shared" ca="1" si="60"/>
        <v>0.015525444690669073</v>
      </c>
      <c r="AN100" s="9"/>
      <c r="AO100" s="9"/>
      <c r="AP100" s="9"/>
      <c r="AQ100" s="9"/>
      <c r="AR100" s="9"/>
      <c r="AS100" s="9"/>
      <c r="AY100" s="183">
        <v>1</v>
      </c>
    </row>
    <row r="101" spans="1:51" ht="15">
      <c r="A101" s="20" t="str">
        <f>'[12]TS BYDem'!A12</f>
        <v/>
      </c>
      <c r="B101" s="20" t="str">
        <f>'[12]TS BYDem'!B12</f>
        <v>COM_PROJ</v>
      </c>
      <c r="C101" s="20" t="str">
        <f>'[12]TS BYDem'!C12</f>
        <v>-</v>
      </c>
      <c r="D101" s="20" t="str">
        <f>'[12]TS BYDem'!D12</f>
        <v>RLEK</v>
      </c>
      <c r="E101" s="98" t="s">
        <v>125</v>
      </c>
      <c r="F101" s="98" t="s">
        <v>125</v>
      </c>
      <c r="G101" s="98" t="s">
        <v>125</v>
      </c>
      <c r="H101" s="98" t="s">
        <v>125</v>
      </c>
      <c r="I101" s="98">
        <v>0</v>
      </c>
      <c r="J101" s="98"/>
      <c r="K101" s="98"/>
      <c r="L101" s="276">
        <f>INDEX('BY-DMD'!$I$5:$I$138,MATCH(D101,'BY-DMD'!$H$5:$H$138,0))</f>
        <v>11.428450394710399</v>
      </c>
      <c r="M101" s="22">
        <f ca="1" t="shared" si="61" ref="M101:AM101">OFFSET(M$21,$AY101,$L$95)/OFFSET(L$21,$AY101,$L$95)*L101</f>
        <v>11.406564629626928</v>
      </c>
      <c r="N101" s="22">
        <f t="shared" ca="1" si="61"/>
        <v>11.513357504810177</v>
      </c>
      <c r="O101" s="22">
        <f t="shared" ca="1" si="61"/>
        <v>11.979965211330112</v>
      </c>
      <c r="P101" s="22">
        <f t="shared" ca="1" si="61"/>
        <v>13.117839061275832</v>
      </c>
      <c r="Q101" s="22">
        <f t="shared" ca="1" si="61"/>
        <v>12.47004971680137</v>
      </c>
      <c r="R101" s="22">
        <f t="shared" ca="1" si="61"/>
        <v>12.278728086936532</v>
      </c>
      <c r="S101" s="22">
        <f t="shared" ca="1" si="61"/>
        <v>12.179606097537553</v>
      </c>
      <c r="T101" s="22">
        <f t="shared" ca="1" si="61"/>
        <v>12.112365925483909</v>
      </c>
      <c r="U101" s="22">
        <f t="shared" ca="1" si="61"/>
        <v>12.118265241089901</v>
      </c>
      <c r="V101" s="22">
        <f t="shared" ca="1" si="61"/>
        <v>11.94709728596623</v>
      </c>
      <c r="W101" s="22">
        <f t="shared" ca="1" si="61"/>
        <v>11.664800346346084</v>
      </c>
      <c r="X101" s="22">
        <f t="shared" ca="1" si="61"/>
        <v>11.372912794150224</v>
      </c>
      <c r="Y101" s="22">
        <f t="shared" ca="1" si="61"/>
        <v>11.064656241566347</v>
      </c>
      <c r="Z101" s="22">
        <f t="shared" ca="1" si="61"/>
        <v>10.75298353280251</v>
      </c>
      <c r="AA101" s="22">
        <f t="shared" ca="1" si="61"/>
        <v>10.449853071585695</v>
      </c>
      <c r="AB101" s="22">
        <f t="shared" ca="1" si="61"/>
        <v>10.156221911684737</v>
      </c>
      <c r="AC101" s="22">
        <f t="shared" ca="1" si="61"/>
        <v>9.8722042823345024</v>
      </c>
      <c r="AD101" s="22">
        <f t="shared" ca="1" si="61"/>
        <v>9.5954727051227007</v>
      </c>
      <c r="AE101" s="22">
        <f t="shared" ca="1" si="61"/>
        <v>9.3386175708600145</v>
      </c>
      <c r="AF101" s="22">
        <f t="shared" ca="1" si="61"/>
        <v>9.0815648175400749</v>
      </c>
      <c r="AG101" s="22">
        <f t="shared" ca="1" si="61"/>
        <v>8.8259991244252287</v>
      </c>
      <c r="AH101" s="22">
        <f t="shared" ca="1" si="61"/>
        <v>8.5715736546627568</v>
      </c>
      <c r="AI101" s="22">
        <f t="shared" ca="1" si="61"/>
        <v>8.3198499845017189</v>
      </c>
      <c r="AJ101" s="22">
        <f t="shared" ca="1" si="61"/>
        <v>7.2610865563718328</v>
      </c>
      <c r="AK101" s="22">
        <f t="shared" ca="1" si="61"/>
        <v>6.3858475777814148</v>
      </c>
      <c r="AL101" s="22">
        <f t="shared" ca="1" si="61"/>
        <v>5.562194886130742</v>
      </c>
      <c r="AM101" s="22">
        <f t="shared" ca="1" si="61"/>
        <v>4.8556260949586063</v>
      </c>
      <c r="AN101" s="9"/>
      <c r="AO101" s="9"/>
      <c r="AP101" s="9"/>
      <c r="AQ101" s="9"/>
      <c r="AR101" s="9"/>
      <c r="AS101" s="9"/>
      <c r="AY101">
        <f t="shared" si="62" ref="AY101:AY106">MATCH(MID(D101,2,2),$B$34:$B$38,0)</f>
        <v>1</v>
      </c>
    </row>
    <row r="102" spans="1:51" ht="15">
      <c r="A102" s="20" t="str">
        <f>'[12]TS BYDem'!A13</f>
        <v/>
      </c>
      <c r="B102" s="20" t="str">
        <f>'[12]TS BYDem'!B13</f>
        <v>COM_PROJ</v>
      </c>
      <c r="C102" s="20" t="str">
        <f>'[12]TS BYDem'!C13</f>
        <v>-</v>
      </c>
      <c r="D102" s="20" t="str">
        <f>'[12]TS BYDem'!D13</f>
        <v>RLEH</v>
      </c>
      <c r="E102" s="98" t="s">
        <v>125</v>
      </c>
      <c r="F102" s="98" t="s">
        <v>125</v>
      </c>
      <c r="G102" s="98" t="s">
        <v>125</v>
      </c>
      <c r="H102" s="98" t="s">
        <v>125</v>
      </c>
      <c r="I102" s="98">
        <v>0</v>
      </c>
      <c r="J102" s="98"/>
      <c r="K102" s="98"/>
      <c r="L102" s="276">
        <f>INDEX('BY-DMD'!$I$5:$I$138,MATCH(D102,'BY-DMD'!$H$5:$H$138,0))</f>
        <v>9.2994915751840495</v>
      </c>
      <c r="M102" s="22">
        <f ca="1">IF(OR($E$78=1,$E$78=2,$E$78=3),M89,M81)</f>
        <v>9.281682818880185</v>
      </c>
      <c r="N102" s="22">
        <f ca="1" t="shared" si="63" ref="N102:AK102">IF(OR($E$78=1,$E$78=2,$E$78=3),N89,N81)</f>
        <v>9.3685816904468826</v>
      </c>
      <c r="O102" s="22">
        <f t="shared" ca="1" si="63"/>
        <v>9.7482669746133581</v>
      </c>
      <c r="P102" s="22">
        <f t="shared" ca="1" si="63"/>
        <v>10.674171004969926</v>
      </c>
      <c r="Q102" s="22">
        <f t="shared" ca="1" si="63"/>
        <v>10.147055661823975</v>
      </c>
      <c r="R102" s="22">
        <f t="shared" ca="1" si="63"/>
        <v>9.9913745481445542</v>
      </c>
      <c r="S102" s="22">
        <f t="shared" ca="1" si="63"/>
        <v>9.9107175847334918</v>
      </c>
      <c r="T102" s="22">
        <f t="shared" ca="1" si="63"/>
        <v>9.8560033066003694</v>
      </c>
      <c r="U102" s="22">
        <f t="shared" ca="1" si="63"/>
        <v>9.8608036630688787</v>
      </c>
      <c r="V102" s="22">
        <f t="shared" ca="1" si="63"/>
        <v>9.721521879306593</v>
      </c>
      <c r="W102" s="22">
        <f t="shared" ca="1" si="63"/>
        <v>9.4918128705583165</v>
      </c>
      <c r="X102" s="22">
        <f t="shared" ca="1" si="63"/>
        <v>9.2542998448376252</v>
      </c>
      <c r="Y102" s="22">
        <f t="shared" ca="1" si="63"/>
        <v>9.0034671322000612</v>
      </c>
      <c r="Z102" s="22">
        <f t="shared" ca="1" si="63"/>
        <v>8.7498546450070815</v>
      </c>
      <c r="AA102" s="22">
        <f t="shared" ca="1" si="63"/>
        <v>8.5031931053488119</v>
      </c>
      <c r="AB102" s="22">
        <f t="shared" ca="1" si="63"/>
        <v>8.2642612814005414</v>
      </c>
      <c r="AC102" s="22">
        <f t="shared" ca="1" si="63"/>
        <v>8.0331521231047915</v>
      </c>
      <c r="AD102" s="22">
        <f t="shared" ca="1" si="63"/>
        <v>7.807971728389191</v>
      </c>
      <c r="AE102" s="22">
        <f t="shared" ca="1" si="63"/>
        <v>7.598965076164129</v>
      </c>
      <c r="AF102" s="22">
        <f t="shared" ca="1" si="63"/>
        <v>7.3897976185197347</v>
      </c>
      <c r="AG102" s="22">
        <f t="shared" ca="1" si="63"/>
        <v>7.1818402027770381</v>
      </c>
      <c r="AH102" s="22">
        <f t="shared" ca="1" si="63"/>
        <v>6.9748106028880228</v>
      </c>
      <c r="AI102" s="22">
        <f t="shared" ca="1" si="63"/>
        <v>6.7699794955123052</v>
      </c>
      <c r="AJ102" s="22">
        <f t="shared" ca="1" si="63"/>
        <v>5.9084487332521816</v>
      </c>
      <c r="AK102" s="22">
        <f t="shared" ca="1" si="63"/>
        <v>5.1962544088631546</v>
      </c>
      <c r="AL102" s="22">
        <f ca="1" t="shared" si="64" ref="AL102:AM102">IF($E$78=1,AL89,AL81)</f>
        <v>4.5260365750938192</v>
      </c>
      <c r="AM102" s="22">
        <f t="shared" ca="1" si="64"/>
        <v>3.9510915655906511</v>
      </c>
      <c r="AN102" s="9"/>
      <c r="AO102" s="9"/>
      <c r="AP102" s="9"/>
      <c r="AQ102" s="9"/>
      <c r="AR102" s="9"/>
      <c r="AS102" s="9"/>
      <c r="AY102">
        <f t="shared" si="62"/>
        <v>1</v>
      </c>
    </row>
    <row r="103" spans="1:51" ht="15">
      <c r="A103" s="20" t="str">
        <f>'[12]TS BYDem'!A15</f>
        <v/>
      </c>
      <c r="B103" s="20" t="str">
        <f>'[12]TS BYDem'!B15</f>
        <v>COM_PROJ</v>
      </c>
      <c r="C103" s="20" t="str">
        <f>'[12]TS BYDem'!C15</f>
        <v>-</v>
      </c>
      <c r="D103" s="20" t="str">
        <f>'[12]TS BYDem'!D15</f>
        <v>RLEW</v>
      </c>
      <c r="E103" s="98" t="s">
        <v>125</v>
      </c>
      <c r="F103" s="98" t="s">
        <v>125</v>
      </c>
      <c r="G103" s="98" t="s">
        <v>125</v>
      </c>
      <c r="H103" s="98" t="s">
        <v>125</v>
      </c>
      <c r="I103" s="98">
        <v>0</v>
      </c>
      <c r="J103" s="98"/>
      <c r="K103" s="98"/>
      <c r="L103" s="276">
        <f>INDEX('BY-DMD'!$I$5:$I$138,MATCH(D103,'BY-DMD'!$H$5:$H$138,0))</f>
        <v>4.5736255741133904</v>
      </c>
      <c r="M103" s="22">
        <f ca="1" t="shared" si="65" ref="M103:AM103">OFFSET(M$21,$AY103,$L$95)/OFFSET(L$21,$AY103,$L$95)*L103</f>
        <v>4.564866968052403</v>
      </c>
      <c r="N103" s="22">
        <f t="shared" ca="1" si="65"/>
        <v>4.6076051003627354</v>
      </c>
      <c r="O103" s="22">
        <f t="shared" ca="1" si="65"/>
        <v>4.7943398601868434</v>
      </c>
      <c r="P103" s="22">
        <f t="shared" ca="1" si="65"/>
        <v>5.2497129650686167</v>
      </c>
      <c r="Q103" s="22">
        <f t="shared" ca="1" si="65"/>
        <v>4.9904699522190494</v>
      </c>
      <c r="R103" s="22">
        <f t="shared" ca="1" si="65"/>
        <v>4.9139037101644067</v>
      </c>
      <c r="S103" s="22">
        <f t="shared" ca="1" si="65"/>
        <v>4.8742354393127441</v>
      </c>
      <c r="T103" s="22">
        <f t="shared" ca="1" si="65"/>
        <v>4.8473261594111863</v>
      </c>
      <c r="U103" s="22">
        <f t="shared" ca="1" si="65"/>
        <v>4.8496870447275207</v>
      </c>
      <c r="V103" s="22">
        <f t="shared" ca="1" si="65"/>
        <v>4.7811862322827592</v>
      </c>
      <c r="W103" s="22">
        <f t="shared" ca="1" si="65"/>
        <v>4.6682119918609581</v>
      </c>
      <c r="X103" s="22">
        <f t="shared" ca="1" si="65"/>
        <v>4.5513996220836672</v>
      </c>
      <c r="Y103" s="22">
        <f t="shared" ca="1" si="65"/>
        <v>4.428036436035435</v>
      </c>
      <c r="Z103" s="22">
        <f t="shared" ca="1" si="65"/>
        <v>4.3033061163225144</v>
      </c>
      <c r="AA103" s="22">
        <f t="shared" ca="1" si="65"/>
        <v>4.1819943739750389</v>
      </c>
      <c r="AB103" s="22">
        <f t="shared" ca="1" si="65"/>
        <v>4.0644842185386398</v>
      </c>
      <c r="AC103" s="22">
        <f t="shared" ca="1" si="65"/>
        <v>3.9508213641505665</v>
      </c>
      <c r="AD103" s="22">
        <f t="shared" ca="1" si="65"/>
        <v>3.8400743621522517</v>
      </c>
      <c r="AE103" s="22">
        <f t="shared" ca="1" si="65"/>
        <v>3.7372818425776053</v>
      </c>
      <c r="AF103" s="22">
        <f t="shared" ca="1" si="65"/>
        <v>3.6344102365526547</v>
      </c>
      <c r="AG103" s="22">
        <f t="shared" ca="1" si="65"/>
        <v>3.5321337467813838</v>
      </c>
      <c r="AH103" s="22">
        <f t="shared" ca="1" si="65"/>
        <v>3.4303135703775869</v>
      </c>
      <c r="AI103" s="22">
        <f t="shared" ca="1" si="65"/>
        <v>3.3295746446531442</v>
      </c>
      <c r="AJ103" s="22">
        <f t="shared" ca="1" si="65"/>
        <v>2.9058612517970062</v>
      </c>
      <c r="AK103" s="22">
        <f t="shared" ca="1" si="65"/>
        <v>2.5555936969065556</v>
      </c>
      <c r="AL103" s="22">
        <f t="shared" ca="1" si="65"/>
        <v>2.2259707922593583</v>
      </c>
      <c r="AM103" s="22">
        <f t="shared" ca="1" si="65"/>
        <v>1.9432044519801037</v>
      </c>
      <c r="AN103" s="9"/>
      <c r="AO103" s="9"/>
      <c r="AP103" s="9"/>
      <c r="AQ103" s="9"/>
      <c r="AR103" s="9"/>
      <c r="AS103" s="9"/>
      <c r="AY103">
        <f t="shared" si="62"/>
        <v>1</v>
      </c>
    </row>
    <row r="104" spans="1:51" ht="15">
      <c r="A104" s="20" t="str">
        <f>'[12]TS BYDem'!A16</f>
        <v/>
      </c>
      <c r="B104" s="20" t="str">
        <f>'[12]TS BYDem'!B16</f>
        <v>COM_PROJ</v>
      </c>
      <c r="C104" s="20" t="str">
        <f>'[12]TS BYDem'!C16</f>
        <v>-</v>
      </c>
      <c r="D104" s="20" t="str">
        <f>'[12]TS BYDem'!D16</f>
        <v>RLER</v>
      </c>
      <c r="E104" s="98" t="s">
        <v>125</v>
      </c>
      <c r="F104" s="98" t="s">
        <v>125</v>
      </c>
      <c r="G104" s="98" t="s">
        <v>125</v>
      </c>
      <c r="H104" s="98" t="s">
        <v>125</v>
      </c>
      <c r="I104" s="98">
        <v>0</v>
      </c>
      <c r="J104" s="98"/>
      <c r="K104" s="98"/>
      <c r="L104" s="276">
        <f>INDEX('BY-DMD'!$I$5:$I$138,MATCH(D104,'BY-DMD'!$H$5:$H$138,0))</f>
        <v>4.25340304491049</v>
      </c>
      <c r="M104" s="22">
        <f ca="1" t="shared" si="66" ref="M104:AM104">OFFSET(M$21,$AY104,$L$95)/OFFSET(L$21,$AY104,$L$95)*L104</f>
        <v>4.245257672910685</v>
      </c>
      <c r="N104" s="22">
        <f t="shared" ca="1" si="66"/>
        <v>4.2850034936292509</v>
      </c>
      <c r="O104" s="22">
        <f t="shared" ca="1" si="66"/>
        <v>4.4586640137474634</v>
      </c>
      <c r="P104" s="22">
        <f t="shared" ca="1" si="66"/>
        <v>4.8821541572863669</v>
      </c>
      <c r="Q104" s="22">
        <f t="shared" ca="1" si="66"/>
        <v>4.6410620516126588</v>
      </c>
      <c r="R104" s="22">
        <f t="shared" ca="1" si="66"/>
        <v>4.569856597249311</v>
      </c>
      <c r="S104" s="22">
        <f t="shared" ca="1" si="66"/>
        <v>4.5329657015490206</v>
      </c>
      <c r="T104" s="22">
        <f t="shared" ca="1" si="66"/>
        <v>4.5079404756718846</v>
      </c>
      <c r="U104" s="22">
        <f t="shared" ca="1" si="66"/>
        <v>4.5101360635332997</v>
      </c>
      <c r="V104" s="22">
        <f t="shared" ca="1" si="66"/>
        <v>4.4464313374882796</v>
      </c>
      <c r="W104" s="22">
        <f t="shared" ca="1" si="66"/>
        <v>4.3413669918351729</v>
      </c>
      <c r="X104" s="22">
        <f t="shared" ca="1" si="66"/>
        <v>4.2327332435663818</v>
      </c>
      <c r="Y104" s="22">
        <f t="shared" ca="1" si="66"/>
        <v>4.1180073346206925</v>
      </c>
      <c r="Z104" s="22">
        <f t="shared" ca="1" si="66"/>
        <v>4.0020100119140913</v>
      </c>
      <c r="AA104" s="22">
        <f t="shared" ca="1" si="66"/>
        <v>3.8891919147780629</v>
      </c>
      <c r="AB104" s="22">
        <f t="shared" ca="1" si="66"/>
        <v>3.779909236333626</v>
      </c>
      <c r="AC104" s="22">
        <f t="shared" ca="1" si="66"/>
        <v>3.6742044900413657</v>
      </c>
      <c r="AD104" s="22">
        <f t="shared" ca="1" si="66"/>
        <v>3.5712114426479626</v>
      </c>
      <c r="AE104" s="22">
        <f t="shared" ca="1" si="66"/>
        <v>3.475615944357183</v>
      </c>
      <c r="AF104" s="22">
        <f t="shared" ca="1" si="66"/>
        <v>3.3799468968562456</v>
      </c>
      <c r="AG104" s="22">
        <f t="shared" ca="1" si="66"/>
        <v>3.2848312985269685</v>
      </c>
      <c r="AH104" s="22">
        <f t="shared" ca="1" si="66"/>
        <v>3.1901400647713092</v>
      </c>
      <c r="AI104" s="22">
        <f t="shared" ca="1" si="66"/>
        <v>3.096454377896861</v>
      </c>
      <c r="AJ104" s="22">
        <f t="shared" ca="1" si="66"/>
        <v>2.7024072907141683</v>
      </c>
      <c r="AK104" s="22">
        <f t="shared" ca="1" si="66"/>
        <v>2.3766637289900099</v>
      </c>
      <c r="AL104" s="22">
        <f t="shared" ca="1" si="66"/>
        <v>2.0701193817146177</v>
      </c>
      <c r="AM104" s="22">
        <f t="shared" ca="1" si="66"/>
        <v>1.8071509350736552</v>
      </c>
      <c r="AN104" s="9"/>
      <c r="AO104" s="9"/>
      <c r="AP104" s="9"/>
      <c r="AQ104" s="9"/>
      <c r="AR104" s="9"/>
      <c r="AS104" s="9"/>
      <c r="AY104">
        <f t="shared" si="62"/>
        <v>1</v>
      </c>
    </row>
    <row r="105" spans="1:51" ht="15">
      <c r="A105" s="20" t="str">
        <f>'[12]TS BYDem'!A17</f>
        <v/>
      </c>
      <c r="B105" s="20" t="str">
        <f>'[12]TS BYDem'!B17</f>
        <v>COM_PROJ</v>
      </c>
      <c r="C105" s="20" t="str">
        <f>'[12]TS BYDem'!C17</f>
        <v>-</v>
      </c>
      <c r="D105" s="20" t="str">
        <f>'[12]TS BYDem'!D17</f>
        <v>RLEO</v>
      </c>
      <c r="E105" s="98" t="s">
        <v>125</v>
      </c>
      <c r="F105" s="98" t="s">
        <v>125</v>
      </c>
      <c r="G105" s="98" t="s">
        <v>125</v>
      </c>
      <c r="H105" s="98" t="s">
        <v>125</v>
      </c>
      <c r="I105" s="98">
        <v>0</v>
      </c>
      <c r="J105" s="98"/>
      <c r="K105" s="98"/>
      <c r="L105" s="276">
        <f>INDEX('BY-DMD'!$I$5:$I$138,MATCH(D105,'BY-DMD'!$H$5:$H$138,0))</f>
        <v>5.7452488569507203</v>
      </c>
      <c r="M105" s="22">
        <f ca="1" t="shared" si="67" ref="M105:AM105">OFFSET(M$21,$AY105,$L$95)/OFFSET(L$21,$AY105,$L$95)*L105</f>
        <v>5.734246563333774</v>
      </c>
      <c r="N105" s="22">
        <f t="shared" ca="1" si="67"/>
        <v>5.7879329007536766</v>
      </c>
      <c r="O105" s="22">
        <f t="shared" ca="1" si="67"/>
        <v>6.0225034068101095</v>
      </c>
      <c r="P105" s="22">
        <f t="shared" ca="1" si="67"/>
        <v>6.594529202956589</v>
      </c>
      <c r="Q105" s="22">
        <f t="shared" ca="1" si="67"/>
        <v>6.2688760424363021</v>
      </c>
      <c r="R105" s="22">
        <f t="shared" ca="1" si="67"/>
        <v>6.1726958660057631</v>
      </c>
      <c r="S105" s="22">
        <f t="shared" ca="1" si="67"/>
        <v>6.1228657948565948</v>
      </c>
      <c r="T105" s="22">
        <f t="shared" ca="1" si="67"/>
        <v>6.0890631787284129</v>
      </c>
      <c r="U105" s="22">
        <f t="shared" ca="1" si="67"/>
        <v>6.0920288508074378</v>
      </c>
      <c r="V105" s="22">
        <f t="shared" ca="1" si="67"/>
        <v>6.0059802208920443</v>
      </c>
      <c r="W105" s="22">
        <f t="shared" ca="1" si="67"/>
        <v>5.8640654281022888</v>
      </c>
      <c r="X105" s="22">
        <f t="shared" ca="1" si="67"/>
        <v>5.717329294357719</v>
      </c>
      <c r="Y105" s="22">
        <f t="shared" ca="1" si="67"/>
        <v>5.5623642251476539</v>
      </c>
      <c r="Z105" s="22">
        <f t="shared" ca="1" si="67"/>
        <v>5.4056818043535841</v>
      </c>
      <c r="AA105" s="22">
        <f t="shared" ca="1" si="67"/>
        <v>5.2532936961093624</v>
      </c>
      <c r="AB105" s="22">
        <f t="shared" ca="1" si="67"/>
        <v>5.1056810253165743</v>
      </c>
      <c r="AC105" s="22">
        <f t="shared" ca="1" si="67"/>
        <v>4.9629012166792164</v>
      </c>
      <c r="AD105" s="22">
        <f t="shared" ca="1" si="67"/>
        <v>4.8237842128206569</v>
      </c>
      <c r="AE105" s="22">
        <f t="shared" ca="1" si="67"/>
        <v>4.6946593870080839</v>
      </c>
      <c r="AF105" s="22">
        <f t="shared" ca="1" si="67"/>
        <v>4.5654352152103952</v>
      </c>
      <c r="AG105" s="22">
        <f t="shared" ca="1" si="67"/>
        <v>4.4369586102873448</v>
      </c>
      <c r="AH105" s="22">
        <f t="shared" ca="1" si="67"/>
        <v>4.3090552122896115</v>
      </c>
      <c r="AI105" s="22">
        <f t="shared" ca="1" si="67"/>
        <v>4.1825100483949926</v>
      </c>
      <c r="AJ105" s="22">
        <f t="shared" ca="1" si="67"/>
        <v>3.6502542162254907</v>
      </c>
      <c r="AK105" s="22">
        <f t="shared" ca="1" si="67"/>
        <v>3.2102588041062141</v>
      </c>
      <c r="AL105" s="22">
        <f t="shared" ca="1" si="67"/>
        <v>2.7961965715378656</v>
      </c>
      <c r="AM105" s="22">
        <f t="shared" ca="1" si="67"/>
        <v>2.4409941250436633</v>
      </c>
      <c r="AN105" s="9"/>
      <c r="AO105" s="9"/>
      <c r="AP105" s="9"/>
      <c r="AQ105" s="9"/>
      <c r="AR105" s="9"/>
      <c r="AS105" s="9"/>
      <c r="AY105">
        <f t="shared" si="62"/>
        <v>1</v>
      </c>
    </row>
    <row r="106" spans="1:51" ht="15">
      <c r="A106" s="20" t="str">
        <f>'[12]TS BYDem'!A21</f>
        <v/>
      </c>
      <c r="B106" s="20" t="str">
        <f>'[12]TS BYDem'!B21</f>
        <v>COM_PROJ</v>
      </c>
      <c r="C106" s="20" t="str">
        <f>'[12]TS BYDem'!C21</f>
        <v>-</v>
      </c>
      <c r="D106" s="20" t="str">
        <f>'[12]TS BYDem'!D21</f>
        <v>RMEL</v>
      </c>
      <c r="E106" s="98" t="s">
        <v>125</v>
      </c>
      <c r="F106" s="98" t="s">
        <v>125</v>
      </c>
      <c r="G106" s="98" t="s">
        <v>125</v>
      </c>
      <c r="H106" s="98" t="s">
        <v>125</v>
      </c>
      <c r="I106" s="98">
        <v>0</v>
      </c>
      <c r="J106" s="98"/>
      <c r="K106" s="98"/>
      <c r="L106" s="276">
        <f>INDEX('BY-DMD'!$I$5:$I$138,MATCH(D106,'BY-DMD'!$H$5:$H$138,0))</f>
        <v>14.579147778971199</v>
      </c>
      <c r="M106" s="22">
        <f ca="1" t="shared" si="68" ref="M106:AM106">OFFSET(M$33,$AY106,$L$95)/OFFSET(L$33,$AY106,$L$95)*L106</f>
        <v>14.972513787454066</v>
      </c>
      <c r="N106" s="22">
        <f t="shared" ca="1" si="68"/>
        <v>15.377135008474639</v>
      </c>
      <c r="O106" s="22">
        <f t="shared" ca="1" si="68"/>
        <v>16.159434594663765</v>
      </c>
      <c r="P106" s="22">
        <f t="shared" ca="1" si="68"/>
        <v>14.475113435477608</v>
      </c>
      <c r="Q106" s="22">
        <f t="shared" ca="1" si="68"/>
        <v>15.309161131574866</v>
      </c>
      <c r="R106" s="22">
        <f t="shared" ca="1" si="68"/>
        <v>15.680443303119279</v>
      </c>
      <c r="S106" s="22">
        <f t="shared" ca="1" si="68"/>
        <v>15.96687410408399</v>
      </c>
      <c r="T106" s="22">
        <f t="shared" ca="1" si="68"/>
        <v>16.270504811515107</v>
      </c>
      <c r="U106" s="22">
        <f t="shared" ca="1" si="68"/>
        <v>16.525707397413107</v>
      </c>
      <c r="V106" s="22">
        <f t="shared" ca="1" si="68"/>
        <v>16.697304452803372</v>
      </c>
      <c r="W106" s="22">
        <f t="shared" ca="1" si="68"/>
        <v>17.034649990406201</v>
      </c>
      <c r="X106" s="22">
        <f t="shared" ca="1" si="68"/>
        <v>17.348434794288384</v>
      </c>
      <c r="Y106" s="22">
        <f t="shared" ca="1" si="68"/>
        <v>17.664741476165595</v>
      </c>
      <c r="Z106" s="22">
        <f t="shared" ca="1" si="68"/>
        <v>17.992785812249657</v>
      </c>
      <c r="AA106" s="22">
        <f t="shared" ca="1" si="68"/>
        <v>18.313355334584116</v>
      </c>
      <c r="AB106" s="22">
        <f t="shared" ca="1" si="68"/>
        <v>18.627325098036707</v>
      </c>
      <c r="AC106" s="22">
        <f t="shared" ca="1" si="68"/>
        <v>18.942214079093649</v>
      </c>
      <c r="AD106" s="22">
        <f t="shared" ca="1" si="68"/>
        <v>19.248656252615916</v>
      </c>
      <c r="AE106" s="22">
        <f t="shared" ca="1" si="68"/>
        <v>19.529118801948698</v>
      </c>
      <c r="AF106" s="22">
        <f t="shared" ca="1" si="68"/>
        <v>19.807113268298558</v>
      </c>
      <c r="AG106" s="22">
        <f t="shared" ca="1" si="68"/>
        <v>20.080879609191062</v>
      </c>
      <c r="AH106" s="22">
        <f t="shared" ca="1" si="68"/>
        <v>20.342775076162805</v>
      </c>
      <c r="AI106" s="22">
        <f t="shared" ca="1" si="68"/>
        <v>20.609566121160345</v>
      </c>
      <c r="AJ106" s="22">
        <f t="shared" ca="1" si="68"/>
        <v>21.806347841997468</v>
      </c>
      <c r="AK106" s="22">
        <f t="shared" ca="1" si="68"/>
        <v>22.8492655500505</v>
      </c>
      <c r="AL106" s="22">
        <f t="shared" ca="1" si="68"/>
        <v>23.514490634393905</v>
      </c>
      <c r="AM106" s="22">
        <f t="shared" ca="1" si="68"/>
        <v>24.723873959330096</v>
      </c>
      <c r="AN106" s="9"/>
      <c r="AO106" s="9"/>
      <c r="AP106" s="9"/>
      <c r="AQ106" s="9"/>
      <c r="AR106" s="9"/>
      <c r="AS106" s="9"/>
      <c r="AY106">
        <f t="shared" si="62"/>
        <v>2</v>
      </c>
    </row>
    <row r="107" spans="1:51" s="254" customFormat="1" ht="15">
      <c r="A107" s="257" t="str">
        <f>'[12]TS BYDem'!A22</f>
        <v/>
      </c>
      <c r="B107" s="257" t="str">
        <f>'[12]TS BYDem'!B22</f>
        <v>COM_PROJ</v>
      </c>
      <c r="C107" s="257" t="str">
        <f>'[12]TS BYDem'!C22</f>
        <v>-</v>
      </c>
      <c r="D107" s="257" t="str">
        <f>'[12]TS BYDem'!D22</f>
        <v>RMNL</v>
      </c>
      <c r="E107" s="256" t="s">
        <v>125</v>
      </c>
      <c r="F107" s="256" t="s">
        <v>125</v>
      </c>
      <c r="G107" s="256" t="s">
        <v>125</v>
      </c>
      <c r="H107" s="256" t="s">
        <v>125</v>
      </c>
      <c r="I107" s="256">
        <v>0</v>
      </c>
      <c r="J107" s="256"/>
      <c r="K107" s="256"/>
      <c r="L107" s="276">
        <f>INDEX('BY-DMD'!$I$5:$I$138,MATCH(D107,'BY-DMD'!$H$5:$H$138,0))</f>
        <v>0.071482186957706306</v>
      </c>
      <c r="M107" s="22">
        <f ca="1" t="shared" si="69" ref="M107:AM107">OFFSET(M$33,$AY107,$L$95)/OFFSET(L$33,$AY107,$L$95)*L107</f>
        <v>0.073410877371403671</v>
      </c>
      <c r="N107" s="22">
        <f t="shared" ca="1" si="69"/>
        <v>0.075394752574984944</v>
      </c>
      <c r="O107" s="22">
        <f t="shared" ca="1" si="69"/>
        <v>0.079230401004145287</v>
      </c>
      <c r="P107" s="22">
        <f t="shared" ca="1" si="69"/>
        <v>0.070972102108826624</v>
      </c>
      <c r="Q107" s="22">
        <f t="shared" ca="1" si="69"/>
        <v>0.075061473740689971</v>
      </c>
      <c r="R107" s="22">
        <f t="shared" ca="1" si="69"/>
        <v>0.076881886154554241</v>
      </c>
      <c r="S107" s="22">
        <f t="shared" ca="1" si="69"/>
        <v>0.078286268658621969</v>
      </c>
      <c r="T107" s="22">
        <f t="shared" ca="1" si="69"/>
        <v>0.079774983041913813</v>
      </c>
      <c r="U107" s="22">
        <f t="shared" ca="1" si="69"/>
        <v>0.081026252267921914</v>
      </c>
      <c r="V107" s="22">
        <f t="shared" ca="1" si="69"/>
        <v>0.081867599991448742</v>
      </c>
      <c r="W107" s="22">
        <f t="shared" ca="1" si="69"/>
        <v>0.083521619633327632</v>
      </c>
      <c r="X107" s="22">
        <f t="shared" ca="1" si="69"/>
        <v>0.085060119987096339</v>
      </c>
      <c r="Y107" s="22">
        <f t="shared" ca="1" si="69"/>
        <v>0.086610985216854938</v>
      </c>
      <c r="Z107" s="22">
        <f t="shared" ca="1" si="69"/>
        <v>0.088219400668696407</v>
      </c>
      <c r="AA107" s="22">
        <f t="shared" ca="1" si="69"/>
        <v>0.089791166788078705</v>
      </c>
      <c r="AB107" s="22">
        <f t="shared" ca="1" si="69"/>
        <v>0.091330574006555282</v>
      </c>
      <c r="AC107" s="22">
        <f t="shared" ca="1" si="69"/>
        <v>0.092874488188377402</v>
      </c>
      <c r="AD107" s="22">
        <f t="shared" ca="1" si="69"/>
        <v>0.094376987310516774</v>
      </c>
      <c r="AE107" s="22">
        <f t="shared" ca="1" si="69"/>
        <v>0.095752107220814828</v>
      </c>
      <c r="AF107" s="22">
        <f t="shared" ca="1" si="69"/>
        <v>0.097115126014374969</v>
      </c>
      <c r="AG107" s="22">
        <f t="shared" ca="1" si="69"/>
        <v>0.098457414127445048</v>
      </c>
      <c r="AH107" s="22">
        <f t="shared" ca="1" si="69"/>
        <v>0.09974149883646026</v>
      </c>
      <c r="AI107" s="22">
        <f t="shared" ca="1" si="69"/>
        <v>0.10104958677454011</v>
      </c>
      <c r="AJ107" s="22">
        <f t="shared" ca="1" si="69"/>
        <v>0.10691745888979769</v>
      </c>
      <c r="AK107" s="22">
        <f t="shared" ca="1" si="69"/>
        <v>0.11203092915011563</v>
      </c>
      <c r="AL107" s="22">
        <f t="shared" ca="1" si="69"/>
        <v>0.11529255627461596</v>
      </c>
      <c r="AM107" s="22">
        <f t="shared" ca="1" si="69"/>
        <v>0.12122221459533856</v>
      </c>
      <c r="AN107" s="255"/>
      <c r="AO107" s="255"/>
      <c r="AP107" s="255"/>
      <c r="AQ107" s="255"/>
      <c r="AR107" s="255"/>
      <c r="AS107" s="255"/>
      <c r="AY107" s="258">
        <v>2</v>
      </c>
    </row>
    <row r="108" spans="1:51" ht="15">
      <c r="A108" s="20" t="str">
        <f>'[12]TS BYDem'!A23</f>
        <v/>
      </c>
      <c r="B108" s="20" t="str">
        <f>'[12]TS BYDem'!B23</f>
        <v>COM_PROJ</v>
      </c>
      <c r="C108" s="20" t="str">
        <f>'[12]TS BYDem'!C23</f>
        <v>-</v>
      </c>
      <c r="D108" s="20" t="str">
        <f>'[12]TS BYDem'!D23</f>
        <v>RMEK</v>
      </c>
      <c r="E108" s="98" t="s">
        <v>125</v>
      </c>
      <c r="F108" s="98" t="s">
        <v>125</v>
      </c>
      <c r="G108" s="98" t="s">
        <v>125</v>
      </c>
      <c r="H108" s="98" t="s">
        <v>125</v>
      </c>
      <c r="I108" s="98">
        <v>0</v>
      </c>
      <c r="J108" s="98"/>
      <c r="K108" s="98"/>
      <c r="L108" s="276">
        <f>INDEX('BY-DMD'!$I$5:$I$138,MATCH(D108,'BY-DMD'!$H$5:$H$138,0))</f>
        <v>10.2728758528227</v>
      </c>
      <c r="M108" s="22">
        <f ca="1" t="shared" si="70" ref="M108:AM108">OFFSET(M$33,$AY108,$L$95)/OFFSET(L$33,$AY108,$L$95)*L108</f>
        <v>10.550052559659679</v>
      </c>
      <c r="N108" s="22">
        <f t="shared" ca="1" si="70"/>
        <v>10.83516000448285</v>
      </c>
      <c r="O108" s="22">
        <f t="shared" ca="1" si="70"/>
        <v>11.386390203289611</v>
      </c>
      <c r="P108" s="22">
        <f t="shared" ca="1" si="70"/>
        <v>10.199570340638983</v>
      </c>
      <c r="Q108" s="22">
        <f t="shared" ca="1" si="70"/>
        <v>10.78726370703029</v>
      </c>
      <c r="R108" s="22">
        <f t="shared" ca="1" si="70"/>
        <v>11.048879523843919</v>
      </c>
      <c r="S108" s="22">
        <f t="shared" ca="1" si="70"/>
        <v>11.25070668845907</v>
      </c>
      <c r="T108" s="22">
        <f t="shared" ca="1" si="70"/>
        <v>11.464653388899521</v>
      </c>
      <c r="U108" s="22">
        <f t="shared" ca="1" si="70"/>
        <v>11.644476278549556</v>
      </c>
      <c r="V108" s="22">
        <f t="shared" ca="1" si="70"/>
        <v>11.765388369808878</v>
      </c>
      <c r="W108" s="22">
        <f t="shared" ca="1" si="70"/>
        <v>12.00309148386169</v>
      </c>
      <c r="X108" s="22">
        <f t="shared" ca="1" si="70"/>
        <v>12.224193045054003</v>
      </c>
      <c r="Y108" s="22">
        <f t="shared" ca="1" si="70"/>
        <v>12.447071592113506</v>
      </c>
      <c r="Z108" s="22">
        <f t="shared" ca="1" si="70"/>
        <v>12.67822081907134</v>
      </c>
      <c r="AA108" s="22">
        <f t="shared" ca="1" si="70"/>
        <v>12.904103082909192</v>
      </c>
      <c r="AB108" s="22">
        <f t="shared" ca="1" si="70"/>
        <v>13.125334971795098</v>
      </c>
      <c r="AC108" s="22">
        <f t="shared" ca="1" si="70"/>
        <v>13.347214567150163</v>
      </c>
      <c r="AD108" s="22">
        <f t="shared" ca="1" si="70"/>
        <v>13.563142305341012</v>
      </c>
      <c r="AE108" s="22">
        <f t="shared" ca="1" si="70"/>
        <v>13.760764072699567</v>
      </c>
      <c r="AF108" s="22">
        <f t="shared" ca="1" si="70"/>
        <v>13.956646759663133</v>
      </c>
      <c r="AG108" s="22">
        <f t="shared" ca="1" si="70"/>
        <v>14.149550191009563</v>
      </c>
      <c r="AH108" s="22">
        <f t="shared" ca="1" si="70"/>
        <v>14.33408907211607</v>
      </c>
      <c r="AI108" s="22">
        <f t="shared" ca="1" si="70"/>
        <v>14.522077514613217</v>
      </c>
      <c r="AJ108" s="22">
        <f t="shared" ca="1" si="70"/>
        <v>15.365363434166111</v>
      </c>
      <c r="AK108" s="22">
        <f t="shared" ca="1" si="70"/>
        <v>16.100232460940955</v>
      </c>
      <c r="AL108" s="22">
        <f t="shared" ca="1" si="70"/>
        <v>16.568968686764816</v>
      </c>
      <c r="AM108" s="22">
        <f t="shared" ca="1" si="70"/>
        <v>17.421134049507309</v>
      </c>
      <c r="AN108" s="9"/>
      <c r="AO108" s="9"/>
      <c r="AP108" s="9"/>
      <c r="AQ108" s="9"/>
      <c r="AR108" s="9"/>
      <c r="AS108" s="9"/>
      <c r="AY108">
        <f t="shared" si="71" ref="AY108:AY119">MATCH(MID(D108,2,2),$B$34:$B$38,0)</f>
        <v>2</v>
      </c>
    </row>
    <row r="109" spans="1:51" ht="15">
      <c r="A109" s="20" t="str">
        <f>'[12]TS BYDem'!A24</f>
        <v/>
      </c>
      <c r="B109" s="20" t="str">
        <f>'[12]TS BYDem'!B24</f>
        <v>COM_PROJ</v>
      </c>
      <c r="C109" s="20" t="str">
        <f>'[12]TS BYDem'!C24</f>
        <v>-</v>
      </c>
      <c r="D109" s="20" t="str">
        <f>'[12]TS BYDem'!D24</f>
        <v>RMEH</v>
      </c>
      <c r="E109" s="98" t="s">
        <v>125</v>
      </c>
      <c r="F109" s="98" t="s">
        <v>125</v>
      </c>
      <c r="G109" s="98" t="s">
        <v>125</v>
      </c>
      <c r="H109" s="98" t="s">
        <v>125</v>
      </c>
      <c r="I109" s="98">
        <v>0</v>
      </c>
      <c r="J109" s="98"/>
      <c r="K109" s="98"/>
      <c r="L109" s="276">
        <f>INDEX('BY-DMD'!$I$5:$I$138,MATCH(D109,'BY-DMD'!$H$5:$H$138,0))</f>
        <v>9.6822001330816203</v>
      </c>
      <c r="M109" s="22">
        <f ca="1" t="shared" si="72" ref="M109:AK109">IF(OR($E$78=1,$E$78=2,$E$78=3),M90,M82)</f>
        <v>9.9434395743318245</v>
      </c>
      <c r="N109" s="22">
        <f t="shared" ca="1" si="72"/>
        <v>10.212153747437592</v>
      </c>
      <c r="O109" s="22">
        <f t="shared" ca="1" si="72"/>
        <v>10.73168899547419</v>
      </c>
      <c r="P109" s="22">
        <f t="shared" ca="1" si="72"/>
        <v>9.6131095833670734</v>
      </c>
      <c r="Q109" s="22">
        <f t="shared" ca="1" si="72"/>
        <v>10.167011418822584</v>
      </c>
      <c r="R109" s="22">
        <f t="shared" ca="1" si="72"/>
        <v>10.413584699047048</v>
      </c>
      <c r="S109" s="22">
        <f t="shared" ca="1" si="72"/>
        <v>10.60380708935846</v>
      </c>
      <c r="T109" s="22">
        <f t="shared" ca="1" si="72"/>
        <v>10.805452159459032</v>
      </c>
      <c r="U109" s="22">
        <f t="shared" ca="1" si="72"/>
        <v>10.974935489253413</v>
      </c>
      <c r="V109" s="22">
        <f t="shared" ca="1" si="72"/>
        <v>11.088895307599755</v>
      </c>
      <c r="W109" s="22">
        <f t="shared" ca="1" si="72"/>
        <v>11.312930831389684</v>
      </c>
      <c r="X109" s="22">
        <f t="shared" ca="1" si="72"/>
        <v>11.521319367946617</v>
      </c>
      <c r="Y109" s="22">
        <f t="shared" ca="1" si="72"/>
        <v>11.731382716216091</v>
      </c>
      <c r="Z109" s="22">
        <f t="shared" ca="1" si="72"/>
        <v>11.949241192077833</v>
      </c>
      <c r="AA109" s="22">
        <f t="shared" ca="1" si="72"/>
        <v>12.162135547692058</v>
      </c>
      <c r="AB109" s="22">
        <f t="shared" ca="1" si="72"/>
        <v>12.370646918285956</v>
      </c>
      <c r="AC109" s="22">
        <f t="shared" ca="1" si="72"/>
        <v>12.579768753150203</v>
      </c>
      <c r="AD109" s="22">
        <f t="shared" ca="1" si="72"/>
        <v>12.783280954154073</v>
      </c>
      <c r="AE109" s="22">
        <f t="shared" ca="1" si="72"/>
        <v>12.969539751557242</v>
      </c>
      <c r="AF109" s="22">
        <f t="shared" ca="1" si="72"/>
        <v>13.154159463209448</v>
      </c>
      <c r="AG109" s="22">
        <f t="shared" ca="1" si="72"/>
        <v>13.335971222196207</v>
      </c>
      <c r="AH109" s="22">
        <f t="shared" ca="1" si="72"/>
        <v>13.509899380659954</v>
      </c>
      <c r="AI109" s="22">
        <f t="shared" ca="1" si="72"/>
        <v>13.687078755650996</v>
      </c>
      <c r="AJ109" s="22">
        <f t="shared" ca="1" si="72"/>
        <v>14.481876936754041</v>
      </c>
      <c r="AK109" s="22">
        <f t="shared" ca="1" si="72"/>
        <v>15.174492041888589</v>
      </c>
      <c r="AL109" s="22">
        <f ca="1">IF($E$78=1,AL90,AL82)</f>
        <v>15.616276602811221</v>
      </c>
      <c r="AM109" s="22">
        <f ca="1">IF($E$78=1,AM90,AM82)</f>
        <v>16.419443671776218</v>
      </c>
      <c r="AN109" s="9"/>
      <c r="AO109" s="9"/>
      <c r="AP109" s="9"/>
      <c r="AQ109" s="9"/>
      <c r="AR109" s="9"/>
      <c r="AS109" s="9"/>
      <c r="AY109">
        <f t="shared" si="71"/>
        <v>2</v>
      </c>
    </row>
    <row r="110" spans="1:51" ht="15">
      <c r="A110" s="20" t="str">
        <f>'[12]TS BYDem'!A25</f>
        <v/>
      </c>
      <c r="B110" s="20" t="str">
        <f>'[12]TS BYDem'!B25</f>
        <v>COM_PROJ</v>
      </c>
      <c r="C110" s="20" t="str">
        <f>'[12]TS BYDem'!C25</f>
        <v>-</v>
      </c>
      <c r="D110" s="20" t="str">
        <f>'[12]TS BYDem'!D25</f>
        <v>RMEWG</v>
      </c>
      <c r="E110" s="98" t="s">
        <v>125</v>
      </c>
      <c r="F110" s="98" t="s">
        <v>125</v>
      </c>
      <c r="G110" s="98" t="s">
        <v>125</v>
      </c>
      <c r="H110" s="98" t="s">
        <v>125</v>
      </c>
      <c r="I110" s="98">
        <v>0</v>
      </c>
      <c r="J110" s="98"/>
      <c r="K110" s="98"/>
      <c r="L110" s="276">
        <f>INDEX('BY-DMD'!$I$5:$I$138,MATCH(D110,'BY-DMD'!$H$5:$H$138,0))</f>
        <v>7.1740496070211197</v>
      </c>
      <c r="M110" s="22">
        <f ca="1" t="shared" si="73" ref="M110:AM110">OFFSET(M$33,$AY110,$L$95)/OFFSET(L$33,$AY110,$L$95)*L110</f>
        <v>7.3676156028773683</v>
      </c>
      <c r="N110" s="22">
        <f t="shared" ca="1" si="73"/>
        <v>7.5667200193811892</v>
      </c>
      <c r="O110" s="22">
        <f t="shared" ca="1" si="73"/>
        <v>7.9516709180179346</v>
      </c>
      <c r="P110" s="22">
        <f t="shared" ca="1" si="73"/>
        <v>7.1228567971002663</v>
      </c>
      <c r="Q110" s="22">
        <f t="shared" ca="1" si="73"/>
        <v>7.5332717018077915</v>
      </c>
      <c r="R110" s="22">
        <f t="shared" ca="1" si="73"/>
        <v>7.715970770178858</v>
      </c>
      <c r="S110" s="22">
        <f t="shared" ca="1" si="73"/>
        <v>7.8569165103725034</v>
      </c>
      <c r="T110" s="22">
        <f t="shared" ca="1" si="73"/>
        <v>8.0063259127840531</v>
      </c>
      <c r="U110" s="22">
        <f t="shared" ca="1" si="73"/>
        <v>8.1319049959258756</v>
      </c>
      <c r="V110" s="22">
        <f t="shared" ca="1" si="73"/>
        <v>8.2163437989651147</v>
      </c>
      <c r="W110" s="22">
        <f t="shared" ca="1" si="73"/>
        <v>8.3823434621937611</v>
      </c>
      <c r="X110" s="22">
        <f t="shared" ca="1" si="73"/>
        <v>8.5367494523866281</v>
      </c>
      <c r="Y110" s="22">
        <f t="shared" ca="1" si="73"/>
        <v>8.692396398368782</v>
      </c>
      <c r="Z110" s="22">
        <f t="shared" ca="1" si="73"/>
        <v>8.8538191629945651</v>
      </c>
      <c r="AA110" s="22">
        <f t="shared" ca="1" si="73"/>
        <v>9.0115637507161921</v>
      </c>
      <c r="AB110" s="22">
        <f t="shared" ca="1" si="73"/>
        <v>9.1660607550858479</v>
      </c>
      <c r="AC110" s="22">
        <f t="shared" ca="1" si="73"/>
        <v>9.3210100844331532</v>
      </c>
      <c r="AD110" s="22">
        <f t="shared" ca="1" si="73"/>
        <v>9.4718029420035457</v>
      </c>
      <c r="AE110" s="22">
        <f t="shared" ca="1" si="73"/>
        <v>9.6098118484450552</v>
      </c>
      <c r="AF110" s="22">
        <f t="shared" ca="1" si="73"/>
        <v>9.7466062703349188</v>
      </c>
      <c r="AG110" s="22">
        <f t="shared" ca="1" si="73"/>
        <v>9.881320132905703</v>
      </c>
      <c r="AH110" s="22">
        <f t="shared" ca="1" si="73"/>
        <v>10.010192622600833</v>
      </c>
      <c r="AI110" s="22">
        <f t="shared" ca="1" si="73"/>
        <v>10.141474109045605</v>
      </c>
      <c r="AJ110" s="22">
        <f t="shared" ca="1" si="73"/>
        <v>10.730381743718574</v>
      </c>
      <c r="AK110" s="22">
        <f t="shared" ca="1" si="73"/>
        <v>11.243576581101669</v>
      </c>
      <c r="AL110" s="22">
        <f t="shared" ca="1" si="73"/>
        <v>11.570917920065115</v>
      </c>
      <c r="AM110" s="22">
        <f t="shared" ca="1" si="73"/>
        <v>12.166026502441294</v>
      </c>
      <c r="AN110" s="9"/>
      <c r="AO110" s="9"/>
      <c r="AP110" s="9"/>
      <c r="AQ110" s="9"/>
      <c r="AR110" s="9"/>
      <c r="AS110" s="9"/>
      <c r="AY110">
        <f t="shared" si="71"/>
        <v>2</v>
      </c>
    </row>
    <row r="111" spans="1:51" ht="15">
      <c r="A111" s="20" t="str">
        <f>'[12]TS BYDem'!A26</f>
        <v/>
      </c>
      <c r="B111" s="20" t="str">
        <f>'[12]TS BYDem'!B26</f>
        <v>COM_PROJ</v>
      </c>
      <c r="C111" s="20" t="str">
        <f>'[12]TS BYDem'!C26</f>
        <v>-</v>
      </c>
      <c r="D111" s="20" t="str">
        <f>'[12]TS BYDem'!D26</f>
        <v>RMEW</v>
      </c>
      <c r="E111" s="98" t="s">
        <v>125</v>
      </c>
      <c r="F111" s="98" t="s">
        <v>125</v>
      </c>
      <c r="G111" s="98" t="s">
        <v>125</v>
      </c>
      <c r="H111" s="98" t="s">
        <v>125</v>
      </c>
      <c r="I111" s="98">
        <v>0</v>
      </c>
      <c r="J111" s="98"/>
      <c r="K111" s="98"/>
      <c r="L111" s="276">
        <f>INDEX('BY-DMD'!$I$5:$I$138,MATCH(D111,'BY-DMD'!$H$5:$H$138,0))</f>
        <v>4.3678647382810798</v>
      </c>
      <c r="M111" s="22">
        <f ca="1" t="shared" si="74" ref="M111:AM111">OFFSET(M$33,$AY111,$L$95)/OFFSET(L$33,$AY111,$L$95)*L111</f>
        <v>4.48571590103347</v>
      </c>
      <c r="N111" s="22">
        <f t="shared" ca="1" si="74"/>
        <v>4.606939088454971</v>
      </c>
      <c r="O111" s="22">
        <f t="shared" ca="1" si="74"/>
        <v>4.8413134722729314</v>
      </c>
      <c r="P111" s="22">
        <f t="shared" ca="1" si="74"/>
        <v>4.3366963910357539</v>
      </c>
      <c r="Q111" s="22">
        <f t="shared" ca="1" si="74"/>
        <v>4.5865743384341897</v>
      </c>
      <c r="R111" s="22">
        <f t="shared" ca="1" si="74"/>
        <v>4.697809256251567</v>
      </c>
      <c r="S111" s="22">
        <f t="shared" ca="1" si="74"/>
        <v>4.7836229824349266</v>
      </c>
      <c r="T111" s="22">
        <f t="shared" ca="1" si="74"/>
        <v>4.8745897440422574</v>
      </c>
      <c r="U111" s="22">
        <f t="shared" ca="1" si="74"/>
        <v>4.9510475996701322</v>
      </c>
      <c r="V111" s="22">
        <f t="shared" ca="1" si="74"/>
        <v>5.0024575132532219</v>
      </c>
      <c r="W111" s="22">
        <f t="shared" ca="1" si="74"/>
        <v>5.1035251271254944</v>
      </c>
      <c r="X111" s="22">
        <f t="shared" ca="1" si="74"/>
        <v>5.197534022642853</v>
      </c>
      <c r="Y111" s="22">
        <f t="shared" ca="1" si="74"/>
        <v>5.2922984645155768</v>
      </c>
      <c r="Z111" s="22">
        <f t="shared" ca="1" si="74"/>
        <v>5.3905794689952167</v>
      </c>
      <c r="AA111" s="22">
        <f t="shared" ca="1" si="74"/>
        <v>5.4866210438526952</v>
      </c>
      <c r="AB111" s="22">
        <f t="shared" ca="1" si="74"/>
        <v>5.5806853526492004</v>
      </c>
      <c r="AC111" s="22">
        <f t="shared" ca="1" si="74"/>
        <v>5.6750250560175779</v>
      </c>
      <c r="AD111" s="22">
        <f t="shared" ca="1" si="74"/>
        <v>5.7668341236217042</v>
      </c>
      <c r="AE111" s="22">
        <f t="shared" ca="1" si="74"/>
        <v>5.850859781239774</v>
      </c>
      <c r="AF111" s="22">
        <f t="shared" ca="1" si="74"/>
        <v>5.9341460093112266</v>
      </c>
      <c r="AG111" s="22">
        <f t="shared" ca="1" si="74"/>
        <v>6.0161655048977503</v>
      </c>
      <c r="AH111" s="22">
        <f t="shared" ca="1" si="74"/>
        <v>6.0946285256890969</v>
      </c>
      <c r="AI111" s="22">
        <f t="shared" ca="1" si="74"/>
        <v>6.1745582455602905</v>
      </c>
      <c r="AJ111" s="22">
        <f t="shared" ca="1" si="74"/>
        <v>6.5331101140998031</v>
      </c>
      <c r="AK111" s="22">
        <f t="shared" ca="1" si="74"/>
        <v>6.8455648303147187</v>
      </c>
      <c r="AL111" s="22">
        <f t="shared" ca="1" si="74"/>
        <v>7.0448640783211509</v>
      </c>
      <c r="AM111" s="22">
        <f t="shared" ca="1" si="74"/>
        <v>7.4071913460146179</v>
      </c>
      <c r="AN111" s="9"/>
      <c r="AO111" s="9"/>
      <c r="AP111" s="9"/>
      <c r="AQ111" s="9"/>
      <c r="AR111" s="9"/>
      <c r="AS111" s="9"/>
      <c r="AY111">
        <f t="shared" si="71"/>
        <v>2</v>
      </c>
    </row>
    <row r="112" spans="1:51" ht="15">
      <c r="A112" s="20" t="str">
        <f>'[12]TS BYDem'!A27</f>
        <v/>
      </c>
      <c r="B112" s="20" t="str">
        <f>'[12]TS BYDem'!B27</f>
        <v>COM_PROJ</v>
      </c>
      <c r="C112" s="20" t="str">
        <f>'[12]TS BYDem'!C27</f>
        <v>-</v>
      </c>
      <c r="D112" s="20" t="str">
        <f>'[12]TS BYDem'!D27</f>
        <v>RMER</v>
      </c>
      <c r="E112" s="98" t="s">
        <v>125</v>
      </c>
      <c r="F112" s="98" t="s">
        <v>125</v>
      </c>
      <c r="G112" s="98" t="s">
        <v>125</v>
      </c>
      <c r="H112" s="98" t="s">
        <v>125</v>
      </c>
      <c r="I112" s="98">
        <v>0</v>
      </c>
      <c r="J112" s="98"/>
      <c r="K112" s="98"/>
      <c r="L112" s="276">
        <f>INDEX('BY-DMD'!$I$5:$I$138,MATCH(D112,'BY-DMD'!$H$5:$H$138,0))</f>
        <v>6.4871161947221303</v>
      </c>
      <c r="M112" s="22">
        <f ca="1" t="shared" si="75" ref="M112:AM112">OFFSET(M$33,$AY112,$L$95)/OFFSET(L$33,$AY112,$L$95)*L112</f>
        <v>6.6621477564272054</v>
      </c>
      <c r="N112" s="22">
        <f t="shared" ca="1" si="75"/>
        <v>6.8421874209813174</v>
      </c>
      <c r="O112" s="22">
        <f t="shared" ca="1" si="75"/>
        <v>7.1902782964995575</v>
      </c>
      <c r="P112" s="22">
        <f t="shared" ca="1" si="75"/>
        <v>6.4408252259552174</v>
      </c>
      <c r="Q112" s="22">
        <f t="shared" ca="1" si="75"/>
        <v>6.8119418644961431</v>
      </c>
      <c r="R112" s="22">
        <f t="shared" ca="1" si="75"/>
        <v>6.9771470345343687</v>
      </c>
      <c r="S112" s="22">
        <f t="shared" ca="1" si="75"/>
        <v>7.104596863274395</v>
      </c>
      <c r="T112" s="22">
        <f t="shared" ca="1" si="75"/>
        <v>7.2396999371476429</v>
      </c>
      <c r="U112" s="22">
        <f t="shared" ca="1" si="75"/>
        <v>7.3532545051520781</v>
      </c>
      <c r="V112" s="22">
        <f t="shared" ca="1" si="75"/>
        <v>7.4296080790279415</v>
      </c>
      <c r="W112" s="22">
        <f t="shared" ca="1" si="75"/>
        <v>7.579712854243752</v>
      </c>
      <c r="X112" s="22">
        <f t="shared" ca="1" si="75"/>
        <v>7.7193340799684735</v>
      </c>
      <c r="Y112" s="22">
        <f t="shared" ca="1" si="75"/>
        <v>7.8600774368239517</v>
      </c>
      <c r="Z112" s="22">
        <f t="shared" ca="1" si="75"/>
        <v>8.0060435630653828</v>
      </c>
      <c r="AA112" s="22">
        <f t="shared" ca="1" si="75"/>
        <v>8.1486837071532126</v>
      </c>
      <c r="AB112" s="22">
        <f t="shared" ca="1" si="75"/>
        <v>8.288387232216877</v>
      </c>
      <c r="AC112" s="22">
        <f t="shared" ca="1" si="75"/>
        <v>8.4284997709964369</v>
      </c>
      <c r="AD112" s="22">
        <f t="shared" ca="1" si="75"/>
        <v>8.5648538306945969</v>
      </c>
      <c r="AE112" s="22">
        <f t="shared" ca="1" si="75"/>
        <v>8.6896480349493892</v>
      </c>
      <c r="AF112" s="22">
        <f t="shared" ca="1" si="75"/>
        <v>8.8133440446230455</v>
      </c>
      <c r="AG112" s="22">
        <f t="shared" ca="1" si="75"/>
        <v>8.9351587137997441</v>
      </c>
      <c r="AH112" s="22">
        <f t="shared" ca="1" si="75"/>
        <v>9.0516913363421434</v>
      </c>
      <c r="AI112" s="22">
        <f t="shared" ca="1" si="75"/>
        <v>9.1704022880965876</v>
      </c>
      <c r="AJ112" s="22">
        <f t="shared" ca="1" si="75"/>
        <v>9.7029205258215754</v>
      </c>
      <c r="AK112" s="22">
        <f t="shared" ca="1" si="75"/>
        <v>10.166975658278073</v>
      </c>
      <c r="AL112" s="22">
        <f t="shared" ca="1" si="75"/>
        <v>10.462973235310933</v>
      </c>
      <c r="AM112" s="22">
        <f t="shared" ca="1" si="75"/>
        <v>11.001098664297707</v>
      </c>
      <c r="AN112" s="9"/>
      <c r="AO112" s="9"/>
      <c r="AP112" s="9"/>
      <c r="AQ112" s="9"/>
      <c r="AR112" s="9"/>
      <c r="AS112" s="9"/>
      <c r="AY112">
        <f t="shared" si="71"/>
        <v>2</v>
      </c>
    </row>
    <row r="113" spans="1:51" ht="15">
      <c r="A113" s="20" t="str">
        <f>'[12]TS BYDem'!A28</f>
        <v/>
      </c>
      <c r="B113" s="20" t="str">
        <f>'[12]TS BYDem'!B28</f>
        <v>COM_PROJ</v>
      </c>
      <c r="C113" s="20" t="str">
        <f>'[12]TS BYDem'!C28</f>
        <v>-</v>
      </c>
      <c r="D113" s="20" t="str">
        <f>'[12]TS BYDem'!D28</f>
        <v>RMEO</v>
      </c>
      <c r="E113" s="98" t="s">
        <v>125</v>
      </c>
      <c r="F113" s="98" t="s">
        <v>125</v>
      </c>
      <c r="G113" s="98" t="s">
        <v>125</v>
      </c>
      <c r="H113" s="98" t="s">
        <v>125</v>
      </c>
      <c r="I113" s="98">
        <v>0</v>
      </c>
      <c r="J113" s="98"/>
      <c r="K113" s="98"/>
      <c r="L113" s="276">
        <f>INDEX('BY-DMD'!$I$5:$I$138,MATCH(D113,'BY-DMD'!$H$5:$H$138,0))</f>
        <v>7.7618829459684902</v>
      </c>
      <c r="M113" s="22">
        <f ca="1" t="shared" si="76" ref="M113:AK113">IF(OR($E$78=1,$E$78=2,$E$78=3),M92,M84)</f>
        <v>7.971309515961206</v>
      </c>
      <c r="N113" s="22">
        <f t="shared" ca="1" si="76"/>
        <v>8.1867283183926158</v>
      </c>
      <c r="O113" s="22">
        <f t="shared" ca="1" si="76"/>
        <v>8.6032216490547775</v>
      </c>
      <c r="P113" s="22">
        <f t="shared" ca="1" si="76"/>
        <v>7.7064954563291659</v>
      </c>
      <c r="Q113" s="22">
        <f t="shared" ca="1" si="76"/>
        <v>8.150539284309243</v>
      </c>
      <c r="R113" s="22">
        <f t="shared" ca="1" si="76"/>
        <v>8.3482085033296762</v>
      </c>
      <c r="S113" s="22">
        <f t="shared" ca="1" si="76"/>
        <v>8.5007031746859045</v>
      </c>
      <c r="T113" s="22">
        <f t="shared" ca="1" si="76"/>
        <v>8.6623550109668486</v>
      </c>
      <c r="U113" s="22">
        <f t="shared" ca="1" si="76"/>
        <v>8.7982238991405399</v>
      </c>
      <c r="V113" s="22">
        <f t="shared" ca="1" si="76"/>
        <v>8.8895815201760602</v>
      </c>
      <c r="W113" s="22">
        <f t="shared" ca="1" si="76"/>
        <v>9.0691830040841097</v>
      </c>
      <c r="X113" s="22">
        <f t="shared" ca="1" si="76"/>
        <v>9.2362408427782352</v>
      </c>
      <c r="Y113" s="22">
        <f t="shared" ca="1" si="76"/>
        <v>9.4046413197457497</v>
      </c>
      <c r="Z113" s="22">
        <f t="shared" ca="1" si="76"/>
        <v>9.5792908792656206</v>
      </c>
      <c r="AA113" s="22">
        <f t="shared" ca="1" si="76"/>
        <v>9.7499608763140149</v>
      </c>
      <c r="AB113" s="22">
        <f t="shared" ca="1" si="76"/>
        <v>9.9171171867814571</v>
      </c>
      <c r="AC113" s="22">
        <f t="shared" ca="1" si="76"/>
        <v>10.084762885212793</v>
      </c>
      <c r="AD113" s="22">
        <f t="shared" ca="1" si="76"/>
        <v>10.24791153537044</v>
      </c>
      <c r="AE113" s="22">
        <f t="shared" ca="1" si="76"/>
        <v>10.397228732208854</v>
      </c>
      <c r="AF113" s="22">
        <f t="shared" ca="1" si="76"/>
        <v>10.545231931034158</v>
      </c>
      <c r="AG113" s="22">
        <f t="shared" ca="1" si="76"/>
        <v>10.690984091912773</v>
      </c>
      <c r="AH113" s="22">
        <f t="shared" ca="1" si="76"/>
        <v>10.830416244568948</v>
      </c>
      <c r="AI113" s="22">
        <f t="shared" ca="1" si="76"/>
        <v>10.972454784386096</v>
      </c>
      <c r="AJ113" s="22">
        <f t="shared" ca="1" si="76"/>
        <v>11.609616830470246</v>
      </c>
      <c r="AK113" s="22">
        <f t="shared" ca="1" si="76"/>
        <v>12.164862260101019</v>
      </c>
      <c r="AL113" s="22">
        <f ca="1">IF($E$78=1,AL92,AL84)</f>
        <v>12.519025570307885</v>
      </c>
      <c r="AM113" s="22">
        <f ca="1">IF($E$78=1,AM92,AM84)</f>
        <v>13.162896662588102</v>
      </c>
      <c r="AN113" s="9"/>
      <c r="AO113" s="9"/>
      <c r="AP113" s="9"/>
      <c r="AQ113" s="9"/>
      <c r="AR113" s="9"/>
      <c r="AS113" s="9"/>
      <c r="AY113">
        <f t="shared" si="71"/>
        <v>2</v>
      </c>
    </row>
    <row r="114" spans="1:51" s="254" customFormat="1" ht="15">
      <c r="A114" s="257" t="str">
        <f>'[12]TS BYDem'!A32</f>
        <v/>
      </c>
      <c r="B114" s="257" t="str">
        <f>'[12]TS BYDem'!B32</f>
        <v>COM_PROJ</v>
      </c>
      <c r="C114" s="257" t="str">
        <f>'[12]TS BYDem'!C32</f>
        <v>-</v>
      </c>
      <c r="D114" s="257" t="str">
        <f>'[12]TS BYDem'!D32</f>
        <v>RHEL</v>
      </c>
      <c r="E114" s="256" t="s">
        <v>125</v>
      </c>
      <c r="F114" s="256" t="s">
        <v>125</v>
      </c>
      <c r="G114" s="256" t="s">
        <v>125</v>
      </c>
      <c r="H114" s="256" t="s">
        <v>125</v>
      </c>
      <c r="I114" s="256">
        <v>0</v>
      </c>
      <c r="J114" s="256"/>
      <c r="K114" s="256"/>
      <c r="L114" s="276">
        <f>INDEX('BY-DMD'!$I$5:$I$138,MATCH(D114,'BY-DMD'!$H$5:$H$138,0))</f>
        <v>18.7538979805365</v>
      </c>
      <c r="M114" s="22">
        <f ca="1" t="shared" si="77" ref="M114:AM114">OFFSET(M$33,$AY114,$L$95)/OFFSET(L$33,$AY114,$L$95)*L114</f>
        <v>19.447177083989232</v>
      </c>
      <c r="N114" s="22">
        <f t="shared" ca="1" si="77"/>
        <v>19.734761620292947</v>
      </c>
      <c r="O114" s="22">
        <f t="shared" ca="1" si="77"/>
        <v>16.6666309106954</v>
      </c>
      <c r="P114" s="22">
        <f t="shared" ca="1" si="77"/>
        <v>17.611836057800456</v>
      </c>
      <c r="Q114" s="22">
        <f t="shared" ca="1" si="77"/>
        <v>18.967764076816234</v>
      </c>
      <c r="R114" s="22">
        <f t="shared" ca="1" si="77"/>
        <v>19.681832840537272</v>
      </c>
      <c r="S114" s="22">
        <f t="shared" ca="1" si="77"/>
        <v>20.366014297614875</v>
      </c>
      <c r="T114" s="22">
        <f t="shared" ca="1" si="77"/>
        <v>20.986571571333368</v>
      </c>
      <c r="U114" s="22">
        <f t="shared" ca="1" si="77"/>
        <v>21.427434655305014</v>
      </c>
      <c r="V114" s="22">
        <f t="shared" ca="1" si="77"/>
        <v>22.544133922834579</v>
      </c>
      <c r="W114" s="22">
        <f t="shared" ca="1" si="77"/>
        <v>23.708722404846636</v>
      </c>
      <c r="X114" s="22">
        <f t="shared" ca="1" si="77"/>
        <v>24.920271697694311</v>
      </c>
      <c r="Y114" s="22">
        <f t="shared" ca="1" si="77"/>
        <v>26.160199128682045</v>
      </c>
      <c r="Z114" s="22">
        <f t="shared" ca="1" si="77"/>
        <v>27.372543048644335</v>
      </c>
      <c r="AA114" s="22">
        <f t="shared" ca="1" si="77"/>
        <v>28.555136416255703</v>
      </c>
      <c r="AB114" s="22">
        <f t="shared" ca="1" si="77"/>
        <v>29.70448593355345</v>
      </c>
      <c r="AC114" s="22">
        <f t="shared" ca="1" si="77"/>
        <v>30.805979368779827</v>
      </c>
      <c r="AD114" s="22">
        <f t="shared" ca="1" si="77"/>
        <v>31.884511290406333</v>
      </c>
      <c r="AE114" s="22">
        <f t="shared" ca="1" si="77"/>
        <v>32.932245811970262</v>
      </c>
      <c r="AF114" s="22">
        <f t="shared" ca="1" si="77"/>
        <v>33.971418185298482</v>
      </c>
      <c r="AG114" s="22">
        <f t="shared" ca="1" si="77"/>
        <v>34.996026792687232</v>
      </c>
      <c r="AH114" s="22">
        <f t="shared" ca="1" si="77"/>
        <v>36.020207594796254</v>
      </c>
      <c r="AI114" s="22">
        <f t="shared" ca="1" si="77"/>
        <v>37.011847997457437</v>
      </c>
      <c r="AJ114" s="22">
        <f t="shared" ca="1" si="77"/>
        <v>41.309813205986295</v>
      </c>
      <c r="AK114" s="22">
        <f t="shared" ca="1" si="77"/>
        <v>44.738613289669232</v>
      </c>
      <c r="AL114" s="22">
        <f t="shared" ca="1" si="77"/>
        <v>48.014008880581585</v>
      </c>
      <c r="AM114" s="22">
        <f t="shared" ca="1" si="77"/>
        <v>49.435207073581324</v>
      </c>
      <c r="AN114" s="255"/>
      <c r="AO114" s="255"/>
      <c r="AP114" s="255"/>
      <c r="AR114" s="255"/>
      <c r="AS114" s="255"/>
      <c r="AY114" s="254">
        <f t="shared" si="71"/>
        <v>3</v>
      </c>
    </row>
    <row r="115" spans="1:51" ht="15">
      <c r="A115" s="20" t="str">
        <f>'[12]TS BYDem'!A33</f>
        <v/>
      </c>
      <c r="B115" s="20" t="str">
        <f>'[12]TS BYDem'!B33</f>
        <v>COM_PROJ</v>
      </c>
      <c r="C115" s="20" t="str">
        <f>'[12]TS BYDem'!C33</f>
        <v>-</v>
      </c>
      <c r="D115" s="20" t="str">
        <f>'[12]TS BYDem'!D33</f>
        <v>RHEK</v>
      </c>
      <c r="E115" s="98" t="s">
        <v>125</v>
      </c>
      <c r="F115" s="98" t="s">
        <v>125</v>
      </c>
      <c r="G115" s="98" t="s">
        <v>125</v>
      </c>
      <c r="H115" s="98" t="s">
        <v>125</v>
      </c>
      <c r="I115" s="98">
        <v>0</v>
      </c>
      <c r="J115" s="98"/>
      <c r="K115" s="98"/>
      <c r="L115" s="276">
        <f>INDEX('BY-DMD'!$I$5:$I$138,MATCH(D115,'BY-DMD'!$H$5:$H$138,0))</f>
        <v>7.6194416260697402</v>
      </c>
      <c r="M115" s="22">
        <f ca="1" t="shared" si="78" ref="M115:AM115">OFFSET(M$33,$AY115,$L$95)/OFFSET(L$33,$AY115,$L$95)*L115</f>
        <v>7.9011110509975246</v>
      </c>
      <c r="N115" s="22">
        <f t="shared" ca="1" si="78"/>
        <v>8.0179525518524741</v>
      </c>
      <c r="O115" s="22">
        <f t="shared" ca="1" si="78"/>
        <v>6.7714147458351635</v>
      </c>
      <c r="P115" s="22">
        <f t="shared" ca="1" si="78"/>
        <v>7.1554381339597057</v>
      </c>
      <c r="Q115" s="22">
        <f t="shared" ca="1" si="78"/>
        <v>7.7063323747604944</v>
      </c>
      <c r="R115" s="22">
        <f t="shared" ca="1" si="78"/>
        <v>7.9964483425352428</v>
      </c>
      <c r="S115" s="22">
        <f t="shared" ca="1" si="78"/>
        <v>8.2744215233242429</v>
      </c>
      <c r="T115" s="22">
        <f t="shared" ca="1" si="78"/>
        <v>8.5265451046532146</v>
      </c>
      <c r="U115" s="22">
        <f t="shared" ca="1" si="78"/>
        <v>8.7056614961840459</v>
      </c>
      <c r="V115" s="22">
        <f t="shared" ca="1" si="78"/>
        <v>9.1593605027397462</v>
      </c>
      <c r="W115" s="22">
        <f t="shared" ca="1" si="78"/>
        <v>9.632516215023843</v>
      </c>
      <c r="X115" s="22">
        <f t="shared" ca="1" si="78"/>
        <v>10.124751435858443</v>
      </c>
      <c r="Y115" s="22">
        <f t="shared" ca="1" si="78"/>
        <v>10.628516290011893</v>
      </c>
      <c r="Z115" s="22">
        <f t="shared" ca="1" si="78"/>
        <v>11.121074356524792</v>
      </c>
      <c r="AA115" s="22">
        <f t="shared" ca="1" si="78"/>
        <v>11.601545197373117</v>
      </c>
      <c r="AB115" s="22">
        <f t="shared" ca="1" si="78"/>
        <v>12.068509535351833</v>
      </c>
      <c r="AC115" s="22">
        <f t="shared" ca="1" si="78"/>
        <v>12.516030628828865</v>
      </c>
      <c r="AD115" s="22">
        <f t="shared" ca="1" si="78"/>
        <v>12.954222786385376</v>
      </c>
      <c r="AE115" s="22">
        <f t="shared" ca="1" si="78"/>
        <v>13.379902398962969</v>
      </c>
      <c r="AF115" s="22">
        <f t="shared" ca="1" si="78"/>
        <v>13.80210333266839</v>
      </c>
      <c r="AG115" s="22">
        <f t="shared" ca="1" si="78"/>
        <v>14.218387215713371</v>
      </c>
      <c r="AH115" s="22">
        <f t="shared" ca="1" si="78"/>
        <v>14.634497287566697</v>
      </c>
      <c r="AI115" s="22">
        <f t="shared" ca="1" si="78"/>
        <v>15.037386658617494</v>
      </c>
      <c r="AJ115" s="22">
        <f t="shared" ca="1" si="78"/>
        <v>16.783588704253631</v>
      </c>
      <c r="AK115" s="22">
        <f t="shared" ca="1" si="78"/>
        <v>18.176661339723829</v>
      </c>
      <c r="AL115" s="22">
        <f t="shared" ca="1" si="78"/>
        <v>19.507407914816849</v>
      </c>
      <c r="AM115" s="22">
        <f t="shared" ca="1" si="78"/>
        <v>20.084820497623678</v>
      </c>
      <c r="AN115" s="9"/>
      <c r="AO115" s="9"/>
      <c r="AP115" s="9"/>
      <c r="AR115" s="9"/>
      <c r="AS115" s="9"/>
      <c r="AY115">
        <f t="shared" si="71"/>
        <v>3</v>
      </c>
    </row>
    <row r="116" spans="1:51" ht="15">
      <c r="A116" s="20" t="str">
        <f>'[12]TS BYDem'!A34</f>
        <v/>
      </c>
      <c r="B116" s="20" t="str">
        <f>'[12]TS BYDem'!B34</f>
        <v>COM_PROJ</v>
      </c>
      <c r="C116" s="20" t="str">
        <f>'[12]TS BYDem'!C34</f>
        <v>-</v>
      </c>
      <c r="D116" s="20" t="str">
        <f>'[12]TS BYDem'!D34</f>
        <v>RHEH</v>
      </c>
      <c r="E116" s="98" t="s">
        <v>125</v>
      </c>
      <c r="F116" s="98" t="s">
        <v>125</v>
      </c>
      <c r="G116" s="98" t="s">
        <v>125</v>
      </c>
      <c r="H116" s="98" t="s">
        <v>125</v>
      </c>
      <c r="I116" s="98">
        <v>0</v>
      </c>
      <c r="J116" s="98"/>
      <c r="K116" s="98"/>
      <c r="L116" s="276">
        <f>INDEX('BY-DMD'!$I$5:$I$138,MATCH(D116,'BY-DMD'!$H$5:$H$138,0))</f>
        <v>5.1732793164602802</v>
      </c>
      <c r="M116" s="22">
        <f ca="1" t="shared" si="79" ref="M116:AM116">IF(OR($E$78=1,$E$78=2,$E$78=3),M91,M83)</f>
        <v>5.3645209692701856</v>
      </c>
      <c r="N116" s="22">
        <f t="shared" ca="1" si="79"/>
        <v>5.4438514175288821</v>
      </c>
      <c r="O116" s="22">
        <f t="shared" ca="1" si="79"/>
        <v>4.5975048523171873</v>
      </c>
      <c r="P116" s="22">
        <f t="shared" ca="1" si="79"/>
        <v>4.858240526703665</v>
      </c>
      <c r="Q116" s="22">
        <f t="shared" ca="1" si="79"/>
        <v>5.2322744679495488</v>
      </c>
      <c r="R116" s="22">
        <f t="shared" ca="1" si="79"/>
        <v>5.4292509669004474</v>
      </c>
      <c r="S116" s="22">
        <f t="shared" ca="1" si="79"/>
        <v>5.617983025925116</v>
      </c>
      <c r="T116" s="22">
        <f t="shared" ca="1" si="79"/>
        <v>5.7891642977939641</v>
      </c>
      <c r="U116" s="22">
        <f t="shared" ca="1" si="79"/>
        <v>5.9107767687623145</v>
      </c>
      <c r="V116" s="22">
        <f t="shared" ca="1" si="79"/>
        <v>6.2188192476865698</v>
      </c>
      <c r="W116" s="22">
        <f t="shared" ca="1" si="79"/>
        <v>6.5400720087090276</v>
      </c>
      <c r="X116" s="22">
        <f t="shared" ca="1" si="79"/>
        <v>6.8742789508639754</v>
      </c>
      <c r="Y116" s="22">
        <f t="shared" ca="1" si="79"/>
        <v>7.2163140274809958</v>
      </c>
      <c r="Z116" s="22">
        <f t="shared" ca="1" si="79"/>
        <v>7.5507401682271169</v>
      </c>
      <c r="AA116" s="22">
        <f t="shared" ca="1" si="79"/>
        <v>7.8769595928393432</v>
      </c>
      <c r="AB116" s="22">
        <f t="shared" ca="1" si="79"/>
        <v>8.1940086719902983</v>
      </c>
      <c r="AC116" s="22">
        <f t="shared" ca="1" si="79"/>
        <v>8.4978566086479113</v>
      </c>
      <c r="AD116" s="22">
        <f t="shared" ca="1" si="79"/>
        <v>8.7953705915054066</v>
      </c>
      <c r="AE116" s="22">
        <f t="shared" ca="1" si="79"/>
        <v>9.0843890843634458</v>
      </c>
      <c r="AF116" s="22">
        <f t="shared" ca="1" si="79"/>
        <v>9.3710457010708179</v>
      </c>
      <c r="AG116" s="22">
        <f t="shared" ca="1" si="79"/>
        <v>9.6536848900848842</v>
      </c>
      <c r="AH116" s="22">
        <f t="shared" ca="1" si="79"/>
        <v>9.9362060686348137</v>
      </c>
      <c r="AI116" s="22">
        <f t="shared" ca="1" si="79"/>
        <v>10.209750949265901</v>
      </c>
      <c r="AJ116" s="22">
        <f t="shared" ca="1" si="79"/>
        <v>11.395348446875417</v>
      </c>
      <c r="AK116" s="22">
        <f t="shared" ca="1" si="79"/>
        <v>12.341185977377265</v>
      </c>
      <c r="AL116" s="22">
        <f t="shared" ca="1" si="79"/>
        <v>13.244706743101688</v>
      </c>
      <c r="AM116" s="22">
        <f t="shared" ca="1" si="79"/>
        <v>13.636745519470566</v>
      </c>
      <c r="AN116" s="9"/>
      <c r="AO116" s="9"/>
      <c r="AP116" s="9"/>
      <c r="AR116" s="9"/>
      <c r="AS116" s="9"/>
      <c r="AY116">
        <f t="shared" si="71"/>
        <v>3</v>
      </c>
    </row>
    <row r="117" spans="1:51" ht="15">
      <c r="A117" s="20" t="str">
        <f>'[12]TS BYDem'!A35</f>
        <v/>
      </c>
      <c r="B117" s="20" t="str">
        <f>'[12]TS BYDem'!B35</f>
        <v>COM_PROJ</v>
      </c>
      <c r="C117" s="20" t="str">
        <f>'[12]TS BYDem'!C35</f>
        <v>-</v>
      </c>
      <c r="D117" s="20" t="str">
        <f>'[12]TS BYDem'!D35</f>
        <v>RHEWG</v>
      </c>
      <c r="E117" s="98" t="s">
        <v>125</v>
      </c>
      <c r="F117" s="98" t="s">
        <v>125</v>
      </c>
      <c r="G117" s="98" t="s">
        <v>125</v>
      </c>
      <c r="H117" s="98" t="s">
        <v>125</v>
      </c>
      <c r="I117" s="98">
        <v>0</v>
      </c>
      <c r="J117" s="98"/>
      <c r="K117" s="98"/>
      <c r="L117" s="276">
        <f>INDEX('BY-DMD'!$I$5:$I$138,MATCH(D117,'BY-DMD'!$H$5:$H$138,0))</f>
        <v>34.754847546913702</v>
      </c>
      <c r="M117" s="22">
        <f ca="1" t="shared" si="80" ref="M117:AM117">OFFSET(M$33,$AY117,$L$95)/OFFSET(L$33,$AY117,$L$95)*L117</f>
        <v>36.039636958318582</v>
      </c>
      <c r="N117" s="22">
        <f t="shared" ca="1" si="80"/>
        <v>36.572590519570682</v>
      </c>
      <c r="O117" s="22">
        <f t="shared" ca="1" si="80"/>
        <v>30.886710433375583</v>
      </c>
      <c r="P117" s="22">
        <f t="shared" ca="1" si="80"/>
        <v>32.638370852040964</v>
      </c>
      <c r="Q117" s="22">
        <f t="shared" ca="1" si="80"/>
        <v>35.151185608439356</v>
      </c>
      <c r="R117" s="22">
        <f t="shared" ca="1" si="80"/>
        <v>36.474502555502532</v>
      </c>
      <c r="S117" s="22">
        <f t="shared" ca="1" si="80"/>
        <v>37.742432148584236</v>
      </c>
      <c r="T117" s="22">
        <f t="shared" ca="1" si="80"/>
        <v>38.892452985031035</v>
      </c>
      <c r="U117" s="22">
        <f t="shared" ca="1" si="80"/>
        <v>39.709463362734837</v>
      </c>
      <c r="V117" s="22">
        <f t="shared" ca="1" si="80"/>
        <v>41.778937817539884</v>
      </c>
      <c r="W117" s="22">
        <f t="shared" ca="1" si="80"/>
        <v>43.937160880778649</v>
      </c>
      <c r="X117" s="22">
        <f t="shared" ca="1" si="80"/>
        <v>46.182412028683601</v>
      </c>
      <c r="Y117" s="22">
        <f t="shared" ca="1" si="80"/>
        <v>48.480253729536358</v>
      </c>
      <c r="Z117" s="22">
        <f t="shared" ca="1" si="80"/>
        <v>50.726977485656086</v>
      </c>
      <c r="AA117" s="22">
        <f t="shared" ca="1" si="80"/>
        <v>52.91856732175205</v>
      </c>
      <c r="AB117" s="22">
        <f t="shared" ca="1" si="80"/>
        <v>55.048549434977737</v>
      </c>
      <c r="AC117" s="22">
        <f t="shared" ca="1" si="80"/>
        <v>57.089844340972732</v>
      </c>
      <c r="AD117" s="22">
        <f t="shared" ca="1" si="80"/>
        <v>59.088586818377252</v>
      </c>
      <c r="AE117" s="22">
        <f t="shared" ca="1" si="80"/>
        <v>61.030255350667687</v>
      </c>
      <c r="AF117" s="22">
        <f t="shared" ca="1" si="80"/>
        <v>62.956056453322162</v>
      </c>
      <c r="AG117" s="22">
        <f t="shared" ca="1" si="80"/>
        <v>64.854867888790622</v>
      </c>
      <c r="AH117" s="22">
        <f t="shared" ca="1" si="80"/>
        <v>66.752886512690409</v>
      </c>
      <c r="AI117" s="22">
        <f t="shared" ca="1" si="80"/>
        <v>68.590601053508422</v>
      </c>
      <c r="AJ117" s="22">
        <f t="shared" ca="1" si="80"/>
        <v>76.555618552237846</v>
      </c>
      <c r="AK117" s="22">
        <f t="shared" ca="1" si="80"/>
        <v>82.909893503553135</v>
      </c>
      <c r="AL117" s="22">
        <f t="shared" ca="1" si="80"/>
        <v>88.97987823612101</v>
      </c>
      <c r="AM117" s="22">
        <f t="shared" ca="1" si="80"/>
        <v>91.613652109846768</v>
      </c>
      <c r="AN117" s="9"/>
      <c r="AO117" s="9"/>
      <c r="AP117" s="9"/>
      <c r="AR117" s="9"/>
      <c r="AS117" s="9"/>
      <c r="AY117">
        <f t="shared" si="71"/>
        <v>3</v>
      </c>
    </row>
    <row r="118" spans="1:51" ht="15">
      <c r="A118" s="20" t="str">
        <f>'[12]TS BYDem'!A37</f>
        <v/>
      </c>
      <c r="B118" s="20" t="str">
        <f>'[12]TS BYDem'!B37</f>
        <v>COM_PROJ</v>
      </c>
      <c r="C118" s="20" t="str">
        <f>'[12]TS BYDem'!C37</f>
        <v>-</v>
      </c>
      <c r="D118" s="20" t="str">
        <f>'[12]TS BYDem'!D37</f>
        <v>RHER</v>
      </c>
      <c r="E118" s="98" t="s">
        <v>125</v>
      </c>
      <c r="F118" s="98" t="s">
        <v>125</v>
      </c>
      <c r="G118" s="98" t="s">
        <v>125</v>
      </c>
      <c r="H118" s="98" t="s">
        <v>125</v>
      </c>
      <c r="I118" s="98">
        <v>0</v>
      </c>
      <c r="J118" s="98"/>
      <c r="K118" s="98"/>
      <c r="L118" s="276">
        <f>INDEX('BY-DMD'!$I$5:$I$138,MATCH(D118,'BY-DMD'!$H$5:$H$138,0))</f>
        <v>8.0408397122186805</v>
      </c>
      <c r="M118" s="22">
        <f ca="1" t="shared" si="81" ref="M118:AM118">OFFSET(M$33,$AY118,$L$95)/OFFSET(L$33,$AY118,$L$95)*L118</f>
        <v>8.338087044612168</v>
      </c>
      <c r="N118" s="22">
        <f t="shared" ca="1" si="81"/>
        <v>8.4613905393059543</v>
      </c>
      <c r="O118" s="22">
        <f t="shared" ca="1" si="81"/>
        <v>7.145912163684339</v>
      </c>
      <c r="P118" s="22">
        <f t="shared" ca="1" si="81"/>
        <v>7.5511742105891289</v>
      </c>
      <c r="Q118" s="22">
        <f t="shared" ca="1" si="81"/>
        <v>8.1325360092683905</v>
      </c>
      <c r="R118" s="22">
        <f t="shared" ca="1" si="81"/>
        <v>8.4386970259563334</v>
      </c>
      <c r="S118" s="22">
        <f t="shared" ca="1" si="81"/>
        <v>8.7320436910679167</v>
      </c>
      <c r="T118" s="22">
        <f t="shared" ca="1" si="81"/>
        <v>8.99811112810956</v>
      </c>
      <c r="U118" s="22">
        <f t="shared" ca="1" si="81"/>
        <v>9.187133666086968</v>
      </c>
      <c r="V118" s="22">
        <f t="shared" ca="1" si="81"/>
        <v>9.6659247860064745</v>
      </c>
      <c r="W118" s="22">
        <f t="shared" ca="1" si="81"/>
        <v>10.165248677192915</v>
      </c>
      <c r="X118" s="22">
        <f t="shared" ca="1" si="81"/>
        <v>10.684707281337532</v>
      </c>
      <c r="Y118" s="22">
        <f t="shared" ca="1" si="81"/>
        <v>11.216333172536405</v>
      </c>
      <c r="Z118" s="22">
        <f t="shared" ca="1" si="81"/>
        <v>11.736132477545784</v>
      </c>
      <c r="AA118" s="22">
        <f t="shared" ca="1" si="81"/>
        <v>12.243176065154332</v>
      </c>
      <c r="AB118" s="22">
        <f t="shared" ca="1" si="81"/>
        <v>12.73596616412461</v>
      </c>
      <c r="AC118" s="22">
        <f t="shared" ca="1" si="81"/>
        <v>13.20823769753641</v>
      </c>
      <c r="AD118" s="22">
        <f t="shared" ca="1" si="81"/>
        <v>13.670664352267622</v>
      </c>
      <c r="AE118" s="22">
        <f t="shared" ca="1" si="81"/>
        <v>14.119886447727302</v>
      </c>
      <c r="AF118" s="22">
        <f t="shared" ca="1" si="81"/>
        <v>14.565437473757733</v>
      </c>
      <c r="AG118" s="22">
        <f t="shared" ca="1" si="81"/>
        <v>15.004744202861355</v>
      </c>
      <c r="AH118" s="22">
        <f t="shared" ca="1" si="81"/>
        <v>15.443867508034343</v>
      </c>
      <c r="AI118" s="22">
        <f t="shared" ca="1" si="81"/>
        <v>15.86903893310202</v>
      </c>
      <c r="AJ118" s="22">
        <f t="shared" ca="1" si="81"/>
        <v>17.711815798281723</v>
      </c>
      <c r="AK118" s="22">
        <f t="shared" ca="1" si="81"/>
        <v>19.181933205700176</v>
      </c>
      <c r="AL118" s="22">
        <f t="shared" ca="1" si="81"/>
        <v>20.586277570160696</v>
      </c>
      <c r="AM118" s="22">
        <f t="shared" ca="1" si="81"/>
        <v>21.195624324689582</v>
      </c>
      <c r="AN118" s="9"/>
      <c r="AO118" s="9"/>
      <c r="AP118" s="9"/>
      <c r="AR118" s="9"/>
      <c r="AS118" s="9"/>
      <c r="AY118">
        <f t="shared" si="71"/>
        <v>3</v>
      </c>
    </row>
    <row r="119" spans="1:51" ht="15">
      <c r="A119" s="20" t="str">
        <f>'[12]TS BYDem'!A38</f>
        <v/>
      </c>
      <c r="B119" s="20" t="str">
        <f>'[12]TS BYDem'!B38</f>
        <v>COM_PROJ</v>
      </c>
      <c r="C119" s="20" t="str">
        <f>'[12]TS BYDem'!C38</f>
        <v>-</v>
      </c>
      <c r="D119" s="20" t="str">
        <f>'[12]TS BYDem'!D38</f>
        <v>RHEO</v>
      </c>
      <c r="E119" s="98" t="s">
        <v>125</v>
      </c>
      <c r="F119" s="98" t="s">
        <v>125</v>
      </c>
      <c r="G119" s="98" t="s">
        <v>125</v>
      </c>
      <c r="H119" s="98" t="s">
        <v>125</v>
      </c>
      <c r="I119" s="98">
        <v>0</v>
      </c>
      <c r="J119" s="98"/>
      <c r="K119" s="98"/>
      <c r="L119" s="276">
        <f>INDEX('BY-DMD'!$I$5:$I$138,MATCH(D119,'BY-DMD'!$H$5:$H$138,0))</f>
        <v>14.27502736796</v>
      </c>
      <c r="M119" s="22">
        <f ca="1" t="shared" si="82" ref="M119:AM119">IF(OR($E$78=1,$E$78=2,$E$78=3),M93,M85)</f>
        <v>14.80273516426419</v>
      </c>
      <c r="N119" s="22">
        <f t="shared" ca="1" si="82"/>
        <v>15.021637769503817</v>
      </c>
      <c r="O119" s="22">
        <f t="shared" ca="1" si="82"/>
        <v>12.686248620355284</v>
      </c>
      <c r="P119" s="22">
        <f t="shared" ca="1" si="82"/>
        <v>13.405716613476752</v>
      </c>
      <c r="Q119" s="22">
        <f t="shared" ca="1" si="82"/>
        <v>14.43781722533474</v>
      </c>
      <c r="R119" s="22">
        <f t="shared" ca="1" si="82"/>
        <v>14.981349623522158</v>
      </c>
      <c r="S119" s="22">
        <f t="shared" ca="1" si="82"/>
        <v>15.502132504743427</v>
      </c>
      <c r="T119" s="22">
        <f t="shared" ca="1" si="82"/>
        <v>15.974486149564987</v>
      </c>
      <c r="U119" s="22">
        <f t="shared" ca="1" si="82"/>
        <v>16.310060790940874</v>
      </c>
      <c r="V119" s="22">
        <f t="shared" ca="1" si="82"/>
        <v>17.160066087029691</v>
      </c>
      <c r="W119" s="22">
        <f t="shared" ca="1" si="82"/>
        <v>18.046523530190932</v>
      </c>
      <c r="X119" s="22">
        <f t="shared" ca="1" si="82"/>
        <v>18.968726441339452</v>
      </c>
      <c r="Y119" s="22">
        <f t="shared" ca="1" si="82"/>
        <v>19.912530125779028</v>
      </c>
      <c r="Z119" s="22">
        <f t="shared" ca="1" si="82"/>
        <v>20.835337888453363</v>
      </c>
      <c r="AA119" s="22">
        <f t="shared" ca="1" si="82"/>
        <v>21.735500228322152</v>
      </c>
      <c r="AB119" s="22">
        <f t="shared" ca="1" si="82"/>
        <v>22.610358128893264</v>
      </c>
      <c r="AC119" s="22">
        <f t="shared" ca="1" si="82"/>
        <v>23.448789102006351</v>
      </c>
      <c r="AD119" s="22">
        <f t="shared" ca="1" si="82"/>
        <v>24.269742309409715</v>
      </c>
      <c r="AE119" s="22">
        <f t="shared" ca="1" si="82"/>
        <v>25.06725325807777</v>
      </c>
      <c r="AF119" s="22">
        <f t="shared" ca="1" si="82"/>
        <v>25.858246900289313</v>
      </c>
      <c r="AG119" s="22">
        <f t="shared" ca="1" si="82"/>
        <v>26.638154945384869</v>
      </c>
      <c r="AH119" s="22">
        <f t="shared" ca="1" si="82"/>
        <v>27.417737355133443</v>
      </c>
      <c r="AI119" s="22">
        <f t="shared" ca="1" si="82"/>
        <v>28.172550775887601</v>
      </c>
      <c r="AJ119" s="22">
        <f t="shared" ca="1" si="82"/>
        <v>31.444061106271416</v>
      </c>
      <c r="AK119" s="22">
        <f t="shared" ca="1" si="82"/>
        <v>34.053983325355453</v>
      </c>
      <c r="AL119" s="22">
        <f t="shared" ca="1" si="82"/>
        <v>36.547137641844472</v>
      </c>
      <c r="AM119" s="22">
        <f t="shared" ca="1" si="82"/>
        <v>37.628920379567688</v>
      </c>
      <c r="AN119" s="9"/>
      <c r="AO119" s="9"/>
      <c r="AP119" s="9"/>
      <c r="AR119" s="9"/>
      <c r="AS119" s="9"/>
      <c r="AY119">
        <f t="shared" si="71"/>
        <v>3</v>
      </c>
    </row>
    <row r="120" spans="1:45" ht="15">
      <c r="A120" s="20"/>
      <c r="B120" s="20"/>
      <c r="C120" s="20"/>
      <c r="D120" s="20"/>
      <c r="E120" s="98"/>
      <c r="F120" s="98"/>
      <c r="G120" s="98"/>
      <c r="H120" s="98"/>
      <c r="I120" s="98"/>
      <c r="J120" s="98"/>
      <c r="K120" s="98"/>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9"/>
      <c r="AO120" s="9"/>
      <c r="AP120" s="9"/>
      <c r="AQ120" s="9"/>
      <c r="AR120" s="9"/>
      <c r="AS120" s="9"/>
    </row>
    <row r="121" spans="1:45" ht="15">
      <c r="A121" s="20"/>
      <c r="B121" s="20"/>
      <c r="C121" s="20"/>
      <c r="D121" s="20"/>
      <c r="E121" s="98"/>
      <c r="F121" s="98"/>
      <c r="G121" s="98"/>
      <c r="H121" s="98"/>
      <c r="I121" s="98"/>
      <c r="J121" s="98"/>
      <c r="K121" s="98"/>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9"/>
      <c r="AO121" s="9"/>
      <c r="AP121" s="9"/>
      <c r="AQ121" s="9"/>
      <c r="AR121" s="9"/>
      <c r="AS121" s="9"/>
    </row>
    <row r="122" spans="1:45" ht="15">
      <c r="A122" s="20"/>
      <c r="B122" s="20"/>
      <c r="C122" s="20"/>
      <c r="D122" s="20"/>
      <c r="E122" s="98"/>
      <c r="F122" s="98"/>
      <c r="G122" s="98"/>
      <c r="H122" s="98"/>
      <c r="I122" s="98"/>
      <c r="J122" s="98"/>
      <c r="K122" s="98"/>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9"/>
      <c r="AO122" s="9"/>
      <c r="AP122" s="9"/>
      <c r="AQ122" s="9"/>
      <c r="AR122" s="9"/>
      <c r="AS122" s="9"/>
    </row>
    <row r="123" spans="1:45" ht="15">
      <c r="A123" s="20"/>
      <c r="B123" s="20"/>
      <c r="C123" s="20"/>
      <c r="D123" s="20"/>
      <c r="E123" s="98"/>
      <c r="F123" s="98"/>
      <c r="G123" s="98"/>
      <c r="H123" s="98"/>
      <c r="I123" s="98"/>
      <c r="J123" s="98"/>
      <c r="K123" s="98"/>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9"/>
      <c r="AO123" s="9"/>
      <c r="AP123" s="9"/>
      <c r="AQ123" s="9"/>
      <c r="AR123" s="9"/>
      <c r="AS123" s="9"/>
    </row>
    <row r="124" spans="1:45" ht="15">
      <c r="A124" s="20"/>
      <c r="B124" s="20"/>
      <c r="C124" s="20"/>
      <c r="D124" s="20"/>
      <c r="E124" s="98"/>
      <c r="F124" s="98"/>
      <c r="G124" s="98"/>
      <c r="H124" s="98"/>
      <c r="I124" s="98"/>
      <c r="J124" s="98"/>
      <c r="K124" s="98"/>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9"/>
      <c r="AO124" s="9"/>
      <c r="AP124" s="9"/>
      <c r="AQ124" s="9"/>
      <c r="AR124" s="9"/>
      <c r="AS124" s="9"/>
    </row>
    <row r="125" spans="1:45" ht="15">
      <c r="A125" s="20"/>
      <c r="B125" s="20"/>
      <c r="C125" s="20"/>
      <c r="D125" s="20"/>
      <c r="E125" s="98"/>
      <c r="F125" s="98"/>
      <c r="G125" s="98"/>
      <c r="H125" s="98"/>
      <c r="I125" s="98"/>
      <c r="J125" s="98"/>
      <c r="K125" s="98"/>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9"/>
      <c r="AO125" s="9"/>
      <c r="AP125" s="9"/>
      <c r="AQ125" s="9"/>
      <c r="AR125" s="9"/>
      <c r="AS125" s="9"/>
    </row>
    <row r="126" spans="1:45" ht="15">
      <c r="A126" s="20"/>
      <c r="B126" s="20"/>
      <c r="C126" s="20"/>
      <c r="D126" s="20"/>
      <c r="E126" s="98"/>
      <c r="F126" s="98"/>
      <c r="G126" s="98"/>
      <c r="H126" s="98"/>
      <c r="I126" s="98"/>
      <c r="J126" s="98"/>
      <c r="K126" s="98"/>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9"/>
      <c r="AO126" s="9"/>
      <c r="AP126" s="9"/>
      <c r="AQ126" s="9"/>
      <c r="AR126" s="9"/>
      <c r="AS126" s="9"/>
    </row>
    <row r="127" spans="1:45" ht="15">
      <c r="A127" s="20"/>
      <c r="B127" s="20"/>
      <c r="C127" s="20"/>
      <c r="D127" s="20"/>
      <c r="E127" s="98"/>
      <c r="F127" s="98"/>
      <c r="G127" s="98"/>
      <c r="H127" s="98"/>
      <c r="I127" s="98"/>
      <c r="J127" s="98"/>
      <c r="K127" s="98"/>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9"/>
      <c r="AO127" s="9"/>
      <c r="AP127" s="9"/>
      <c r="AQ127" s="9"/>
      <c r="AR127" s="9"/>
      <c r="AS127" s="9"/>
    </row>
    <row r="128" spans="1:45" ht="15">
      <c r="A128" s="20"/>
      <c r="B128" s="20"/>
      <c r="C128" s="20"/>
      <c r="D128" s="20"/>
      <c r="E128" s="98"/>
      <c r="F128" s="98"/>
      <c r="G128" s="98"/>
      <c r="H128" s="98"/>
      <c r="I128" s="98"/>
      <c r="J128" s="98"/>
      <c r="K128" s="98"/>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9"/>
      <c r="AO128" s="9"/>
      <c r="AP128" s="9"/>
      <c r="AQ128" s="9"/>
      <c r="AR128" s="9"/>
      <c r="AS128" s="9"/>
    </row>
    <row r="129" spans="1:45" ht="15">
      <c r="A129" s="20"/>
      <c r="B129" s="20"/>
      <c r="C129" s="20"/>
      <c r="D129" s="20"/>
      <c r="E129" s="98"/>
      <c r="F129" s="98"/>
      <c r="G129" s="98"/>
      <c r="H129" s="98"/>
      <c r="I129" s="98"/>
      <c r="J129" s="98"/>
      <c r="K129" s="98"/>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9"/>
      <c r="AO129" s="9"/>
      <c r="AP129" s="9"/>
      <c r="AQ129" s="9"/>
      <c r="AR129" s="9"/>
      <c r="AS129" s="9"/>
    </row>
    <row r="130" spans="1:45" ht="15">
      <c r="A130" s="20"/>
      <c r="B130" s="20"/>
      <c r="C130" s="20"/>
      <c r="D130" s="20"/>
      <c r="E130" s="98"/>
      <c r="F130" s="98"/>
      <c r="G130" s="98"/>
      <c r="H130" s="98"/>
      <c r="I130" s="98"/>
      <c r="J130" s="98"/>
      <c r="K130" s="98"/>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9"/>
      <c r="AO130" s="9"/>
      <c r="AP130" s="9"/>
      <c r="AQ130" s="9"/>
      <c r="AR130" s="9"/>
      <c r="AS130" s="9"/>
    </row>
  </sheetData>
  <mergeCells count="1">
    <mergeCell ref="B2:C2"/>
  </mergeCells>
  <pageMargins left="0.7" right="0.7" top="0.75" bottom="0.75" header="0.3" footer="0.3"/>
  <pageSetup orientation="portrait" paperSize="1" r:id="rId4"/>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09996986389"/>
  </sheetPr>
  <dimension ref="A1:CL269"/>
  <sheetViews>
    <sheetView zoomScale="70" zoomScaleNormal="70" workbookViewId="0" topLeftCell="A99">
      <selection pane="topLeft" activeCell="H146" sqref="H146"/>
    </sheetView>
  </sheetViews>
  <sheetFormatPr defaultColWidth="9.14428571428571" defaultRowHeight="15"/>
  <cols>
    <col min="1" max="1" width="9.14285714285714" style="75"/>
    <col min="2" max="2" width="32.4285714285714" style="75" customWidth="1"/>
    <col min="3" max="3" width="31.8571428571429" style="75" customWidth="1"/>
    <col min="4" max="4" width="12" style="75" customWidth="1"/>
    <col min="5" max="5" width="13.4285714285714" style="75" customWidth="1"/>
    <col min="6" max="6" width="9.14285714285714" style="75"/>
    <col min="7" max="7" width="12.7142857142857" style="75" customWidth="1"/>
    <col min="8" max="8" width="8.14285714285714" style="75" customWidth="1"/>
    <col min="9" max="12" width="9.14285714285714" style="75"/>
    <col min="13" max="13" width="6.85714285714286" style="74" customWidth="1"/>
    <col min="14" max="14" width="6.85714285714286" style="75" customWidth="1"/>
    <col min="15" max="15" width="8.42857142857143" style="75" customWidth="1"/>
    <col min="16" max="18" width="16.1428571428571" style="75" customWidth="1"/>
    <col min="19" max="23" width="11.8571428571429" style="75" customWidth="1"/>
    <col min="24" max="42" width="6.85714285714286" style="75" customWidth="1"/>
    <col min="43" max="43" width="9.42857142857143" style="75" customWidth="1"/>
    <col min="44" max="49" width="6.85714285714286" style="75" customWidth="1"/>
    <col min="50" max="50" width="9.85714285714286" style="75" customWidth="1"/>
    <col min="51" max="51" width="17.8571428571429" style="75" bestFit="1" customWidth="1"/>
    <col min="52" max="16384" width="9.14285714285714" style="75"/>
  </cols>
  <sheetData>
    <row r="1" spans="1:12" s="0" customFormat="1" ht="15">
      <c r="A1" t="str">
        <f>IF(COM,"TS DATA","")</f>
        <v>TS DATA</v>
      </c>
      <c r="B1" t="s">
        <v>17</v>
      </c>
      <c r="L1" s="36"/>
    </row>
    <row r="2" spans="1:12" s="0" customFormat="1" ht="15.75" thickBot="1">
      <c r="A2" t="s">
        <v>16</v>
      </c>
      <c r="B2" s="4" t="s">
        <v>280</v>
      </c>
      <c r="C2" s="4"/>
      <c r="L2" s="36"/>
    </row>
    <row r="3" spans="1:70" ht="15">
      <c r="A3" t="s">
        <v>16</v>
      </c>
      <c r="L3" s="74">
        <f>MATCH(L4,Drivers!$C$5:$AG$5,0)</f>
        <v>1</v>
      </c>
      <c r="M3" s="74">
        <f>MATCH(M4,Drivers!$C$5:$AG$5,0)</f>
        <v>2</v>
      </c>
      <c r="N3" s="74">
        <f>MATCH(N4,Drivers!$C$5:$AG$5,0)</f>
        <v>3</v>
      </c>
      <c r="O3" s="74">
        <f>MATCH(O4,Drivers!$C$5:$AG$5,0)</f>
        <v>4</v>
      </c>
      <c r="P3" s="74">
        <f>MATCH(P4,Drivers!$C$5:$AG$5,0)</f>
        <v>5</v>
      </c>
      <c r="Q3" s="74">
        <f>MATCH(Q4,Drivers!$C$5:$AG$5,0)</f>
        <v>6</v>
      </c>
      <c r="R3" s="74">
        <f>MATCH(R4,Drivers!$C$5:$AG$5,0)</f>
        <v>7</v>
      </c>
      <c r="S3" s="74">
        <f>MATCH(S4,Drivers!$C$5:$AG$5,0)</f>
        <v>8</v>
      </c>
      <c r="T3" s="74">
        <f>MATCH(T4,Drivers!$C$5:$AG$5,0)</f>
        <v>9</v>
      </c>
      <c r="U3" s="74">
        <f>MATCH(U4,Drivers!$C$5:$AG$5,0)</f>
        <v>10</v>
      </c>
      <c r="V3" s="74">
        <f>MATCH(V4,Drivers!$C$5:$AG$5,0)</f>
        <v>11</v>
      </c>
      <c r="W3" s="74">
        <f>MATCH(W4,Drivers!$C$5:$AG$5,0)</f>
        <v>12</v>
      </c>
      <c r="X3" s="74">
        <f>MATCH(X4,Drivers!$C$5:$AG$5,0)</f>
        <v>13</v>
      </c>
      <c r="Y3" s="74">
        <f>MATCH(Y4,Drivers!$C$5:$AG$5,0)</f>
        <v>14</v>
      </c>
      <c r="Z3" s="74">
        <f>MATCH(Z4,Drivers!$C$5:$AG$5,0)</f>
        <v>15</v>
      </c>
      <c r="AA3" s="74">
        <f>MATCH(AA4,Drivers!$C$5:$AG$5,0)</f>
        <v>16</v>
      </c>
      <c r="AB3" s="74">
        <f>MATCH(AB4,Drivers!$C$5:$AG$5,0)</f>
        <v>17</v>
      </c>
      <c r="AC3" s="74">
        <f>MATCH(AC4,Drivers!$C$5:$AG$5,0)</f>
        <v>18</v>
      </c>
      <c r="AD3" s="74">
        <f>MATCH(AD4,Drivers!$C$5:$AG$5,0)</f>
        <v>19</v>
      </c>
      <c r="AE3" s="74">
        <f>MATCH(AE4,Drivers!$C$5:$AG$5,0)</f>
        <v>20</v>
      </c>
      <c r="AF3" s="74">
        <f>MATCH(AF4,Drivers!$C$5:$AG$5,0)</f>
        <v>21</v>
      </c>
      <c r="AG3" s="74">
        <f>MATCH(AG4,Drivers!$C$5:$AG$5,0)</f>
        <v>22</v>
      </c>
      <c r="AH3" s="74">
        <f>MATCH(AH4,Drivers!$C$5:$AG$5,0)</f>
        <v>23</v>
      </c>
      <c r="AI3" s="74">
        <f>MATCH(AI4,Drivers!$C$5:$AG$5,0)</f>
        <v>24</v>
      </c>
      <c r="AJ3" s="74">
        <f>MATCH(AJ4,Drivers!$C$5:$AG$5,0)</f>
        <v>25</v>
      </c>
      <c r="AK3" s="74">
        <f>MATCH(AK4,Drivers!$C$5:$AG$5,0)</f>
        <v>26</v>
      </c>
      <c r="AL3" s="74">
        <f>MATCH(AL4,Drivers!$C$5:$AG$5,0)</f>
        <v>27</v>
      </c>
      <c r="AM3" s="74">
        <f>MATCH(AM4,Drivers!$C$5:$AG$5,0)</f>
        <v>28</v>
      </c>
      <c r="AN3" s="74">
        <f>MATCH(AN4,Drivers!$C$5:$AG$5,0)</f>
        <v>29</v>
      </c>
      <c r="AO3" s="74" t="e">
        <f>MATCH(AO4,Drivers!$C$5:$AG$5,0)</f>
        <v>#N/A</v>
      </c>
      <c r="AP3" s="74" t="e">
        <f>MATCH(AP4,Drivers!$C$5:$AG$5,0)</f>
        <v>#N/A</v>
      </c>
      <c r="AQ3" s="74" t="e">
        <f>MATCH(AQ4,Drivers!$C$5:$AG$5,0)</f>
        <v>#N/A</v>
      </c>
      <c r="AR3" s="74" t="e">
        <f>MATCH(AR4,Drivers!$C$5:$AG$5,0)</f>
        <v>#N/A</v>
      </c>
      <c r="AS3" s="74">
        <f>MATCH(AS4,Drivers!$C$5:$AG$5,0)</f>
        <v>30</v>
      </c>
      <c r="AT3" s="74" t="e">
        <f>MATCH(AT4,Drivers!$C$5:$AG$5,0)</f>
        <v>#N/A</v>
      </c>
      <c r="AU3" s="74" t="e">
        <f>MATCH(AU4,Drivers!$C$5:$AG$5,0)</f>
        <v>#N/A</v>
      </c>
      <c r="AV3" s="74" t="e">
        <f>MATCH(AV4,Drivers!$C$5:$AG$5,0)</f>
        <v>#N/A</v>
      </c>
      <c r="AW3" s="74" t="e">
        <f>MATCH(AW4,Drivers!$C$5:$AG$5,0)</f>
        <v>#N/A</v>
      </c>
      <c r="AX3" s="74">
        <f>MATCH(AX4,Drivers!$C$5:$AK$5,0)</f>
        <v>31</v>
      </c>
      <c r="AY3" s="74" t="e">
        <f>MATCH(AY4,Drivers!$C$5:$AK$5,0)</f>
        <v>#N/A</v>
      </c>
      <c r="AZ3" s="74" t="e">
        <f>MATCH(AZ4,Drivers!$C$5:$AK$5,0)</f>
        <v>#N/A</v>
      </c>
      <c r="BA3" s="74" t="e">
        <f>MATCH(BA4,Drivers!$C$5:$AK$5,0)</f>
        <v>#N/A</v>
      </c>
      <c r="BB3" s="74" t="e">
        <f>MATCH(BB4,Drivers!$C$5:$AK$5,0)</f>
        <v>#N/A</v>
      </c>
      <c r="BC3" s="74">
        <f>MATCH(BC4,Drivers!$C$5:$AK$5,0)</f>
        <v>32</v>
      </c>
      <c r="BD3" s="74" t="e">
        <f>MATCH(BD4,Drivers!$C$5:$AK$5,0)</f>
        <v>#N/A</v>
      </c>
      <c r="BE3" s="74" t="e">
        <f>MATCH(BE4,Drivers!$C$5:$AK$5,0)</f>
        <v>#N/A</v>
      </c>
      <c r="BF3" s="74" t="e">
        <f>MATCH(BF4,Drivers!$C$5:$AK$5,0)</f>
        <v>#N/A</v>
      </c>
      <c r="BG3" s="74" t="e">
        <f>MATCH(BG4,Drivers!$C$5:$AK$5,0)</f>
        <v>#N/A</v>
      </c>
      <c r="BH3" s="74">
        <f>MATCH(BH4,Drivers!$C$5:$AK$5,0)</f>
        <v>33</v>
      </c>
      <c r="BI3" s="74" t="e">
        <f>MATCH(BI4,Drivers!$C$5:$AK$5,0)</f>
        <v>#N/A</v>
      </c>
      <c r="BJ3" s="74" t="e">
        <f>MATCH(BJ4,Drivers!$C$5:$AK$5,0)</f>
        <v>#N/A</v>
      </c>
      <c r="BK3" s="74" t="e">
        <f>MATCH(BK4,Drivers!$C$5:$AK$5,0)</f>
        <v>#N/A</v>
      </c>
      <c r="BL3" s="74" t="e">
        <f>MATCH(BL4,Drivers!$C$5:$AK$5,0)</f>
        <v>#N/A</v>
      </c>
      <c r="BM3" s="74">
        <f>MATCH(BM4,Drivers!$C$5:$AK$5,0)</f>
        <v>34</v>
      </c>
      <c r="BN3" s="74" t="e">
        <f>MATCH(BN4,Drivers!$C$5:$AK$5,0)</f>
        <v>#N/A</v>
      </c>
      <c r="BO3" s="74" t="e">
        <f>MATCH(BO4,Drivers!$C$5:$AK$5,0)</f>
        <v>#N/A</v>
      </c>
      <c r="BP3" s="74" t="e">
        <f>MATCH(BP4,Drivers!$C$5:$AK$5,0)</f>
        <v>#N/A</v>
      </c>
      <c r="BQ3" s="74" t="e">
        <f>MATCH(BQ4,Drivers!$C$5:$AK$5,0)</f>
        <v>#N/A</v>
      </c>
      <c r="BR3" s="74">
        <f>MATCH(BR4,Drivers!$C$5:$AK$5,0)</f>
        <v>35</v>
      </c>
    </row>
    <row r="4" spans="1:70" ht="15.75" thickBot="1">
      <c r="A4" t="s">
        <v>16</v>
      </c>
      <c r="B4" s="72" t="s">
        <v>11</v>
      </c>
      <c r="C4" s="72"/>
      <c r="D4" s="72"/>
      <c r="E4" s="73"/>
      <c r="F4" s="73"/>
      <c r="G4" s="73"/>
      <c r="H4" s="73"/>
      <c r="I4" s="73"/>
      <c r="J4" s="73"/>
      <c r="K4" s="73"/>
      <c r="L4" s="74">
        <v>2012</v>
      </c>
      <c r="M4" s="75">
        <f>L4+1</f>
        <v>2013</v>
      </c>
      <c r="N4" s="75">
        <f>M4+1</f>
        <v>2014</v>
      </c>
      <c r="O4" s="75">
        <f t="shared" si="0" ref="O4:AT4">N4+1</f>
        <v>2015</v>
      </c>
      <c r="P4" s="75">
        <f t="shared" si="0"/>
        <v>2016</v>
      </c>
      <c r="Q4" s="75">
        <f t="shared" si="0"/>
        <v>2017</v>
      </c>
      <c r="R4" s="75">
        <f t="shared" si="0"/>
        <v>2018</v>
      </c>
      <c r="S4" s="75">
        <f t="shared" si="0"/>
        <v>2019</v>
      </c>
      <c r="T4" s="75">
        <f t="shared" si="0"/>
        <v>2020</v>
      </c>
      <c r="U4" s="75">
        <f t="shared" si="0"/>
        <v>2021</v>
      </c>
      <c r="V4" s="75">
        <f t="shared" si="0"/>
        <v>2022</v>
      </c>
      <c r="W4" s="75">
        <f t="shared" si="0"/>
        <v>2023</v>
      </c>
      <c r="X4" s="75">
        <f t="shared" si="0"/>
        <v>2024</v>
      </c>
      <c r="Y4" s="75">
        <f t="shared" si="0"/>
        <v>2025</v>
      </c>
      <c r="Z4" s="75">
        <f t="shared" si="0"/>
        <v>2026</v>
      </c>
      <c r="AA4" s="75">
        <f t="shared" si="0"/>
        <v>2027</v>
      </c>
      <c r="AB4" s="75">
        <f t="shared" si="0"/>
        <v>2028</v>
      </c>
      <c r="AC4" s="75">
        <f t="shared" si="0"/>
        <v>2029</v>
      </c>
      <c r="AD4" s="75">
        <f t="shared" si="0"/>
        <v>2030</v>
      </c>
      <c r="AE4" s="75">
        <f t="shared" si="0"/>
        <v>2031</v>
      </c>
      <c r="AF4" s="75">
        <f t="shared" si="0"/>
        <v>2032</v>
      </c>
      <c r="AG4" s="75">
        <f t="shared" si="0"/>
        <v>2033</v>
      </c>
      <c r="AH4" s="75">
        <f t="shared" si="0"/>
        <v>2034</v>
      </c>
      <c r="AI4" s="75">
        <f t="shared" si="0"/>
        <v>2035</v>
      </c>
      <c r="AJ4" s="75">
        <f t="shared" si="0"/>
        <v>2036</v>
      </c>
      <c r="AK4" s="75">
        <f t="shared" si="0"/>
        <v>2037</v>
      </c>
      <c r="AL4" s="75">
        <f t="shared" si="0"/>
        <v>2038</v>
      </c>
      <c r="AM4" s="75">
        <f t="shared" si="0"/>
        <v>2039</v>
      </c>
      <c r="AN4" s="75">
        <f t="shared" si="0"/>
        <v>2040</v>
      </c>
      <c r="AO4" s="75">
        <f t="shared" si="0"/>
        <v>2041</v>
      </c>
      <c r="AP4" s="75">
        <f t="shared" si="0"/>
        <v>2042</v>
      </c>
      <c r="AQ4" s="75">
        <f t="shared" si="0"/>
        <v>2043</v>
      </c>
      <c r="AR4" s="75">
        <f t="shared" si="0"/>
        <v>2044</v>
      </c>
      <c r="AS4" s="75">
        <f t="shared" si="0"/>
        <v>2045</v>
      </c>
      <c r="AT4" s="75">
        <f t="shared" si="0"/>
        <v>2046</v>
      </c>
      <c r="AU4" s="75">
        <f>AT4+1</f>
        <v>2047</v>
      </c>
      <c r="AV4" s="75">
        <f>AU4+1</f>
        <v>2048</v>
      </c>
      <c r="AW4" s="75">
        <f>AV4+1</f>
        <v>2049</v>
      </c>
      <c r="AX4" s="75">
        <f>AW4+1</f>
        <v>2050</v>
      </c>
      <c r="AY4" s="75">
        <f t="shared" si="1" ref="AY4:BO4">AX4+1</f>
        <v>2051</v>
      </c>
      <c r="AZ4" s="75">
        <f t="shared" si="1"/>
        <v>2052</v>
      </c>
      <c r="BA4" s="75">
        <f t="shared" si="1"/>
        <v>2053</v>
      </c>
      <c r="BB4" s="75">
        <f t="shared" si="1"/>
        <v>2054</v>
      </c>
      <c r="BC4" s="75">
        <f t="shared" si="1"/>
        <v>2055</v>
      </c>
      <c r="BD4" s="75">
        <f t="shared" si="1"/>
        <v>2056</v>
      </c>
      <c r="BE4" s="75">
        <f t="shared" si="1"/>
        <v>2057</v>
      </c>
      <c r="BF4" s="75">
        <f t="shared" si="1"/>
        <v>2058</v>
      </c>
      <c r="BG4" s="75">
        <f t="shared" si="1"/>
        <v>2059</v>
      </c>
      <c r="BH4" s="75">
        <f t="shared" si="1"/>
        <v>2060</v>
      </c>
      <c r="BI4" s="75">
        <f t="shared" si="1"/>
        <v>2061</v>
      </c>
      <c r="BJ4" s="75">
        <f t="shared" si="1"/>
        <v>2062</v>
      </c>
      <c r="BK4" s="75">
        <f t="shared" si="1"/>
        <v>2063</v>
      </c>
      <c r="BL4" s="75">
        <f t="shared" si="1"/>
        <v>2064</v>
      </c>
      <c r="BM4" s="75">
        <f t="shared" si="1"/>
        <v>2065</v>
      </c>
      <c r="BN4" s="75">
        <f t="shared" si="1"/>
        <v>2066</v>
      </c>
      <c r="BO4" s="75">
        <f t="shared" si="1"/>
        <v>2067</v>
      </c>
      <c r="BP4" s="75">
        <f>BO4+1</f>
        <v>2068</v>
      </c>
      <c r="BQ4" s="75">
        <f>BP4+1</f>
        <v>2069</v>
      </c>
      <c r="BR4" s="75">
        <f t="shared" si="2" ref="BR4">BQ4+1</f>
        <v>2070</v>
      </c>
    </row>
    <row r="5" spans="1:70" s="0" customFormat="1" ht="15">
      <c r="A5" t="s">
        <v>16</v>
      </c>
      <c r="C5">
        <v>1</v>
      </c>
      <c r="D5">
        <v>2012</v>
      </c>
      <c r="E5">
        <v>2017</v>
      </c>
      <c r="F5">
        <v>2020</v>
      </c>
      <c r="G5">
        <v>2030</v>
      </c>
      <c r="H5">
        <v>2040</v>
      </c>
      <c r="I5" s="75">
        <v>2050</v>
      </c>
      <c r="J5" s="75">
        <v>2070</v>
      </c>
      <c r="K5" t="s">
        <v>376</v>
      </c>
      <c r="L5">
        <f>MATCH(L$4,$D$5:$H$5,$C5)</f>
        <v>1</v>
      </c>
      <c r="M5">
        <f t="shared" si="3" ref="M5:AY6">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si="4" ref="AY5:BR6">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s="0" customFormat="1" ht="15">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377</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s="0" customFormat="1" ht="15">
      <c r="A7" t="s">
        <v>16</v>
      </c>
      <c r="C7">
        <v>-1</v>
      </c>
      <c r="D7">
        <v>0</v>
      </c>
      <c r="E7">
        <v>1</v>
      </c>
      <c r="F7">
        <v>2</v>
      </c>
      <c r="G7">
        <v>3</v>
      </c>
      <c r="H7">
        <v>4</v>
      </c>
      <c r="I7" s="75">
        <v>5</v>
      </c>
      <c r="J7" s="75">
        <v>6</v>
      </c>
      <c r="K7" t="s">
        <v>375</v>
      </c>
      <c r="L7">
        <f>MATCH(L$4,$D$6:$H$6,$C7)</f>
        <v>5</v>
      </c>
      <c r="M7">
        <f t="shared" si="5" ref="M7:BR7">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s="0" customFormat="1" ht="15">
      <c r="A8" t="s">
        <v>16</v>
      </c>
      <c r="I8" s="75"/>
      <c r="K8" t="s">
        <v>378</v>
      </c>
      <c r="L8" s="8">
        <f>IF(ISNA(L5),-1,IF(ISNA(L7),99,IF(ISNA(L6),L5,0)))</f>
        <v>0</v>
      </c>
      <c r="M8" s="8">
        <f t="shared" si="6" ref="M8:AX8">IF(ISNA(M5),-1,IF(ISNA(M7),99,IF(ISNA(M6),M5,0)))</f>
        <v>1</v>
      </c>
      <c r="N8" s="8">
        <f t="shared" si="6"/>
        <v>1</v>
      </c>
      <c r="O8" s="8">
        <v>1</v>
      </c>
      <c r="P8" s="8">
        <v>1</v>
      </c>
      <c r="Q8" s="8">
        <v>0</v>
      </c>
      <c r="R8" s="8">
        <f t="shared" si="6"/>
        <v>2</v>
      </c>
      <c r="S8" s="8">
        <f t="shared" si="6"/>
        <v>2</v>
      </c>
      <c r="T8" s="8">
        <f t="shared" si="6"/>
        <v>0</v>
      </c>
      <c r="U8" s="8">
        <f t="shared" si="6"/>
        <v>3</v>
      </c>
      <c r="V8" s="8">
        <f t="shared" si="6"/>
        <v>3</v>
      </c>
      <c r="W8" s="8">
        <f t="shared" si="6"/>
        <v>3</v>
      </c>
      <c r="X8" s="8">
        <f t="shared" si="6"/>
        <v>3</v>
      </c>
      <c r="Y8" s="8">
        <f t="shared" si="6"/>
        <v>3</v>
      </c>
      <c r="Z8" s="8">
        <f t="shared" si="6"/>
        <v>3</v>
      </c>
      <c r="AA8" s="8">
        <f t="shared" si="6"/>
        <v>3</v>
      </c>
      <c r="AB8" s="8">
        <f t="shared" si="6"/>
        <v>3</v>
      </c>
      <c r="AC8" s="8">
        <f t="shared" si="6"/>
        <v>3</v>
      </c>
      <c r="AD8" s="8">
        <f t="shared" si="6"/>
        <v>0</v>
      </c>
      <c r="AE8" s="8">
        <f t="shared" si="6"/>
        <v>4</v>
      </c>
      <c r="AF8" s="8">
        <f t="shared" si="6"/>
        <v>4</v>
      </c>
      <c r="AG8" s="8">
        <f t="shared" si="6"/>
        <v>4</v>
      </c>
      <c r="AH8" s="8">
        <f t="shared" si="6"/>
        <v>4</v>
      </c>
      <c r="AI8" s="8">
        <f t="shared" si="6"/>
        <v>4</v>
      </c>
      <c r="AJ8" s="8">
        <f t="shared" si="6"/>
        <v>4</v>
      </c>
      <c r="AK8" s="8">
        <f t="shared" si="6"/>
        <v>4</v>
      </c>
      <c r="AL8" s="8">
        <f t="shared" si="6"/>
        <v>4</v>
      </c>
      <c r="AM8" s="8">
        <f t="shared" si="6"/>
        <v>4</v>
      </c>
      <c r="AN8" s="8">
        <f t="shared" si="6"/>
        <v>0</v>
      </c>
      <c r="AO8" s="8">
        <f t="shared" si="6"/>
        <v>5</v>
      </c>
      <c r="AP8" s="8">
        <f t="shared" si="6"/>
        <v>5</v>
      </c>
      <c r="AQ8" s="8">
        <f t="shared" si="6"/>
        <v>5</v>
      </c>
      <c r="AR8" s="8">
        <f t="shared" si="6"/>
        <v>5</v>
      </c>
      <c r="AS8" s="8">
        <f t="shared" si="6"/>
        <v>5</v>
      </c>
      <c r="AT8" s="8">
        <f t="shared" si="6"/>
        <v>5</v>
      </c>
      <c r="AU8" s="8">
        <f t="shared" si="6"/>
        <v>5</v>
      </c>
      <c r="AV8" s="8">
        <f t="shared" si="6"/>
        <v>5</v>
      </c>
      <c r="AW8" s="8">
        <f t="shared" si="6"/>
        <v>5</v>
      </c>
      <c r="AX8" s="8">
        <f t="shared" si="6"/>
        <v>5</v>
      </c>
      <c r="AY8" s="8">
        <f t="shared" si="7" ref="AY8:BR8">IF(ISNA(AY5),-1,IF(ISNA(AY7),99,IF(ISNA(AY6),AY5,0)))</f>
        <v>5</v>
      </c>
      <c r="AZ8" s="8">
        <f t="shared" si="7"/>
        <v>5</v>
      </c>
      <c r="BA8" s="8">
        <f t="shared" si="7"/>
        <v>5</v>
      </c>
      <c r="BB8" s="8">
        <f t="shared" si="7"/>
        <v>5</v>
      </c>
      <c r="BC8" s="8">
        <f t="shared" si="7"/>
        <v>5</v>
      </c>
      <c r="BD8" s="8">
        <f t="shared" si="7"/>
        <v>5</v>
      </c>
      <c r="BE8" s="8">
        <f t="shared" si="7"/>
        <v>5</v>
      </c>
      <c r="BF8" s="8">
        <f t="shared" si="7"/>
        <v>5</v>
      </c>
      <c r="BG8" s="8">
        <f t="shared" si="7"/>
        <v>5</v>
      </c>
      <c r="BH8" s="8">
        <f t="shared" si="7"/>
        <v>5</v>
      </c>
      <c r="BI8" s="8">
        <f t="shared" si="7"/>
        <v>5</v>
      </c>
      <c r="BJ8" s="8">
        <f t="shared" si="7"/>
        <v>5</v>
      </c>
      <c r="BK8" s="8">
        <f t="shared" si="7"/>
        <v>5</v>
      </c>
      <c r="BL8" s="8">
        <f t="shared" si="7"/>
        <v>5</v>
      </c>
      <c r="BM8" s="8">
        <f t="shared" si="7"/>
        <v>5</v>
      </c>
      <c r="BN8" s="8">
        <f t="shared" si="7"/>
        <v>5</v>
      </c>
      <c r="BO8" s="8">
        <f t="shared" si="7"/>
        <v>5</v>
      </c>
      <c r="BP8" s="8">
        <f t="shared" si="7"/>
        <v>5</v>
      </c>
      <c r="BQ8" s="8">
        <f t="shared" si="7"/>
        <v>5</v>
      </c>
      <c r="BR8" s="8">
        <f t="shared" si="7"/>
        <v>5</v>
      </c>
    </row>
    <row r="9" spans="1:13" ht="15">
      <c r="A9" t="s">
        <v>16</v>
      </c>
      <c r="B9" s="75" t="s">
        <v>9</v>
      </c>
      <c r="C9" s="75" t="s">
        <v>10</v>
      </c>
      <c r="L9" s="74"/>
      <c r="M9" s="75"/>
    </row>
    <row r="10" spans="1:70" ht="15">
      <c r="A10" t="s">
        <v>16</v>
      </c>
      <c r="B10" s="5" t="s">
        <v>4</v>
      </c>
      <c r="C10" s="75" t="s">
        <v>3</v>
      </c>
      <c r="E10" s="75">
        <f>MATCH(B10,Drivers!A7:A25,0)</f>
        <v>2</v>
      </c>
      <c r="L10" s="9" cm="1">
        <f t="array" ref="L10">INDEX(Drivers!$C$7:$AG$25,$E$10,L3)</f>
        <v>2420.5059603282948</v>
      </c>
      <c r="M10" s="9" cm="1">
        <f t="array" ref="M10">INDEX(Drivers!$C$7:$AG$25,$E$10,M3)</f>
        <v>2489.1047071827661</v>
      </c>
      <c r="N10" s="9" cm="1">
        <f t="array" ref="N10">INDEX(Drivers!$C$7:$AG$25,$E$10,N3)</f>
        <v>2551.5982527371866</v>
      </c>
      <c r="O10" s="9" cm="1">
        <f t="array" ref="O10">INDEX(Drivers!$C$7:$AG$25,$E$10,O3)</f>
        <v>2595.1630396206046</v>
      </c>
      <c r="P10" s="9" cm="1">
        <f t="array" ref="P10">INDEX(Drivers!$C$7:$AG$25,$E$10,P3)</f>
        <v>2628.6516711665686</v>
      </c>
      <c r="Q10" s="9" cm="1">
        <f t="array" ref="Q10">INDEX(Drivers!$C$7:$AG$25,$E$10,Q3)</f>
        <v>2667.1308637985835</v>
      </c>
      <c r="R10" s="9" cm="1">
        <f t="array" ref="R10">INDEX(Drivers!$C$7:$AG$25,$E$10,R3)</f>
        <v>2710.4237502366891</v>
      </c>
      <c r="S10" s="9" cm="1">
        <f t="array" ref="S10">INDEX(Drivers!$C$7:$AG$25,$E$10,S3)</f>
        <v>2746.4400000000001</v>
      </c>
      <c r="T10" s="9" cm="1">
        <f t="array" ref="T10">INDEX(Drivers!$C$7:$AG$25,$E$10,T3)</f>
        <v>2570.5799999999999</v>
      </c>
      <c r="U10" s="9" cm="1">
        <f t="array" ref="U10">INDEX(Drivers!$C$7:$AG$25,$E$10,U3)</f>
        <v>2661.137257940266</v>
      </c>
      <c r="V10" s="9" cm="1">
        <f t="array" ref="V10">INDEX(Drivers!$C$7:$AG$25,$E$10,V3)</f>
        <v>2761.4298067848131</v>
      </c>
      <c r="W10" s="9" cm="1">
        <f t="array" ref="W10">INDEX(Drivers!$C$7:$AG$25,$E$10,W3)</f>
        <v>2793.8689731899376</v>
      </c>
      <c r="X10" s="9" cm="1">
        <f t="array" ref="X10">INDEX(Drivers!$C$7:$AG$25,$E$10,X3)</f>
        <v>2840.2555188307119</v>
      </c>
      <c r="Y10" s="9" cm="1">
        <f t="array" ref="Y10">INDEX(Drivers!$C$7:$AG$25,$E$10,Y3)</f>
        <v>2887.1920676745731</v>
      </c>
      <c r="Z10" s="9" cm="1">
        <f t="array" ref="Z10">INDEX(Drivers!$C$7:$AG$25,$E$10,Z3)</f>
        <v>2942.9827911544662</v>
      </c>
      <c r="AA10" s="9" cm="1">
        <f t="array" ref="AA10">INDEX(Drivers!$C$7:$AG$25,$E$10,AA3)</f>
        <v>3017.0070800395511</v>
      </c>
      <c r="AB10" s="9" cm="1">
        <f t="array" ref="AB10">INDEX(Drivers!$C$7:$AG$25,$E$10,AB3)</f>
        <v>3101.1150784020274</v>
      </c>
      <c r="AC10" s="9" cm="1">
        <f t="array" ref="AC10">INDEX(Drivers!$C$7:$AG$25,$E$10,AC3)</f>
        <v>3198.9902218607881</v>
      </c>
      <c r="AD10" s="9" cm="1">
        <f t="array" ref="AD10">INDEX(Drivers!$C$7:$AG$25,$E$10,AD3)</f>
        <v>3309.3362647377799</v>
      </c>
      <c r="AE10" s="9" cm="1">
        <f t="array" ref="AE10">INDEX(Drivers!$C$7:$AG$25,$E$10,AE3)</f>
        <v>3429.8083051158351</v>
      </c>
      <c r="AF10" s="9" cm="1">
        <f t="array" ref="AF10">INDEX(Drivers!$C$7:$AG$25,$E$10,AF3)</f>
        <v>3557.1032489581612</v>
      </c>
      <c r="AG10" s="9" cm="1">
        <f t="array" ref="AG10">INDEX(Drivers!$C$7:$AG$25,$E$10,AG3)</f>
        <v>3690.7884870385869</v>
      </c>
      <c r="AH10" s="9" cm="1">
        <f t="array" ref="AH10">INDEX(Drivers!$C$7:$AG$25,$E$10,AH3)</f>
        <v>3827.7091393630249</v>
      </c>
      <c r="AI10" s="9" cm="1">
        <f t="array" ref="AI10">INDEX(Drivers!$C$7:$AG$25,$E$10,AI3)</f>
        <v>3966.4974382672008</v>
      </c>
      <c r="AJ10" s="9" cm="1">
        <f t="array" ref="AJ10">INDEX(Drivers!$C$7:$AG$25,$E$10,AJ3)</f>
        <v>4106.28895944128</v>
      </c>
      <c r="AK10" s="9" cm="1">
        <f t="array" ref="AK10">INDEX(Drivers!$C$7:$AG$25,$E$10,AK3)</f>
        <v>4252.0489762830803</v>
      </c>
      <c r="AL10" s="9" cm="1">
        <f t="array" ref="AL10">INDEX(Drivers!$C$7:$AG$25,$E$10,AL3)</f>
        <v>4404.1306510964387</v>
      </c>
      <c r="AM10" s="9" cm="1">
        <f t="array" ref="AM10">INDEX(Drivers!$C$7:$AG$25,$E$10,AM3)</f>
        <v>4565.9120368592185</v>
      </c>
      <c r="AN10" s="9" cm="1">
        <f t="array" ref="AN10">INDEX(Drivers!$C$7:$AG$25,$E$10,AN3)</f>
        <v>4733.799113995291</v>
      </c>
      <c r="AO10" s="9">
        <f>(AS10-AN10)/5+AN10</f>
        <v>4907.4249996842018</v>
      </c>
      <c r="AP10" s="9">
        <f>(AS10-AN10)/5+AO10</f>
        <v>5081.0508853731126</v>
      </c>
      <c r="AQ10" s="9">
        <f>(AS10-AN10)/5+AP10</f>
        <v>5254.6767710620234</v>
      </c>
      <c r="AR10" s="9">
        <f>(AS10-AN10)/5+AQ10</f>
        <v>5428.3026567509341</v>
      </c>
      <c r="AS10" s="9" cm="1">
        <f t="array" ref="AS10">INDEX(Drivers!$C$7:$AG$25,$E$10,AS3)</f>
        <v>5601.9285424398458</v>
      </c>
      <c r="AT10" s="9">
        <f>(AX10-AS10)/5+AS10</f>
        <v>5782.8003610062397</v>
      </c>
      <c r="AU10" s="9">
        <f>(AX10-AS10)/5+AT10</f>
        <v>5963.6721795726335</v>
      </c>
      <c r="AV10" s="9">
        <f>(AX10-AS10)/5+AU10</f>
        <v>6144.5439981390273</v>
      </c>
      <c r="AW10" s="9">
        <f>(AX10-AS10)/5+AV10</f>
        <v>6325.4158167054211</v>
      </c>
      <c r="AX10" s="9" cm="1">
        <f t="array" ref="AX10">INDEX(Drivers!$C$7:$AG$25,$E$10,AX3)</f>
        <v>6506.2876352718131</v>
      </c>
      <c r="AY10" s="9">
        <f>($BH10-$AX10)/10+AX10</f>
        <v>6698.6260760257592</v>
      </c>
      <c r="AZ10" s="9">
        <f t="shared" si="8" ref="AZ10:BG10">($BH10-$AX10)/10+AY10</f>
        <v>6890.9645167797053</v>
      </c>
      <c r="BA10" s="9">
        <f t="shared" si="8"/>
        <v>7083.3029575336514</v>
      </c>
      <c r="BB10" s="9">
        <f t="shared" si="8"/>
        <v>7275.6413982875974</v>
      </c>
      <c r="BC10" s="9">
        <f t="shared" si="8"/>
        <v>7467.9798390415435</v>
      </c>
      <c r="BD10" s="9">
        <f t="shared" si="8"/>
        <v>7660.3182797954896</v>
      </c>
      <c r="BE10" s="9">
        <f t="shared" si="8"/>
        <v>7852.6567205494357</v>
      </c>
      <c r="BF10" s="9">
        <f t="shared" si="8"/>
        <v>8044.9951613033818</v>
      </c>
      <c r="BG10" s="9">
        <f t="shared" si="8"/>
        <v>8237.3336020573279</v>
      </c>
      <c r="BH10" s="9" cm="1">
        <f t="array" ref="BH10">INDEX(Drivers!$C$7:$AK$25,$E$10,BH3)</f>
        <v>8429.6720428112712</v>
      </c>
      <c r="BI10" s="9">
        <f>($BR10-$BH10)/10+BH10</f>
        <v>8505.2009048371383</v>
      </c>
      <c r="BJ10" s="9">
        <f t="shared" si="9" ref="BJ10:BQ10">($BR10-$BH10)/10+BI10</f>
        <v>8580.7297668630054</v>
      </c>
      <c r="BK10" s="9">
        <f t="shared" si="9"/>
        <v>8656.2586288888724</v>
      </c>
      <c r="BL10" s="9">
        <f t="shared" si="9"/>
        <v>8731.7874909147395</v>
      </c>
      <c r="BM10" s="9">
        <f t="shared" si="9"/>
        <v>8807.3163529406065</v>
      </c>
      <c r="BN10" s="9">
        <f t="shared" si="9"/>
        <v>8882.8452149664736</v>
      </c>
      <c r="BO10" s="9">
        <f t="shared" si="9"/>
        <v>8958.3740769923406</v>
      </c>
      <c r="BP10" s="9">
        <f t="shared" si="9"/>
        <v>9033.9029390182077</v>
      </c>
      <c r="BQ10" s="9">
        <f t="shared" si="9"/>
        <v>9109.4318010440747</v>
      </c>
      <c r="BR10" s="9" cm="1">
        <f t="array" ref="BR10">INDEX(Drivers!$C$7:$AK$25,$E$10,BR3)</f>
        <v>9184.9606630699473</v>
      </c>
    </row>
    <row r="11" spans="1:70" ht="15">
      <c r="A11" t="s">
        <v>16</v>
      </c>
      <c r="B11" s="78" t="s">
        <v>213</v>
      </c>
      <c r="C11" s="79"/>
      <c r="D11" s="79"/>
      <c r="E11" s="79"/>
      <c r="F11" s="79"/>
      <c r="G11" s="79"/>
      <c r="H11" s="79"/>
      <c r="I11" s="79"/>
      <c r="J11" s="79"/>
      <c r="K11" s="79"/>
      <c r="L11" s="222" t="str">
        <f t="shared" si="10" ref="L11:BR11">INDEX($C$14:$C$18,MATCH(L$12,$B$14:$B$18,0))</f>
        <v>A</v>
      </c>
      <c r="M11" s="222" t="str">
        <f t="shared" si="10"/>
        <v>A</v>
      </c>
      <c r="N11" s="222" t="str">
        <f t="shared" si="10"/>
        <v>A</v>
      </c>
      <c r="O11" s="222" t="str">
        <f t="shared" si="10"/>
        <v>A</v>
      </c>
      <c r="P11" s="222" t="str">
        <f t="shared" si="10"/>
        <v>A</v>
      </c>
      <c r="Q11" s="222" t="str">
        <f t="shared" si="10"/>
        <v>A</v>
      </c>
      <c r="R11" s="222" t="str">
        <f t="shared" si="10"/>
        <v>B</v>
      </c>
      <c r="S11" s="222" t="str">
        <f t="shared" si="10"/>
        <v>B</v>
      </c>
      <c r="T11" s="222" t="str">
        <f t="shared" si="10"/>
        <v>B</v>
      </c>
      <c r="U11" s="222" t="str">
        <f t="shared" si="10"/>
        <v>B</v>
      </c>
      <c r="V11" s="222" t="str">
        <f t="shared" si="10"/>
        <v>B</v>
      </c>
      <c r="W11" s="222" t="str">
        <f t="shared" si="10"/>
        <v>B</v>
      </c>
      <c r="X11" s="222" t="str">
        <f t="shared" si="10"/>
        <v>B</v>
      </c>
      <c r="Y11" s="222" t="str">
        <f t="shared" si="10"/>
        <v>B</v>
      </c>
      <c r="Z11" s="222" t="str">
        <f t="shared" si="10"/>
        <v>B</v>
      </c>
      <c r="AA11" s="222" t="str">
        <f t="shared" si="10"/>
        <v>B</v>
      </c>
      <c r="AB11" s="222" t="str">
        <f t="shared" si="10"/>
        <v>B</v>
      </c>
      <c r="AC11" s="222" t="str">
        <f t="shared" si="10"/>
        <v>B</v>
      </c>
      <c r="AD11" s="222" t="str">
        <f t="shared" si="10"/>
        <v>B</v>
      </c>
      <c r="AE11" s="222" t="str">
        <f t="shared" si="10"/>
        <v>C</v>
      </c>
      <c r="AF11" s="222" t="str">
        <f t="shared" si="10"/>
        <v>C</v>
      </c>
      <c r="AG11" s="222" t="str">
        <f t="shared" si="10"/>
        <v>C</v>
      </c>
      <c r="AH11" s="222" t="str">
        <f t="shared" si="10"/>
        <v>C</v>
      </c>
      <c r="AI11" s="222" t="str">
        <f t="shared" si="10"/>
        <v>C</v>
      </c>
      <c r="AJ11" s="222" t="str">
        <f t="shared" si="10"/>
        <v>C</v>
      </c>
      <c r="AK11" s="222" t="str">
        <f t="shared" si="10"/>
        <v>C</v>
      </c>
      <c r="AL11" s="222" t="str">
        <f t="shared" si="10"/>
        <v>C</v>
      </c>
      <c r="AM11" s="222" t="str">
        <f t="shared" si="10"/>
        <v>C</v>
      </c>
      <c r="AN11" s="222" t="str">
        <f t="shared" si="10"/>
        <v>C</v>
      </c>
      <c r="AO11" s="222" t="str">
        <f t="shared" si="10"/>
        <v>D</v>
      </c>
      <c r="AP11" s="222" t="str">
        <f t="shared" si="10"/>
        <v>D</v>
      </c>
      <c r="AQ11" s="222" t="str">
        <f t="shared" si="10"/>
        <v>D</v>
      </c>
      <c r="AR11" s="222" t="str">
        <f t="shared" si="10"/>
        <v>D</v>
      </c>
      <c r="AS11" s="222" t="str">
        <f t="shared" si="10"/>
        <v>D</v>
      </c>
      <c r="AT11" s="222" t="str">
        <f t="shared" si="10"/>
        <v>D</v>
      </c>
      <c r="AU11" s="222" t="str">
        <f t="shared" si="10"/>
        <v>D</v>
      </c>
      <c r="AV11" s="222" t="str">
        <f t="shared" si="10"/>
        <v>D</v>
      </c>
      <c r="AW11" s="222" t="str">
        <f t="shared" si="10"/>
        <v>D</v>
      </c>
      <c r="AX11" s="222" t="str">
        <f t="shared" si="10"/>
        <v>D</v>
      </c>
      <c r="AY11" s="222" t="str">
        <f t="shared" si="10"/>
        <v>D</v>
      </c>
      <c r="AZ11" s="222" t="str">
        <f t="shared" si="10"/>
        <v>D</v>
      </c>
      <c r="BA11" s="222" t="str">
        <f t="shared" si="10"/>
        <v>D</v>
      </c>
      <c r="BB11" s="222" t="str">
        <f t="shared" si="10"/>
        <v>D</v>
      </c>
      <c r="BC11" s="222" t="str">
        <f t="shared" si="10"/>
        <v>D</v>
      </c>
      <c r="BD11" s="222" t="str">
        <f t="shared" si="10"/>
        <v>D</v>
      </c>
      <c r="BE11" s="222" t="str">
        <f t="shared" si="10"/>
        <v>D</v>
      </c>
      <c r="BF11" s="222" t="str">
        <f t="shared" si="10"/>
        <v>D</v>
      </c>
      <c r="BG11" s="222" t="str">
        <f t="shared" si="10"/>
        <v>D</v>
      </c>
      <c r="BH11" s="222" t="str">
        <f t="shared" si="10"/>
        <v>D</v>
      </c>
      <c r="BI11" s="222" t="str">
        <f t="shared" si="10"/>
        <v>D</v>
      </c>
      <c r="BJ11" s="222" t="str">
        <f t="shared" si="10"/>
        <v>D</v>
      </c>
      <c r="BK11" s="222" t="str">
        <f t="shared" si="10"/>
        <v>D</v>
      </c>
      <c r="BL11" s="222" t="str">
        <f t="shared" si="10"/>
        <v>D</v>
      </c>
      <c r="BM11" s="222" t="str">
        <f t="shared" si="10"/>
        <v>D</v>
      </c>
      <c r="BN11" s="222" t="str">
        <f t="shared" si="10"/>
        <v>D</v>
      </c>
      <c r="BO11" s="222" t="str">
        <f t="shared" si="10"/>
        <v>D</v>
      </c>
      <c r="BP11" s="222" t="str">
        <f t="shared" si="10"/>
        <v>D</v>
      </c>
      <c r="BQ11" s="222" t="str">
        <f t="shared" si="10"/>
        <v>D</v>
      </c>
      <c r="BR11" s="222" t="str">
        <f t="shared" si="10"/>
        <v>D</v>
      </c>
    </row>
    <row r="12" spans="1:70" ht="15">
      <c r="A12" t="s">
        <v>16</v>
      </c>
      <c r="B12" s="5"/>
      <c r="L12" s="74">
        <f t="array" ref="L12">SUM($B$14:$B$18*(L4&gt;=$D$14:$D$18)*(L4&lt;=$E$14:$E$18))</f>
        <v>1</v>
      </c>
      <c r="M12" s="74">
        <f t="array" ref="M12">SUM($B$14:$B$17*(M4&gt;=$D$14:$D$17)*(M4&lt;=$E$14:$E$17))</f>
        <v>1</v>
      </c>
      <c r="N12" s="74">
        <f t="array" ref="N12">SUM($B$14:$B$17*(N4&gt;=$D$14:$D$17)*(N4&lt;=$E$14:$E$17))</f>
        <v>1</v>
      </c>
      <c r="O12" s="74">
        <f t="array" ref="O12">SUM($B$14:$B$17*(O4&gt;=$D$14:$D$17)*(O4&lt;=$E$14:$E$17))</f>
        <v>1</v>
      </c>
      <c r="P12" s="74">
        <f t="array" ref="P12">SUM($B$14:$B$17*(P4&gt;=$D$14:$D$17)*(P4&lt;=$E$14:$E$17))</f>
        <v>1</v>
      </c>
      <c r="Q12" s="74">
        <f t="array" ref="Q12">SUM($B$14:$B$17*(Q4&gt;=$D$14:$D$17)*(Q4&lt;=$E$14:$E$17))</f>
        <v>1</v>
      </c>
      <c r="R12" s="74">
        <f t="array" ref="R12">SUM($B$14:$B$17*(R4&gt;=$D$14:$D$17)*(R4&lt;=$E$14:$E$17))</f>
        <v>2</v>
      </c>
      <c r="S12" s="74">
        <f t="array" ref="S12">SUM($B$14:$B$17*(S4&gt;=$D$14:$D$17)*(S4&lt;=$E$14:$E$17))</f>
        <v>2</v>
      </c>
      <c r="T12" s="74">
        <f t="array" ref="T12">SUM($B$14:$B$17*(T4&gt;=$D$14:$D$17)*(T4&lt;=$E$14:$E$17))</f>
        <v>2</v>
      </c>
      <c r="U12" s="74">
        <f t="array" ref="U12">SUM($B$14:$B$17*(U4&gt;=$D$14:$D$17)*(U4&lt;=$E$14:$E$17))</f>
        <v>2</v>
      </c>
      <c r="V12" s="74">
        <f t="array" ref="V12">SUM($B$14:$B$17*(V4&gt;=$D$14:$D$17)*(V4&lt;=$E$14:$E$17))</f>
        <v>2</v>
      </c>
      <c r="W12" s="74">
        <f t="array" ref="W12">SUM($B$14:$B$17*(W4&gt;=$D$14:$D$17)*(W4&lt;=$E$14:$E$17))</f>
        <v>2</v>
      </c>
      <c r="X12" s="74">
        <f t="array" ref="X12">SUM($B$14:$B$17*(X4&gt;=$D$14:$D$17)*(X4&lt;=$E$14:$E$17))</f>
        <v>2</v>
      </c>
      <c r="Y12" s="74">
        <f t="array" ref="Y12">SUM($B$14:$B$17*(Y4&gt;=$D$14:$D$17)*(Y4&lt;=$E$14:$E$17))</f>
        <v>2</v>
      </c>
      <c r="Z12" s="74">
        <f t="array" ref="Z12">SUM($B$14:$B$17*(Z4&gt;=$D$14:$D$17)*(Z4&lt;=$E$14:$E$17))</f>
        <v>2</v>
      </c>
      <c r="AA12" s="74">
        <f t="array" ref="AA12">SUM($B$14:$B$17*(AA4&gt;=$D$14:$D$17)*(AA4&lt;=$E$14:$E$17))</f>
        <v>2</v>
      </c>
      <c r="AB12" s="74">
        <f t="array" ref="AB12">SUM($B$14:$B$17*(AB4&gt;=$D$14:$D$17)*(AB4&lt;=$E$14:$E$17))</f>
        <v>2</v>
      </c>
      <c r="AC12" s="74">
        <f t="array" ref="AC12">SUM($B$14:$B$17*(AC4&gt;=$D$14:$D$17)*(AC4&lt;=$E$14:$E$17))</f>
        <v>2</v>
      </c>
      <c r="AD12" s="74">
        <f t="array" ref="AD12">SUM($B$14:$B$17*(AD4&gt;=$D$14:$D$17)*(AD4&lt;=$E$14:$E$17))</f>
        <v>2</v>
      </c>
      <c r="AE12" s="74">
        <f t="array" ref="AE12">SUM($B$14:$B$17*(AE4&gt;=$D$14:$D$17)*(AE4&lt;=$E$14:$E$17))</f>
        <v>3</v>
      </c>
      <c r="AF12" s="74">
        <f t="array" ref="AF12">SUM($B$14:$B$17*(AF4&gt;=$D$14:$D$17)*(AF4&lt;=$E$14:$E$17))</f>
        <v>3</v>
      </c>
      <c r="AG12" s="74">
        <f t="array" ref="AG12">SUM($B$14:$B$17*(AG4&gt;=$D$14:$D$17)*(AG4&lt;=$E$14:$E$17))</f>
        <v>3</v>
      </c>
      <c r="AH12" s="74">
        <f t="array" ref="AH12">SUM($B$14:$B$17*(AH4&gt;=$D$14:$D$17)*(AH4&lt;=$E$14:$E$17))</f>
        <v>3</v>
      </c>
      <c r="AI12" s="74">
        <f t="array" ref="AI12">SUM($B$14:$B$17*(AI4&gt;=$D$14:$D$17)*(AI4&lt;=$E$14:$E$17))</f>
        <v>3</v>
      </c>
      <c r="AJ12" s="74">
        <f t="array" ref="AJ12">SUM($B$14:$B$17*(AJ4&gt;=$D$14:$D$17)*(AJ4&lt;=$E$14:$E$17))</f>
        <v>3</v>
      </c>
      <c r="AK12" s="74">
        <f t="array" ref="AK12">SUM($B$14:$B$17*(AK4&gt;=$D$14:$D$17)*(AK4&lt;=$E$14:$E$17))</f>
        <v>3</v>
      </c>
      <c r="AL12" s="74">
        <f t="array" ref="AL12">SUM($B$14:$B$17*(AL4&gt;=$D$14:$D$17)*(AL4&lt;=$E$14:$E$17))</f>
        <v>3</v>
      </c>
      <c r="AM12" s="74">
        <f t="array" ref="AM12">SUM($B$14:$B$17*(AM4&gt;=$D$14:$D$17)*(AM4&lt;=$E$14:$E$17))</f>
        <v>3</v>
      </c>
      <c r="AN12" s="74">
        <f t="array" ref="AN12">SUM($B$14:$B$17*(AN4&gt;=$D$14:$D$17)*(AN4&lt;=$E$14:$E$17))</f>
        <v>3</v>
      </c>
      <c r="AO12" s="74">
        <f t="array" ref="AO12">SUM($B$14:$B$17*(AO4&gt;=$D$14:$D$17)*(AO4&lt;=$E$14:$E$17))</f>
        <v>4</v>
      </c>
      <c r="AP12" s="74">
        <f t="array" ref="AP12">SUM($B$14:$B$17*(AP4&gt;=$D$14:$D$17)*(AP4&lt;=$E$14:$E$17))</f>
        <v>4</v>
      </c>
      <c r="AQ12" s="74">
        <f t="array" ref="AQ12">SUM($B$14:$B$17*(AQ4&gt;=$D$14:$D$17)*(AQ4&lt;=$E$14:$E$17))</f>
        <v>4</v>
      </c>
      <c r="AR12" s="74">
        <f t="array" ref="AR12">SUM($B$14:$B$17*(AR4&gt;=$D$14:$D$17)*(AR4&lt;=$E$14:$E$17))</f>
        <v>4</v>
      </c>
      <c r="AS12" s="74">
        <f t="array" ref="AS12">SUM($B$14:$B$17*(AS4&gt;=$D$14:$D$17)*(AS4&lt;=$E$14:$E$17))</f>
        <v>4</v>
      </c>
      <c r="AT12" s="74">
        <f t="array" ref="AT12">SUM($B$14:$B$17*(AT4&gt;=$D$14:$D$17)*(AT4&lt;=$E$14:$E$17))</f>
        <v>4</v>
      </c>
      <c r="AU12" s="74">
        <f t="array" ref="AU12">SUM($B$14:$B$17*(AU4&gt;=$D$14:$D$17)*(AU4&lt;=$E$14:$E$17))</f>
        <v>4</v>
      </c>
      <c r="AV12" s="74">
        <f t="array" ref="AV12">SUM($B$14:$B$17*(AV4&gt;=$D$14:$D$17)*(AV4&lt;=$E$14:$E$17))</f>
        <v>4</v>
      </c>
      <c r="AW12" s="74">
        <f t="array" ref="AW12">SUM($B$14:$B$17*(AW4&gt;=$D$14:$D$17)*(AW4&lt;=$E$14:$E$17))</f>
        <v>4</v>
      </c>
      <c r="AX12" s="74">
        <f t="array" ref="AX12">SUM($B$14:$B$17*(AX4&gt;=$D$14:$D$17)*(AX4&lt;=$E$14:$E$17))</f>
        <v>4</v>
      </c>
      <c r="AY12" s="74">
        <f t="array" ref="AY12">SUM($B$14:$B$17*(AY4&gt;=$D$14:$D$17)*(AY4&lt;=$E$14:$E$17))</f>
        <v>4</v>
      </c>
      <c r="AZ12" s="74">
        <f t="array" ref="AZ12">SUM($B$14:$B$17*(AZ4&gt;=$D$14:$D$17)*(AZ4&lt;=$E$14:$E$17))</f>
        <v>4</v>
      </c>
      <c r="BA12" s="74">
        <f t="array" ref="BA12">SUM($B$14:$B$17*(BA4&gt;=$D$14:$D$17)*(BA4&lt;=$E$14:$E$17))</f>
        <v>4</v>
      </c>
      <c r="BB12" s="74">
        <f t="array" ref="BB12">SUM($B$14:$B$17*(BB4&gt;=$D$14:$D$17)*(BB4&lt;=$E$14:$E$17))</f>
        <v>4</v>
      </c>
      <c r="BC12" s="74">
        <f t="array" ref="BC12">SUM($B$14:$B$17*(BC4&gt;=$D$14:$D$17)*(BC4&lt;=$E$14:$E$17))</f>
        <v>4</v>
      </c>
      <c r="BD12" s="74">
        <f t="array" ref="BD12">SUM($B$14:$B$17*(BD4&gt;=$D$14:$D$17)*(BD4&lt;=$E$14:$E$17))</f>
        <v>4</v>
      </c>
      <c r="BE12" s="74">
        <f t="array" ref="BE12">SUM($B$14:$B$17*(BE4&gt;=$D$14:$D$17)*(BE4&lt;=$E$14:$E$17))</f>
        <v>4</v>
      </c>
      <c r="BF12" s="74">
        <f t="array" ref="BF12">SUM($B$14:$B$17*(BF4&gt;=$D$14:$D$17)*(BF4&lt;=$E$14:$E$17))</f>
        <v>4</v>
      </c>
      <c r="BG12" s="74">
        <f t="array" ref="BG12">SUM($B$14:$B$17*(BG4&gt;=$D$14:$D$17)*(BG4&lt;=$E$14:$E$17))</f>
        <v>4</v>
      </c>
      <c r="BH12" s="74">
        <f t="array" ref="BH12">SUM($B$14:$B$17*(BH4&gt;=$D$14:$D$17)*(BH4&lt;=$E$14:$E$17))</f>
        <v>4</v>
      </c>
      <c r="BI12" s="74">
        <f t="array" ref="BI12">SUM($B$14:$B$17*(BI4&gt;=$D$14:$D$17)*(BI4&lt;=$E$14:$E$17))</f>
        <v>4</v>
      </c>
      <c r="BJ12" s="74">
        <f t="array" ref="BJ12">SUM($B$14:$B$17*(BJ4&gt;=$D$14:$D$17)*(BJ4&lt;=$E$14:$E$17))</f>
        <v>4</v>
      </c>
      <c r="BK12" s="74">
        <f t="array" ref="BK12">SUM($B$14:$B$17*(BK4&gt;=$D$14:$D$17)*(BK4&lt;=$E$14:$E$17))</f>
        <v>4</v>
      </c>
      <c r="BL12" s="74">
        <f t="array" ref="BL12">SUM($B$14:$B$17*(BL4&gt;=$D$14:$D$17)*(BL4&lt;=$E$14:$E$17))</f>
        <v>4</v>
      </c>
      <c r="BM12" s="74">
        <f t="array" ref="BM12">SUM($B$14:$B$17*(BM4&gt;=$D$14:$D$17)*(BM4&lt;=$E$14:$E$17))</f>
        <v>4</v>
      </c>
      <c r="BN12" s="74">
        <f t="array" ref="BN12">SUM($B$14:$B$17*(BN4&gt;=$D$14:$D$17)*(BN4&lt;=$E$14:$E$17))</f>
        <v>4</v>
      </c>
      <c r="BO12" s="74">
        <f t="array" ref="BO12">SUM($B$14:$B$17*(BO4&gt;=$D$14:$D$17)*(BO4&lt;=$E$14:$E$17))</f>
        <v>4</v>
      </c>
      <c r="BP12" s="74">
        <f t="array" ref="BP12">SUM($B$14:$B$17*(BP4&gt;=$D$14:$D$17)*(BP4&lt;=$E$14:$E$17))</f>
        <v>4</v>
      </c>
      <c r="BQ12" s="74">
        <f t="array" ref="BQ12">SUM($B$14:$B$17*(BQ4&gt;=$D$14:$D$17)*(BQ4&lt;=$E$14:$E$17))</f>
        <v>4</v>
      </c>
      <c r="BR12" s="74">
        <f t="array" ref="BR12">SUM($B$14:$B$17*(BR4&gt;=$D$14:$D$17)*(BR4&lt;=$E$14:$E$17))</f>
        <v>4</v>
      </c>
    </row>
    <row r="13" spans="1:13" ht="15">
      <c r="A13" t="s">
        <v>16</v>
      </c>
      <c r="B13" s="3" t="s">
        <v>214</v>
      </c>
      <c r="C13" s="2"/>
      <c r="D13" s="75" t="s">
        <v>215</v>
      </c>
      <c r="E13" s="75" t="s">
        <v>216</v>
      </c>
      <c r="L13" s="74"/>
      <c r="M13" s="75"/>
    </row>
    <row r="14" spans="1:22" ht="15">
      <c r="A14" t="s">
        <v>16</v>
      </c>
      <c r="B14" s="5">
        <v>1</v>
      </c>
      <c r="C14" s="75" t="s">
        <v>97</v>
      </c>
      <c r="D14" s="80">
        <v>2012</v>
      </c>
      <c r="E14" s="80">
        <f>D14+5</f>
        <v>2017</v>
      </c>
      <c r="L14" s="74"/>
      <c r="M14" s="75"/>
      <c r="R14" s="75">
        <f>R10/Q10</f>
        <v>1.016232006845156</v>
      </c>
      <c r="S14" s="75">
        <f t="shared" si="11" ref="S14:V14">S10/R10</f>
        <v>1.0132880512724867</v>
      </c>
      <c r="T14" s="75">
        <f t="shared" si="11"/>
        <v>0.93596801677808361</v>
      </c>
      <c r="U14" s="75">
        <f t="shared" si="11"/>
        <v>1.0352283367723494</v>
      </c>
      <c r="V14" s="75">
        <f t="shared" si="11"/>
        <v>1.03768785264469</v>
      </c>
    </row>
    <row r="15" spans="1:13" ht="15">
      <c r="A15" t="s">
        <v>16</v>
      </c>
      <c r="B15" s="5">
        <v>2</v>
      </c>
      <c r="C15" s="75" t="s">
        <v>217</v>
      </c>
      <c r="D15" s="80">
        <f>E14+1</f>
        <v>2018</v>
      </c>
      <c r="E15" s="80">
        <v>2030</v>
      </c>
      <c r="L15" s="74"/>
      <c r="M15" s="75"/>
    </row>
    <row r="16" spans="1:13" ht="15">
      <c r="A16" t="s">
        <v>16</v>
      </c>
      <c r="B16" s="5">
        <v>3</v>
      </c>
      <c r="C16" s="75" t="s">
        <v>100</v>
      </c>
      <c r="D16" s="80">
        <v>2031</v>
      </c>
      <c r="E16" s="80">
        <v>2040</v>
      </c>
      <c r="L16" s="74"/>
      <c r="M16" s="75"/>
    </row>
    <row r="17" spans="1:13" ht="15">
      <c r="A17" t="s">
        <v>16</v>
      </c>
      <c r="B17" s="5">
        <v>4</v>
      </c>
      <c r="C17" s="75" t="s">
        <v>218</v>
      </c>
      <c r="D17" s="80">
        <v>2041</v>
      </c>
      <c r="E17" s="80">
        <v>2070</v>
      </c>
      <c r="L17" s="74"/>
      <c r="M17" s="75"/>
    </row>
    <row r="18" spans="1:13" ht="15">
      <c r="A18" t="s">
        <v>16</v>
      </c>
      <c r="B18" s="5"/>
      <c r="L18" s="74"/>
      <c r="M18" s="75"/>
    </row>
    <row r="19" spans="1:13" ht="15.75" thickBot="1">
      <c r="A19" t="s">
        <v>16</v>
      </c>
      <c r="B19" s="72" t="s">
        <v>494</v>
      </c>
      <c r="C19" s="72" t="s">
        <v>219</v>
      </c>
      <c r="D19" s="72"/>
      <c r="E19" s="73"/>
      <c r="F19" s="73"/>
      <c r="G19" s="73"/>
      <c r="H19" s="73"/>
      <c r="I19" s="73"/>
      <c r="J19" s="73"/>
      <c r="K19" s="73"/>
      <c r="L19" s="74"/>
      <c r="M19" s="75"/>
    </row>
    <row r="20" spans="1:47" ht="15">
      <c r="A20" t="s">
        <v>16</v>
      </c>
      <c r="B20" s="77">
        <f>'[13]SA GDP'!$I$30</f>
        <v>0.44318133021912598</v>
      </c>
      <c r="C20" s="81">
        <v>0.01</v>
      </c>
      <c r="L20" s="74"/>
      <c r="M20" s="75"/>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row>
    <row r="21" spans="1:47" ht="15">
      <c r="A21" t="s">
        <v>16</v>
      </c>
      <c r="B21" s="5"/>
      <c r="L21" s="83"/>
      <c r="M21" s="84"/>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row>
    <row r="22" spans="1:70" ht="19.5" thickBot="1">
      <c r="A22" t="s">
        <v>16</v>
      </c>
      <c r="B22" s="149" t="s">
        <v>61</v>
      </c>
      <c r="C22" s="72"/>
      <c r="D22" s="72"/>
      <c r="E22" s="85">
        <v>2006</v>
      </c>
      <c r="F22" s="85">
        <v>2010</v>
      </c>
      <c r="G22" s="85">
        <v>2020</v>
      </c>
      <c r="H22" s="85">
        <v>2030</v>
      </c>
      <c r="I22" s="85">
        <v>2050</v>
      </c>
      <c r="L22" s="74">
        <f t="shared" si="12" ref="L22:BR22">L4</f>
        <v>2012</v>
      </c>
      <c r="M22" s="75">
        <f t="shared" si="12"/>
        <v>2013</v>
      </c>
      <c r="N22" s="75">
        <f t="shared" si="12"/>
        <v>2014</v>
      </c>
      <c r="O22" s="75">
        <f t="shared" si="12"/>
        <v>2015</v>
      </c>
      <c r="P22" s="75">
        <f t="shared" si="12"/>
        <v>2016</v>
      </c>
      <c r="Q22" s="75">
        <f t="shared" si="12"/>
        <v>2017</v>
      </c>
      <c r="R22" s="75">
        <f t="shared" si="12"/>
        <v>2018</v>
      </c>
      <c r="S22" s="75">
        <f t="shared" si="12"/>
        <v>2019</v>
      </c>
      <c r="T22" s="75">
        <f t="shared" si="12"/>
        <v>2020</v>
      </c>
      <c r="U22" s="75">
        <f t="shared" si="12"/>
        <v>2021</v>
      </c>
      <c r="V22" s="75">
        <f t="shared" si="12"/>
        <v>2022</v>
      </c>
      <c r="W22" s="75">
        <f t="shared" si="12"/>
        <v>2023</v>
      </c>
      <c r="X22" s="75">
        <f t="shared" si="12"/>
        <v>2024</v>
      </c>
      <c r="Y22" s="75">
        <f t="shared" si="12"/>
        <v>2025</v>
      </c>
      <c r="Z22" s="75">
        <f t="shared" si="12"/>
        <v>2026</v>
      </c>
      <c r="AA22" s="75">
        <f t="shared" si="12"/>
        <v>2027</v>
      </c>
      <c r="AB22" s="75">
        <f t="shared" si="12"/>
        <v>2028</v>
      </c>
      <c r="AC22" s="75">
        <f t="shared" si="12"/>
        <v>2029</v>
      </c>
      <c r="AD22" s="75">
        <f t="shared" si="12"/>
        <v>2030</v>
      </c>
      <c r="AE22" s="75">
        <f t="shared" si="12"/>
        <v>2031</v>
      </c>
      <c r="AF22" s="75">
        <f t="shared" si="12"/>
        <v>2032</v>
      </c>
      <c r="AG22" s="75">
        <f t="shared" si="12"/>
        <v>2033</v>
      </c>
      <c r="AH22" s="75">
        <f t="shared" si="12"/>
        <v>2034</v>
      </c>
      <c r="AI22" s="75">
        <f t="shared" si="12"/>
        <v>2035</v>
      </c>
      <c r="AJ22" s="75">
        <f t="shared" si="12"/>
        <v>2036</v>
      </c>
      <c r="AK22" s="75">
        <f t="shared" si="12"/>
        <v>2037</v>
      </c>
      <c r="AL22" s="75">
        <f t="shared" si="12"/>
        <v>2038</v>
      </c>
      <c r="AM22" s="75">
        <f t="shared" si="12"/>
        <v>2039</v>
      </c>
      <c r="AN22" s="75">
        <f t="shared" si="12"/>
        <v>2040</v>
      </c>
      <c r="AO22" s="75">
        <f t="shared" si="12"/>
        <v>2041</v>
      </c>
      <c r="AP22" s="75">
        <f t="shared" si="12"/>
        <v>2042</v>
      </c>
      <c r="AQ22" s="75">
        <f t="shared" si="12"/>
        <v>2043</v>
      </c>
      <c r="AR22" s="75">
        <f t="shared" si="12"/>
        <v>2044</v>
      </c>
      <c r="AS22" s="75">
        <f t="shared" si="12"/>
        <v>2045</v>
      </c>
      <c r="AT22" s="75">
        <f t="shared" si="12"/>
        <v>2046</v>
      </c>
      <c r="AU22" s="75">
        <f t="shared" si="12"/>
        <v>2047</v>
      </c>
      <c r="AV22" s="75">
        <f t="shared" si="12"/>
        <v>2048</v>
      </c>
      <c r="AW22" s="75">
        <f t="shared" si="12"/>
        <v>2049</v>
      </c>
      <c r="AX22" s="75">
        <f t="shared" si="12"/>
        <v>2050</v>
      </c>
      <c r="AY22" s="75">
        <f t="shared" si="12"/>
        <v>2051</v>
      </c>
      <c r="AZ22" s="75">
        <f t="shared" si="12"/>
        <v>2052</v>
      </c>
      <c r="BA22" s="75">
        <f t="shared" si="12"/>
        <v>2053</v>
      </c>
      <c r="BB22" s="75">
        <f t="shared" si="12"/>
        <v>2054</v>
      </c>
      <c r="BC22" s="75">
        <f t="shared" si="12"/>
        <v>2055</v>
      </c>
      <c r="BD22" s="75">
        <f t="shared" si="12"/>
        <v>2056</v>
      </c>
      <c r="BE22" s="75">
        <f t="shared" si="12"/>
        <v>2057</v>
      </c>
      <c r="BF22" s="75">
        <f t="shared" si="12"/>
        <v>2058</v>
      </c>
      <c r="BG22" s="75">
        <f t="shared" si="12"/>
        <v>2059</v>
      </c>
      <c r="BH22" s="75">
        <f t="shared" si="12"/>
        <v>2060</v>
      </c>
      <c r="BI22" s="75">
        <f t="shared" si="12"/>
        <v>2061</v>
      </c>
      <c r="BJ22" s="75">
        <f t="shared" si="12"/>
        <v>2062</v>
      </c>
      <c r="BK22" s="75">
        <f t="shared" si="12"/>
        <v>2063</v>
      </c>
      <c r="BL22" s="75">
        <f t="shared" si="12"/>
        <v>2064</v>
      </c>
      <c r="BM22" s="75">
        <f t="shared" si="12"/>
        <v>2065</v>
      </c>
      <c r="BN22" s="75">
        <f t="shared" si="12"/>
        <v>2066</v>
      </c>
      <c r="BO22" s="75">
        <f t="shared" si="12"/>
        <v>2067</v>
      </c>
      <c r="BP22" s="75">
        <f t="shared" si="12"/>
        <v>2068</v>
      </c>
      <c r="BQ22" s="75">
        <f t="shared" si="12"/>
        <v>2069</v>
      </c>
      <c r="BR22" s="75">
        <f t="shared" si="12"/>
        <v>2070</v>
      </c>
    </row>
    <row r="23" spans="1:70" ht="15">
      <c r="A23" t="s">
        <v>16</v>
      </c>
      <c r="B23" s="5" t="str">
        <f>B10</f>
        <v>COM</v>
      </c>
      <c r="C23" s="75" t="str">
        <f>C10</f>
        <v>Commercial</v>
      </c>
      <c r="D23" s="75" t="s">
        <v>62</v>
      </c>
      <c r="L23" s="186">
        <f>[13]Forecast!I$8</f>
        <v>132.81549000000001</v>
      </c>
      <c r="M23" s="186">
        <f>[13]Forecast!J$8</f>
        <v>134.00787500000001</v>
      </c>
      <c r="N23" s="186">
        <f>[13]Forecast!K$8</f>
        <v>135.598851</v>
      </c>
      <c r="O23" s="186">
        <f>[13]Forecast!L$8</f>
        <v>136.99421599999999</v>
      </c>
      <c r="P23" s="186">
        <f>[13]Forecast!M$8</f>
        <v>138.328236</v>
      </c>
      <c r="Q23" s="187">
        <f>IF(Q10/P10&lt;1,P23,(1+$B$20*(Q10/P10-1))*P23)</f>
        <v>139.22563422464734</v>
      </c>
      <c r="R23" s="269">
        <f t="shared" si="13" ref="R23:AQ23">IF(R10/Q10&lt;1,Q23,(1+$B$20*(R10/Q10-1))*Q23)</f>
        <v>140.22718478624111</v>
      </c>
      <c r="S23" s="269">
        <f t="shared" si="13"/>
        <v>141.05298495459101</v>
      </c>
      <c r="T23" s="269">
        <f t="shared" si="13"/>
        <v>141.05298495459101</v>
      </c>
      <c r="U23" s="269">
        <f t="shared" si="13"/>
        <v>143.25518048683199</v>
      </c>
      <c r="V23" s="269">
        <f t="shared" si="13"/>
        <v>145.64790768390236</v>
      </c>
      <c r="W23" s="187">
        <f t="shared" si="13"/>
        <v>146.40617333650403</v>
      </c>
      <c r="X23" s="187">
        <f t="shared" si="13"/>
        <v>147.48344898714356</v>
      </c>
      <c r="Y23" s="187">
        <f t="shared" si="13"/>
        <v>148.56358509211094</v>
      </c>
      <c r="Z23" s="187">
        <f t="shared" si="13"/>
        <v>149.83585760722991</v>
      </c>
      <c r="AA23" s="187">
        <f t="shared" si="13"/>
        <v>151.50611628217757</v>
      </c>
      <c r="AB23" s="187">
        <f t="shared" si="13"/>
        <v>153.37797294890763</v>
      </c>
      <c r="AC23" s="187">
        <f t="shared" si="13"/>
        <v>155.5233270235446</v>
      </c>
      <c r="AD23" s="187">
        <f t="shared" si="13"/>
        <v>157.90082877705441</v>
      </c>
      <c r="AE23" s="187">
        <f t="shared" si="13"/>
        <v>160.4483114195215</v>
      </c>
      <c r="AF23" s="187">
        <f t="shared" si="13"/>
        <v>163.08742398058317</v>
      </c>
      <c r="AG23" s="187">
        <f t="shared" si="13"/>
        <v>165.80379389812742</v>
      </c>
      <c r="AH23" s="187">
        <f t="shared" si="13"/>
        <v>168.52979309052785</v>
      </c>
      <c r="AI23" s="187">
        <f t="shared" si="13"/>
        <v>171.23793905215632</v>
      </c>
      <c r="AJ23" s="187">
        <f t="shared" si="13"/>
        <v>173.91251602741534</v>
      </c>
      <c r="AK23" s="187">
        <f t="shared" si="13"/>
        <v>176.64842218751139</v>
      </c>
      <c r="AL23" s="187">
        <f t="shared" si="13"/>
        <v>179.44849837195616</v>
      </c>
      <c r="AM23" s="187">
        <f t="shared" si="13"/>
        <v>182.36988907080854</v>
      </c>
      <c r="AN23" s="187">
        <f t="shared" si="13"/>
        <v>185.34172150621762</v>
      </c>
      <c r="AO23" s="187">
        <f t="shared" si="13"/>
        <v>188.35444517472246</v>
      </c>
      <c r="AP23" s="187">
        <f t="shared" si="13"/>
        <v>191.30781704372285</v>
      </c>
      <c r="AQ23" s="187">
        <f t="shared" si="13"/>
        <v>194.20499453682783</v>
      </c>
      <c r="AR23" s="86">
        <f t="shared" si="14" ref="AR23:AX23">(1+$B$20*(AR10/AQ10-1))*AQ23</f>
        <v>197.04886832959937</v>
      </c>
      <c r="AS23" s="86">
        <f t="shared" si="14"/>
        <v>199.84209269638683</v>
      </c>
      <c r="AT23" s="86">
        <f t="shared" si="14"/>
        <v>202.70166950378348</v>
      </c>
      <c r="AU23" s="86">
        <f t="shared" si="14"/>
        <v>205.51144414188607</v>
      </c>
      <c r="AV23" s="86">
        <f t="shared" si="14"/>
        <v>208.2737681023078</v>
      </c>
      <c r="AW23" s="86">
        <f t="shared" si="14"/>
        <v>210.99081589649111</v>
      </c>
      <c r="AX23" s="86">
        <f t="shared" si="14"/>
        <v>213.66460305552752</v>
      </c>
      <c r="AY23" s="86">
        <f t="shared" si="15" ref="AY23">(1+$B$20*(AY10/AX10-1))*AX23</f>
        <v>216.46388645714944</v>
      </c>
      <c r="AZ23" s="86">
        <f t="shared" si="16" ref="AZ23">(1+$B$20*(AZ10/AY10-1))*AY23</f>
        <v>219.21841491531794</v>
      </c>
      <c r="BA23" s="86">
        <f t="shared" si="17" ref="BA23">(1+$B$20*(BA10/AZ10-1))*AZ23</f>
        <v>221.93013318603835</v>
      </c>
      <c r="BB23" s="86">
        <f t="shared" si="18" ref="BB23">(1+$B$20*(BB10/BA10-1))*BA23</f>
        <v>224.60085100618014</v>
      </c>
      <c r="BC23" s="86">
        <f t="shared" si="19" ref="BC23">(1+$B$20*(BC10/BB10-1))*BB23</f>
        <v>227.2322557890368</v>
      </c>
      <c r="BD23" s="86">
        <f t="shared" si="20" ref="BD23">(1+$B$20*(BD10/BC10-1))*BC23</f>
        <v>229.82592382991896</v>
      </c>
      <c r="BE23" s="86">
        <f t="shared" si="21" ref="BE23">(1+$B$20*(BE10/BD10-1))*BD23</f>
        <v>232.38333022966518</v>
      </c>
      <c r="BF23" s="86">
        <f t="shared" si="22" ref="BF23">(1+$B$20*(BF10/BE10-1))*BE23</f>
        <v>234.90585771056917</v>
      </c>
      <c r="BG23" s="86">
        <f t="shared" si="23" ref="BG23">(1+$B$20*(BG10/BF10-1))*BF23</f>
        <v>237.39480447186733</v>
      </c>
      <c r="BH23" s="86">
        <f t="shared" si="24" ref="BH23">(1+$B$20*(BH10/BG10-1))*BG23</f>
        <v>239.85139120940326</v>
      </c>
      <c r="BI23" s="86">
        <f t="shared" si="25" ref="BI23">(1+$B$20*(BI10/BH10-1))*BH23</f>
        <v>240.80380562720455</v>
      </c>
      <c r="BJ23" s="86">
        <f t="shared" si="26" ref="BJ23">(1+$B$20*(BJ10/BI10-1))*BI23</f>
        <v>241.75151061751862</v>
      </c>
      <c r="BK23" s="86">
        <f t="shared" si="27" ref="BK23">(1+$B$20*(BK10/BJ10-1))*BJ23</f>
        <v>242.69457071527816</v>
      </c>
      <c r="BL23" s="86">
        <f t="shared" si="28" ref="BL23">(1+$B$20*(BL10/BK10-1))*BK23</f>
        <v>243.63304901569776</v>
      </c>
      <c r="BM23" s="86">
        <f t="shared" si="29" ref="BM23">(1+$B$20*(BM10/BL10-1))*BL23</f>
        <v>244.56700721856811</v>
      </c>
      <c r="BN23" s="86">
        <f t="shared" si="30" ref="BN23">(1+$B$20*(BN10/BM10-1))*BM23</f>
        <v>245.49650567081946</v>
      </c>
      <c r="BO23" s="86">
        <f t="shared" si="31" ref="BO23">(1+$B$20*(BO10/BN10-1))*BN23</f>
        <v>246.42160340743621</v>
      </c>
      <c r="BP23" s="86">
        <f t="shared" si="32" ref="BP23">(1+$B$20*(BP10/BO10-1))*BO23</f>
        <v>247.34235819079916</v>
      </c>
      <c r="BQ23" s="86">
        <f t="shared" si="33" ref="BQ23">(1+$B$20*(BQ10/BP10-1))*BP23</f>
        <v>248.25882654852916</v>
      </c>
      <c r="BR23" s="86">
        <f t="shared" si="34" ref="BR23">(1+$B$20*(BR10/BQ10-1))*BQ23</f>
        <v>249.17106380990089</v>
      </c>
    </row>
    <row r="24" spans="1:70" ht="15">
      <c r="A24" t="s">
        <v>16</v>
      </c>
      <c r="B24" s="5" t="str">
        <f>B23&amp;"-"&amp;"indexed"</f>
        <v>COM-indexed</v>
      </c>
      <c r="C24" s="75" t="str">
        <f>C23&amp;"-"&amp;"indexed"</f>
        <v>Commercial-indexed</v>
      </c>
      <c r="I24" s="135"/>
      <c r="L24" s="77">
        <f>M24*(1+((L23-M23)/M23))</f>
        <v>0.95395859203410605</v>
      </c>
      <c r="M24" s="77">
        <f>N24*(1+((M23-N23)/N23))</f>
        <v>0.96252299906044447</v>
      </c>
      <c r="N24" s="77">
        <f>O24*(1+((N23-O23)/O23))</f>
        <v>0.97395031996194503</v>
      </c>
      <c r="O24" s="77">
        <f>P24*(1+((O23-P23)/P23))</f>
        <v>0.98397264816156749</v>
      </c>
      <c r="P24" s="77">
        <f>Q24*(1+((P23-Q23)/Q23))</f>
        <v>0.99355436066321423</v>
      </c>
      <c r="Q24" s="77">
        <v>1</v>
      </c>
      <c r="R24" s="77">
        <f t="shared" si="35" ref="R24:AX24">Q24*(1+((R23-Q23)/Q23))</f>
        <v>1.0071937223857621</v>
      </c>
      <c r="S24" s="77">
        <f t="shared" si="35"/>
        <v>1.0131251025726711</v>
      </c>
      <c r="T24" s="77">
        <f t="shared" si="35"/>
        <v>1.0131251025726711</v>
      </c>
      <c r="U24" s="77">
        <f t="shared" si="35"/>
        <v>1.0289425599288906</v>
      </c>
      <c r="V24" s="77">
        <f t="shared" si="35"/>
        <v>1.0461285272286309</v>
      </c>
      <c r="W24" s="77">
        <f t="shared" si="35"/>
        <v>1.0515748349924596</v>
      </c>
      <c r="X24" s="77">
        <f t="shared" si="35"/>
        <v>1.0593124592930343</v>
      </c>
      <c r="Y24" s="77">
        <f t="shared" si="35"/>
        <v>1.0670706290509433</v>
      </c>
      <c r="Z24" s="77">
        <f t="shared" si="35"/>
        <v>1.0762088349726064</v>
      </c>
      <c r="AA24" s="77">
        <f t="shared" si="35"/>
        <v>1.0882056104532813</v>
      </c>
      <c r="AB24" s="77">
        <f t="shared" si="35"/>
        <v>1.10165038071527</v>
      </c>
      <c r="AC24" s="77">
        <f t="shared" si="35"/>
        <v>1.1170595694511269</v>
      </c>
      <c r="AD24" s="77">
        <f t="shared" si="35"/>
        <v>1.1341361787030813</v>
      </c>
      <c r="AE24" s="77">
        <f t="shared" si="35"/>
        <v>1.1524336901969532</v>
      </c>
      <c r="AF24" s="77">
        <f t="shared" si="35"/>
        <v>1.1713893414012662</v>
      </c>
      <c r="AG24" s="77">
        <f t="shared" si="35"/>
        <v>1.1908999001620275</v>
      </c>
      <c r="AH24" s="77">
        <f t="shared" si="35"/>
        <v>1.2104796220112517</v>
      </c>
      <c r="AI24" s="77">
        <f t="shared" si="35"/>
        <v>1.2299311115067764</v>
      </c>
      <c r="AJ24" s="77">
        <f t="shared" si="35"/>
        <v>1.2491414888927646</v>
      </c>
      <c r="AK24" s="77">
        <f t="shared" si="35"/>
        <v>1.2687923683829707</v>
      </c>
      <c r="AL24" s="77">
        <f t="shared" si="35"/>
        <v>1.2889041545496382</v>
      </c>
      <c r="AM24" s="77">
        <f t="shared" si="35"/>
        <v>1.3098872925695992</v>
      </c>
      <c r="AN24" s="77">
        <f t="shared" si="35"/>
        <v>1.3312327326673179</v>
      </c>
      <c r="AO24" s="77">
        <f t="shared" si="35"/>
        <v>1.3528718775366002</v>
      </c>
      <c r="AP24" s="77">
        <f t="shared" si="35"/>
        <v>1.3740847230405753</v>
      </c>
      <c r="AQ24" s="77">
        <f t="shared" si="35"/>
        <v>1.3948939476437847</v>
      </c>
      <c r="AR24" s="77">
        <f t="shared" si="35"/>
        <v>1.4153203138701567</v>
      </c>
      <c r="AS24" s="77">
        <f t="shared" si="35"/>
        <v>1.4353828862717337</v>
      </c>
      <c r="AT24" s="77">
        <f t="shared" si="35"/>
        <v>1.4559220407408207</v>
      </c>
      <c r="AU24" s="77">
        <f t="shared" si="35"/>
        <v>1.4761034868785978</v>
      </c>
      <c r="AV24" s="77">
        <f t="shared" si="35"/>
        <v>1.4959441144742645</v>
      </c>
      <c r="AW24" s="77">
        <f t="shared" si="35"/>
        <v>1.5154595421418393</v>
      </c>
      <c r="AX24" s="77">
        <f t="shared" si="35"/>
        <v>1.5346642466054019</v>
      </c>
      <c r="AY24" s="77">
        <f t="shared" si="36" ref="AY24">AX24*(1+((AY23-AX23)/AX23))</f>
        <v>1.5547703385417844</v>
      </c>
      <c r="AZ24" s="77">
        <f t="shared" si="37" ref="AZ24">AY24*(1+((AZ23-AY23)/AY23))</f>
        <v>1.5745549742772118</v>
      </c>
      <c r="BA24" s="77">
        <f t="shared" si="38" ref="BA24">AZ24*(1+((BA23-AZ23)/AZ23))</f>
        <v>1.5940321221876672</v>
      </c>
      <c r="BB24" s="77">
        <f t="shared" si="39" ref="BB24">BA24*(1+((BB23-BA23)/BA23))</f>
        <v>1.6132147808626669</v>
      </c>
      <c r="BC24" s="77">
        <f t="shared" si="40" ref="BC24">BB24*(1+((BC23-BB23)/BB23))</f>
        <v>1.6321150702922038</v>
      </c>
      <c r="BD24" s="77">
        <f t="shared" si="41" ref="BD24">BC24*(1+((BD23-BC23)/BC23))</f>
        <v>1.6507443123518748</v>
      </c>
      <c r="BE24" s="77">
        <f t="shared" si="42" ref="BE24">BD24*(1+((BE23-BD23)/BD23))</f>
        <v>1.6691131020793448</v>
      </c>
      <c r="BF24" s="77">
        <f t="shared" si="43" ref="BF24">BE24*(1+((BF23-BE23)/BE23))</f>
        <v>1.6872313709954969</v>
      </c>
      <c r="BG24" s="77">
        <f t="shared" si="44" ref="BG24">BF24*(1+((BG23-BF23)/BF23))</f>
        <v>1.7051084435271409</v>
      </c>
      <c r="BH24" s="77">
        <f t="shared" si="45" ref="BH24">BG24*(1+((BH23-BG23)/BG23))</f>
        <v>1.7227530874263535</v>
      </c>
      <c r="BI24" s="77">
        <f t="shared" si="46" ref="BI24">BH24*(1+((BI23-BH23)/BH23))</f>
        <v>1.7295938852658126</v>
      </c>
      <c r="BJ24" s="77">
        <f t="shared" si="47" ref="BJ24">BI24*(1+((BJ23-BI23)/BI23))</f>
        <v>1.7364008572404197</v>
      </c>
      <c r="BK24" s="77">
        <f t="shared" si="48" ref="BK24">BJ24*(1+((BK23-BJ23)/BJ23))</f>
        <v>1.7431744668778366</v>
      </c>
      <c r="BL24" s="77">
        <f t="shared" si="49" ref="BL24">BK24*(1+((BL23-BK23)/BK23))</f>
        <v>1.7499151673648268</v>
      </c>
      <c r="BM24" s="77">
        <f t="shared" si="50" ref="BM24">BL24*(1+((BM23-BL23)/BL23))</f>
        <v>1.7566234018654026</v>
      </c>
      <c r="BN24" s="77">
        <f t="shared" si="51" ref="BN24">BM24*(1+((BN23-BM23)/BM23))</f>
        <v>1.7632996038265412</v>
      </c>
      <c r="BO24" s="77">
        <f t="shared" si="52" ref="BO24">BN24*(1+((BO23-BN23)/BN23))</f>
        <v>1.7699441972720562</v>
      </c>
      <c r="BP24" s="77">
        <f t="shared" si="53" ref="BP24">BO24*(1+((BP23-BO23)/BO23))</f>
        <v>1.7765575970851775</v>
      </c>
      <c r="BQ24" s="77">
        <f t="shared" si="54" ref="BQ24">BP24*(1+((BQ23-BP23)/BP23))</f>
        <v>1.7831402092803657</v>
      </c>
      <c r="BR24" s="77">
        <f t="shared" si="55" ref="BR24">BQ24*(1+((BR23-BQ23)/BQ23))</f>
        <v>1.7896924312648588</v>
      </c>
    </row>
    <row r="25" spans="1:70" ht="15">
      <c r="A25" t="s">
        <v>16</v>
      </c>
      <c r="B25" s="5" t="str">
        <f>B10&amp;"-"&amp;"EXISTING"</f>
        <v>COM-EXISTING</v>
      </c>
      <c r="C25" s="75" t="str">
        <f>C10&amp;"-"&amp;"existing"</f>
        <v>Commercial-existing</v>
      </c>
      <c r="D25" s="75" t="s">
        <v>44</v>
      </c>
      <c r="E25" s="87">
        <v>1</v>
      </c>
      <c r="I25" s="135"/>
      <c r="L25" s="185">
        <f>E25</f>
        <v>1</v>
      </c>
      <c r="M25" s="185">
        <v>1</v>
      </c>
      <c r="N25" s="185">
        <v>1</v>
      </c>
      <c r="O25" s="185">
        <v>1</v>
      </c>
      <c r="P25" s="185">
        <v>1</v>
      </c>
      <c r="Q25" s="185">
        <f>E25</f>
        <v>1</v>
      </c>
      <c r="R25" s="77">
        <f t="shared" si="56" ref="R25:AX25">IF(Q25-$C$20*(R22-Q22)&lt;0,0,Q25-$C$20*(R22-Q22))</f>
        <v>0.98999999999999999</v>
      </c>
      <c r="S25" s="77">
        <f t="shared" si="56"/>
        <v>0.97999999999999998</v>
      </c>
      <c r="T25" s="77">
        <f t="shared" si="56"/>
        <v>0.96999999999999997</v>
      </c>
      <c r="U25" s="77">
        <f t="shared" si="56"/>
        <v>0.95999999999999996</v>
      </c>
      <c r="V25" s="77">
        <f t="shared" si="56"/>
        <v>0.94999999999999996</v>
      </c>
      <c r="W25" s="77">
        <f t="shared" si="56"/>
        <v>0.93999999999999995</v>
      </c>
      <c r="X25" s="77">
        <f t="shared" si="56"/>
        <v>0.92999999999999994</v>
      </c>
      <c r="Y25" s="77">
        <f t="shared" si="56"/>
        <v>0.91999999999999993</v>
      </c>
      <c r="Z25" s="77">
        <f t="shared" si="56"/>
        <v>0.90999999999999992</v>
      </c>
      <c r="AA25" s="77">
        <f t="shared" si="56"/>
        <v>0.89999999999999991</v>
      </c>
      <c r="AB25" s="77">
        <f t="shared" si="56"/>
        <v>0.8899999999999999</v>
      </c>
      <c r="AC25" s="77">
        <f t="shared" si="56"/>
        <v>0.87999999999999989</v>
      </c>
      <c r="AD25" s="77">
        <f t="shared" si="56"/>
        <v>0.86999999999999988</v>
      </c>
      <c r="AE25" s="77">
        <f t="shared" si="56"/>
        <v>0.85999999999999988</v>
      </c>
      <c r="AF25" s="77">
        <f t="shared" si="56"/>
        <v>0.84999999999999987</v>
      </c>
      <c r="AG25" s="77">
        <f t="shared" si="56"/>
        <v>0.83999999999999986</v>
      </c>
      <c r="AH25" s="77">
        <f t="shared" si="56"/>
        <v>0.82999999999999985</v>
      </c>
      <c r="AI25" s="77">
        <f t="shared" si="56"/>
        <v>0.81999999999999984</v>
      </c>
      <c r="AJ25" s="77">
        <f t="shared" si="56"/>
        <v>0.80999999999999983</v>
      </c>
      <c r="AK25" s="77">
        <f t="shared" si="56"/>
        <v>0.79999999999999982</v>
      </c>
      <c r="AL25" s="77">
        <f t="shared" si="56"/>
        <v>0.78999999999999981</v>
      </c>
      <c r="AM25" s="77">
        <f t="shared" si="56"/>
        <v>0.7799999999999998</v>
      </c>
      <c r="AN25" s="77">
        <f t="shared" si="56"/>
        <v>0.7699999999999998</v>
      </c>
      <c r="AO25" s="77">
        <f t="shared" si="56"/>
        <v>0.75999999999999979</v>
      </c>
      <c r="AP25" s="77">
        <f t="shared" si="56"/>
        <v>0.74999999999999978</v>
      </c>
      <c r="AQ25" s="77">
        <f t="shared" si="56"/>
        <v>0.73999999999999977</v>
      </c>
      <c r="AR25" s="77">
        <f t="shared" si="56"/>
        <v>0.72999999999999976</v>
      </c>
      <c r="AS25" s="77">
        <f t="shared" si="56"/>
        <v>0.71999999999999975</v>
      </c>
      <c r="AT25" s="77">
        <f t="shared" si="56"/>
        <v>0.70999999999999974</v>
      </c>
      <c r="AU25" s="77">
        <f t="shared" si="56"/>
        <v>0.69999999999999973</v>
      </c>
      <c r="AV25" s="77">
        <f t="shared" si="56"/>
        <v>0.68999999999999972</v>
      </c>
      <c r="AW25" s="77">
        <f t="shared" si="56"/>
        <v>0.67999999999999972</v>
      </c>
      <c r="AX25" s="77">
        <f t="shared" si="56"/>
        <v>0.66999999999999971</v>
      </c>
      <c r="AY25" s="77">
        <f t="shared" si="57" ref="AY25">IF(AX25-$C$20*(AY22-AX22)&lt;0,0,AX25-$C$20*(AY22-AX22))</f>
        <v>0.6599999999999997</v>
      </c>
      <c r="AZ25" s="77">
        <f t="shared" si="58" ref="AZ25">IF(AY25-$C$20*(AZ22-AY22)&lt;0,0,AY25-$C$20*(AZ22-AY22))</f>
        <v>0.64999999999999969</v>
      </c>
      <c r="BA25" s="77">
        <f t="shared" si="59" ref="BA25">IF(AZ25-$C$20*(BA22-AZ22)&lt;0,0,AZ25-$C$20*(BA22-AZ22))</f>
        <v>0.63999999999999968</v>
      </c>
      <c r="BB25" s="77">
        <f t="shared" si="60" ref="BB25">IF(BA25-$C$20*(BB22-BA22)&lt;0,0,BA25-$C$20*(BB22-BA22))</f>
        <v>0.62999999999999967</v>
      </c>
      <c r="BC25" s="77">
        <f t="shared" si="61" ref="BC25">IF(BB25-$C$20*(BC22-BB22)&lt;0,0,BB25-$C$20*(BC22-BB22))</f>
        <v>0.61999999999999966</v>
      </c>
      <c r="BD25" s="77">
        <f t="shared" si="62" ref="BD25">IF(BC25-$C$20*(BD22-BC22)&lt;0,0,BC25-$C$20*(BD22-BC22))</f>
        <v>0.60999999999999965</v>
      </c>
      <c r="BE25" s="77">
        <f t="shared" si="63" ref="BE25">IF(BD25-$C$20*(BE22-BD22)&lt;0,0,BD25-$C$20*(BE22-BD22))</f>
        <v>0.59999999999999964</v>
      </c>
      <c r="BF25" s="77">
        <f t="shared" si="64" ref="BF25">IF(BE25-$C$20*(BF22-BE22)&lt;0,0,BE25-$C$20*(BF22-BE22))</f>
        <v>0.58999999999999964</v>
      </c>
      <c r="BG25" s="77">
        <f t="shared" si="65" ref="BG25">IF(BF25-$C$20*(BG22-BF22)&lt;0,0,BF25-$C$20*(BG22-BF22))</f>
        <v>0.57999999999999963</v>
      </c>
      <c r="BH25" s="77">
        <f t="shared" si="66" ref="BH25">IF(BG25-$C$20*(BH22-BG22)&lt;0,0,BG25-$C$20*(BH22-BG22))</f>
        <v>0.56999999999999962</v>
      </c>
      <c r="BI25" s="77">
        <f t="shared" si="67" ref="BI25">IF(BH25-$C$20*(BI22-BH22)&lt;0,0,BH25-$C$20*(BI22-BH22))</f>
        <v>0.55999999999999961</v>
      </c>
      <c r="BJ25" s="77">
        <f t="shared" si="68" ref="BJ25">IF(BI25-$C$20*(BJ22-BI22)&lt;0,0,BI25-$C$20*(BJ22-BI22))</f>
        <v>0.5499999999999996</v>
      </c>
      <c r="BK25" s="77">
        <f t="shared" si="69" ref="BK25">IF(BJ25-$C$20*(BK22-BJ22)&lt;0,0,BJ25-$C$20*(BK22-BJ22))</f>
        <v>0.53999999999999959</v>
      </c>
      <c r="BL25" s="77">
        <f t="shared" si="70" ref="BL25">IF(BK25-$C$20*(BL22-BK22)&lt;0,0,BK25-$C$20*(BL22-BK22))</f>
        <v>0.52999999999999958</v>
      </c>
      <c r="BM25" s="77">
        <f t="shared" si="71" ref="BM25">IF(BL25-$C$20*(BM22-BL22)&lt;0,0,BL25-$C$20*(BM22-BL22))</f>
        <v>0.51999999999999957</v>
      </c>
      <c r="BN25" s="77">
        <f t="shared" si="72" ref="BN25">IF(BM25-$C$20*(BN22-BM22)&lt;0,0,BM25-$C$20*(BN22-BM22))</f>
        <v>0.50999999999999956</v>
      </c>
      <c r="BO25" s="77">
        <f t="shared" si="73" ref="BO25">IF(BN25-$C$20*(BO22-BN22)&lt;0,0,BN25-$C$20*(BO22-BN22))</f>
        <v>0.49999999999999956</v>
      </c>
      <c r="BP25" s="77">
        <f t="shared" si="74" ref="BP25">IF(BO25-$C$20*(BP22-BO22)&lt;0,0,BO25-$C$20*(BP22-BO22))</f>
        <v>0.48999999999999955</v>
      </c>
      <c r="BQ25" s="77">
        <f t="shared" si="75" ref="BQ25">IF(BP25-$C$20*(BQ22-BP22)&lt;0,0,BP25-$C$20*(BQ22-BP22))</f>
        <v>0.47999999999999954</v>
      </c>
      <c r="BR25" s="77">
        <f t="shared" si="76" ref="BR25">IF(BQ25-$C$20*(BR22-BQ22)&lt;0,0,BQ25-$C$20*(BR22-BQ22))</f>
        <v>0.46999999999999953</v>
      </c>
    </row>
    <row r="26" spans="1:50" ht="15">
      <c r="A26" t="s">
        <v>16</v>
      </c>
      <c r="B26" s="5"/>
      <c r="I26" s="135"/>
      <c r="L26" s="77"/>
      <c r="M26" s="77"/>
      <c r="N26" s="77"/>
      <c r="O26" s="77"/>
      <c r="P26" s="77"/>
      <c r="Q26" s="77"/>
      <c r="R26" s="77"/>
      <c r="S26" s="77"/>
      <c r="T26" s="77"/>
      <c r="U26" s="77"/>
      <c r="V26" s="77"/>
      <c r="W26" s="77"/>
      <c r="X26" s="77"/>
      <c r="Y26" s="77"/>
      <c r="Z26" s="77"/>
      <c r="AA26" s="77"/>
      <c r="AB26" s="77"/>
      <c r="AC26" s="77"/>
      <c r="AD26" s="77"/>
      <c r="AE26" s="77"/>
      <c r="AF26" s="77"/>
      <c r="AG26" s="77"/>
      <c r="AH26" s="77"/>
      <c r="AI26" s="77"/>
      <c r="AJ26" s="77"/>
      <c r="AK26" s="77"/>
      <c r="AL26" s="77"/>
      <c r="AM26" s="77"/>
      <c r="AN26" s="77"/>
      <c r="AO26" s="77"/>
      <c r="AP26" s="77"/>
      <c r="AQ26" s="77"/>
      <c r="AR26" s="77"/>
      <c r="AS26" s="77"/>
      <c r="AT26" s="77"/>
      <c r="AU26" s="77"/>
      <c r="AV26" s="77"/>
      <c r="AW26" s="77"/>
      <c r="AX26" s="77"/>
    </row>
    <row r="27" spans="1:50" ht="15">
      <c r="A27" t="s">
        <v>16</v>
      </c>
      <c r="B27" s="5" t="s">
        <v>470</v>
      </c>
      <c r="C27" s="223">
        <v>0.20</v>
      </c>
      <c r="I27" s="135"/>
      <c r="L27" s="77"/>
      <c r="M27" s="77"/>
      <c r="N27" s="77"/>
      <c r="O27" s="77"/>
      <c r="P27" s="77"/>
      <c r="Q27" s="77"/>
      <c r="R27" s="77"/>
      <c r="S27" s="77"/>
      <c r="T27" s="77"/>
      <c r="U27" s="77"/>
      <c r="V27" s="77"/>
      <c r="W27" s="77"/>
      <c r="X27" s="77"/>
      <c r="Y27" s="77"/>
      <c r="Z27" s="77"/>
      <c r="AA27" s="77"/>
      <c r="AB27" s="77"/>
      <c r="AJ27" s="77"/>
      <c r="AK27" s="77"/>
      <c r="AL27" s="77"/>
      <c r="AM27" s="77"/>
      <c r="AN27" s="77"/>
      <c r="AO27" s="77"/>
      <c r="AP27" s="77"/>
      <c r="AQ27" s="77"/>
      <c r="AR27" s="77"/>
      <c r="AS27" s="77"/>
      <c r="AT27" s="77"/>
      <c r="AU27" s="77"/>
      <c r="AV27" s="77"/>
      <c r="AW27" s="77"/>
      <c r="AX27" s="77"/>
    </row>
    <row r="28" spans="1:50" ht="15">
      <c r="A28" t="s">
        <v>16</v>
      </c>
      <c r="B28" s="5"/>
      <c r="I28" s="135"/>
      <c r="L28" s="77"/>
      <c r="M28" s="77"/>
      <c r="N28" s="77"/>
      <c r="O28" s="77"/>
      <c r="P28" s="77"/>
      <c r="Q28" s="77"/>
      <c r="R28" s="77"/>
      <c r="S28" s="77"/>
      <c r="T28" s="77"/>
      <c r="U28" s="77"/>
      <c r="V28" s="77"/>
      <c r="W28" s="77"/>
      <c r="X28" s="77"/>
      <c r="Y28" s="77"/>
      <c r="Z28" s="77"/>
      <c r="AA28" s="77"/>
      <c r="AB28" s="77"/>
      <c r="AC28" s="77"/>
      <c r="AD28" s="77"/>
      <c r="AE28" s="77"/>
      <c r="AF28" s="77"/>
      <c r="AG28" s="77"/>
      <c r="AH28" s="77"/>
      <c r="AI28" s="77"/>
      <c r="AJ28" s="77"/>
      <c r="AK28" s="77"/>
      <c r="AL28" s="77"/>
      <c r="AM28" s="77"/>
      <c r="AN28" s="77"/>
      <c r="AO28" s="77"/>
      <c r="AP28" s="77"/>
      <c r="AQ28" s="77"/>
      <c r="AR28" s="77"/>
      <c r="AS28" s="77"/>
      <c r="AT28" s="77"/>
      <c r="AU28" s="77"/>
      <c r="AV28" s="77"/>
      <c r="AW28" s="77"/>
      <c r="AX28" s="77"/>
    </row>
    <row r="29" spans="1:50" ht="15">
      <c r="A29" t="s">
        <v>16</v>
      </c>
      <c r="B29" s="224" t="s">
        <v>474</v>
      </c>
      <c r="C29" s="147"/>
      <c r="D29" s="147"/>
      <c r="I29" s="135"/>
      <c r="L29" s="77"/>
      <c r="M29" s="77"/>
      <c r="N29" s="77"/>
      <c r="O29" s="77"/>
      <c r="P29" s="77"/>
      <c r="Q29" s="77"/>
      <c r="R29" s="77"/>
      <c r="S29" s="77"/>
      <c r="T29" s="77"/>
      <c r="U29" s="77"/>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c r="AW29" s="77"/>
      <c r="AX29" s="77"/>
    </row>
    <row r="30" spans="1:70" ht="15">
      <c r="A30" t="s">
        <v>16</v>
      </c>
      <c r="B30" s="5" t="s">
        <v>471</v>
      </c>
      <c r="D30" s="75" t="s">
        <v>62</v>
      </c>
      <c r="I30" s="135"/>
      <c r="L30" s="185">
        <f>L23</f>
        <v>132.81549000000001</v>
      </c>
      <c r="M30" s="185">
        <f t="shared" si="77" ref="M30:Q30">M23</f>
        <v>134.00787500000001</v>
      </c>
      <c r="N30" s="185">
        <f t="shared" si="77"/>
        <v>135.598851</v>
      </c>
      <c r="O30" s="185">
        <f t="shared" si="77"/>
        <v>136.99421599999999</v>
      </c>
      <c r="P30" s="185">
        <f t="shared" si="77"/>
        <v>138.328236</v>
      </c>
      <c r="Q30" s="185">
        <f t="shared" si="77"/>
        <v>139.22563422464734</v>
      </c>
      <c r="R30" s="77">
        <f>R25*$Q$23</f>
        <v>137.83337788240087</v>
      </c>
      <c r="S30" s="77">
        <f t="shared" si="78" ref="S30:AX30">S25*$Q$23</f>
        <v>136.4411215401544</v>
      </c>
      <c r="T30" s="77">
        <f t="shared" si="78"/>
        <v>135.0488651979079</v>
      </c>
      <c r="U30" s="77">
        <f t="shared" si="78"/>
        <v>133.65660885566143</v>
      </c>
      <c r="V30" s="77">
        <f t="shared" si="78"/>
        <v>132.26435251341496</v>
      </c>
      <c r="W30" s="77">
        <f t="shared" si="78"/>
        <v>130.87209617116849</v>
      </c>
      <c r="X30" s="77">
        <f t="shared" si="78"/>
        <v>129.47983982892202</v>
      </c>
      <c r="Y30" s="77">
        <f t="shared" si="78"/>
        <v>128.08758348667553</v>
      </c>
      <c r="Z30" s="77">
        <f t="shared" si="78"/>
        <v>126.69532714442907</v>
      </c>
      <c r="AA30" s="77">
        <f t="shared" si="78"/>
        <v>125.30307080218259</v>
      </c>
      <c r="AB30" s="77">
        <f t="shared" si="78"/>
        <v>123.91081445993612</v>
      </c>
      <c r="AC30" s="77">
        <f t="shared" si="78"/>
        <v>122.51855811768964</v>
      </c>
      <c r="AD30" s="77">
        <f t="shared" si="78"/>
        <v>121.12630177544317</v>
      </c>
      <c r="AE30" s="77">
        <f t="shared" si="78"/>
        <v>119.7340454331967</v>
      </c>
      <c r="AF30" s="77">
        <f t="shared" si="78"/>
        <v>118.34178909095021</v>
      </c>
      <c r="AG30" s="77">
        <f t="shared" si="78"/>
        <v>116.94953274870375</v>
      </c>
      <c r="AH30" s="77">
        <f t="shared" si="78"/>
        <v>115.55727640645726</v>
      </c>
      <c r="AI30" s="77">
        <f t="shared" si="78"/>
        <v>114.16502006421079</v>
      </c>
      <c r="AJ30" s="77">
        <f t="shared" si="78"/>
        <v>112.77276372196432</v>
      </c>
      <c r="AK30" s="77">
        <f t="shared" si="78"/>
        <v>111.38050737971784</v>
      </c>
      <c r="AL30" s="77">
        <f t="shared" si="78"/>
        <v>109.98825103747137</v>
      </c>
      <c r="AM30" s="77">
        <f t="shared" si="78"/>
        <v>108.59599469522489</v>
      </c>
      <c r="AN30" s="77">
        <f t="shared" si="78"/>
        <v>107.20373835297842</v>
      </c>
      <c r="AO30" s="77">
        <f t="shared" si="78"/>
        <v>105.81148201073195</v>
      </c>
      <c r="AP30" s="77">
        <f t="shared" si="78"/>
        <v>104.41922566848547</v>
      </c>
      <c r="AQ30" s="77">
        <f t="shared" si="78"/>
        <v>103.026969326239</v>
      </c>
      <c r="AR30" s="77">
        <f t="shared" si="78"/>
        <v>101.63471298399253</v>
      </c>
      <c r="AS30" s="77">
        <f t="shared" si="78"/>
        <v>100.24245664174605</v>
      </c>
      <c r="AT30" s="77">
        <f t="shared" si="78"/>
        <v>98.850200299499576</v>
      </c>
      <c r="AU30" s="77">
        <f t="shared" si="78"/>
        <v>97.457943957253093</v>
      </c>
      <c r="AV30" s="77">
        <f t="shared" si="78"/>
        <v>96.065687615006624</v>
      </c>
      <c r="AW30" s="77">
        <f t="shared" si="78"/>
        <v>94.673431272760155</v>
      </c>
      <c r="AX30" s="77">
        <f t="shared" si="78"/>
        <v>93.281174930513671</v>
      </c>
      <c r="AY30" s="77">
        <f t="shared" si="79" ref="AY30:BR30">AY25*$Q$23</f>
        <v>91.888918588267202</v>
      </c>
      <c r="AZ30" s="77">
        <f t="shared" si="79"/>
        <v>90.496662246020719</v>
      </c>
      <c r="BA30" s="77">
        <f t="shared" si="79"/>
        <v>89.10440590377425</v>
      </c>
      <c r="BB30" s="77">
        <f t="shared" si="79"/>
        <v>87.712149561527781</v>
      </c>
      <c r="BC30" s="77">
        <f t="shared" si="79"/>
        <v>86.319893219281298</v>
      </c>
      <c r="BD30" s="77">
        <f t="shared" si="79"/>
        <v>84.927636877034828</v>
      </c>
      <c r="BE30" s="77">
        <f t="shared" si="79"/>
        <v>83.535380534788359</v>
      </c>
      <c r="BF30" s="77">
        <f t="shared" si="79"/>
        <v>82.143124192541876</v>
      </c>
      <c r="BG30" s="77">
        <f t="shared" si="79"/>
        <v>80.750867850295407</v>
      </c>
      <c r="BH30" s="77">
        <f t="shared" si="79"/>
        <v>79.358611508048924</v>
      </c>
      <c r="BI30" s="77">
        <f t="shared" si="79"/>
        <v>77.966355165802455</v>
      </c>
      <c r="BJ30" s="77">
        <f t="shared" si="79"/>
        <v>76.574098823555985</v>
      </c>
      <c r="BK30" s="77">
        <f t="shared" si="79"/>
        <v>75.181842481309502</v>
      </c>
      <c r="BL30" s="77">
        <f t="shared" si="79"/>
        <v>73.789586139063033</v>
      </c>
      <c r="BM30" s="77">
        <f t="shared" si="79"/>
        <v>72.39732979681655</v>
      </c>
      <c r="BN30" s="77">
        <f t="shared" si="79"/>
        <v>71.005073454570081</v>
      </c>
      <c r="BO30" s="77">
        <f t="shared" si="79"/>
        <v>69.612817112323611</v>
      </c>
      <c r="BP30" s="77">
        <f t="shared" si="79"/>
        <v>68.220560770077128</v>
      </c>
      <c r="BQ30" s="77">
        <f t="shared" si="79"/>
        <v>66.828304427830659</v>
      </c>
      <c r="BR30" s="77">
        <f t="shared" si="79"/>
        <v>65.436048085584176</v>
      </c>
    </row>
    <row r="31" spans="1:70" ht="15">
      <c r="A31" t="s">
        <v>16</v>
      </c>
      <c r="B31" s="5" t="s">
        <v>472</v>
      </c>
      <c r="D31" s="75" t="s">
        <v>62</v>
      </c>
      <c r="I31" s="135"/>
      <c r="L31" s="77">
        <f>L23-L30</f>
        <v>0</v>
      </c>
      <c r="M31" s="77">
        <f t="shared" si="80" ref="M31:AX31">M23-M30</f>
        <v>0</v>
      </c>
      <c r="N31" s="77">
        <f t="shared" si="80"/>
        <v>0</v>
      </c>
      <c r="O31" s="77">
        <f t="shared" si="80"/>
        <v>0</v>
      </c>
      <c r="P31" s="77">
        <f t="shared" si="80"/>
        <v>0</v>
      </c>
      <c r="Q31" s="77">
        <f t="shared" si="80"/>
        <v>0</v>
      </c>
      <c r="R31" s="77">
        <f t="shared" si="80"/>
        <v>2.3938069038402432</v>
      </c>
      <c r="S31" s="77">
        <f t="shared" si="80"/>
        <v>4.6118634144366126</v>
      </c>
      <c r="T31" s="77">
        <f t="shared" si="80"/>
        <v>6.0041197566831102</v>
      </c>
      <c r="U31" s="77">
        <f t="shared" si="80"/>
        <v>9.5985716311705573</v>
      </c>
      <c r="V31" s="77">
        <f t="shared" si="80"/>
        <v>13.383555170487398</v>
      </c>
      <c r="W31" s="77">
        <f t="shared" si="80"/>
        <v>15.534077165335532</v>
      </c>
      <c r="X31" s="77">
        <f t="shared" si="80"/>
        <v>18.003609158221536</v>
      </c>
      <c r="Y31" s="77">
        <f t="shared" si="80"/>
        <v>20.476001605435414</v>
      </c>
      <c r="Z31" s="77">
        <f t="shared" si="80"/>
        <v>23.140530462800839</v>
      </c>
      <c r="AA31" s="77">
        <f t="shared" si="80"/>
        <v>26.203045479994984</v>
      </c>
      <c r="AB31" s="77">
        <f t="shared" si="80"/>
        <v>29.467158488971506</v>
      </c>
      <c r="AC31" s="77">
        <f t="shared" si="80"/>
        <v>33.004768905854959</v>
      </c>
      <c r="AD31" s="77">
        <f t="shared" si="80"/>
        <v>36.774527001611247</v>
      </c>
      <c r="AE31" s="77">
        <f t="shared" si="80"/>
        <v>40.714265986324804</v>
      </c>
      <c r="AF31" s="77">
        <f t="shared" si="80"/>
        <v>44.745634889632953</v>
      </c>
      <c r="AG31" s="77">
        <f t="shared" si="80"/>
        <v>48.854261149423678</v>
      </c>
      <c r="AH31" s="77">
        <f t="shared" si="80"/>
        <v>52.972516684070584</v>
      </c>
      <c r="AI31" s="77">
        <f t="shared" si="80"/>
        <v>57.072918987945528</v>
      </c>
      <c r="AJ31" s="77">
        <f t="shared" si="80"/>
        <v>61.139752305451012</v>
      </c>
      <c r="AK31" s="77">
        <f t="shared" si="80"/>
        <v>65.267914807793545</v>
      </c>
      <c r="AL31" s="77">
        <f t="shared" si="80"/>
        <v>69.460247334484791</v>
      </c>
      <c r="AM31" s="77">
        <f t="shared" si="80"/>
        <v>73.773894375583652</v>
      </c>
      <c r="AN31" s="77">
        <f t="shared" si="80"/>
        <v>78.137983153239205</v>
      </c>
      <c r="AO31" s="77">
        <f t="shared" si="80"/>
        <v>82.542963163990507</v>
      </c>
      <c r="AP31" s="77">
        <f t="shared" si="80"/>
        <v>86.888591375237382</v>
      </c>
      <c r="AQ31" s="77">
        <f t="shared" si="80"/>
        <v>91.178025210588828</v>
      </c>
      <c r="AR31" s="77">
        <f t="shared" si="80"/>
        <v>95.414155345606844</v>
      </c>
      <c r="AS31" s="77">
        <f t="shared" si="80"/>
        <v>99.599636054640783</v>
      </c>
      <c r="AT31" s="77">
        <f t="shared" si="80"/>
        <v>103.8514692042839</v>
      </c>
      <c r="AU31" s="77">
        <f t="shared" si="80"/>
        <v>108.05350018463298</v>
      </c>
      <c r="AV31" s="77">
        <f t="shared" si="80"/>
        <v>112.20808048730117</v>
      </c>
      <c r="AW31" s="77">
        <f t="shared" si="80"/>
        <v>116.31738462373096</v>
      </c>
      <c r="AX31" s="77">
        <f t="shared" si="80"/>
        <v>120.38342812501385</v>
      </c>
      <c r="AY31" s="77">
        <f t="shared" si="81" ref="AY31:BR31">AY23-AY30</f>
        <v>124.57496786888224</v>
      </c>
      <c r="AZ31" s="77">
        <f t="shared" si="81"/>
        <v>128.72175266929722</v>
      </c>
      <c r="BA31" s="77">
        <f t="shared" si="81"/>
        <v>132.8257272822641</v>
      </c>
      <c r="BB31" s="77">
        <f t="shared" si="81"/>
        <v>136.88870144465236</v>
      </c>
      <c r="BC31" s="77">
        <f t="shared" si="81"/>
        <v>140.91236256975549</v>
      </c>
      <c r="BD31" s="77">
        <f t="shared" si="81"/>
        <v>144.89828695288412</v>
      </c>
      <c r="BE31" s="77">
        <f t="shared" si="81"/>
        <v>148.84794969487683</v>
      </c>
      <c r="BF31" s="77">
        <f t="shared" si="81"/>
        <v>152.76273351802729</v>
      </c>
      <c r="BG31" s="77">
        <f t="shared" si="81"/>
        <v>156.64393662157192</v>
      </c>
      <c r="BH31" s="77">
        <f t="shared" si="81"/>
        <v>160.49277970135432</v>
      </c>
      <c r="BI31" s="77">
        <f t="shared" si="81"/>
        <v>162.83745046140211</v>
      </c>
      <c r="BJ31" s="77">
        <f t="shared" si="81"/>
        <v>165.17741179396262</v>
      </c>
      <c r="BK31" s="77">
        <f t="shared" si="81"/>
        <v>167.51272823396866</v>
      </c>
      <c r="BL31" s="77">
        <f t="shared" si="81"/>
        <v>169.84346287663473</v>
      </c>
      <c r="BM31" s="77">
        <f t="shared" si="81"/>
        <v>172.16967742175154</v>
      </c>
      <c r="BN31" s="77">
        <f t="shared" si="81"/>
        <v>174.49143221624939</v>
      </c>
      <c r="BO31" s="77">
        <f t="shared" si="81"/>
        <v>176.80878629511261</v>
      </c>
      <c r="BP31" s="77">
        <f t="shared" si="81"/>
        <v>179.12179742072203</v>
      </c>
      <c r="BQ31" s="77">
        <f t="shared" si="81"/>
        <v>181.4305221206985</v>
      </c>
      <c r="BR31" s="77">
        <f t="shared" si="81"/>
        <v>183.73501572431672</v>
      </c>
    </row>
    <row r="32" spans="1:70" ht="15">
      <c r="A32" t="s">
        <v>16</v>
      </c>
      <c r="B32" s="5"/>
      <c r="I32" s="135"/>
      <c r="L32" s="77"/>
      <c r="M32" s="77"/>
      <c r="N32" s="77"/>
      <c r="O32" s="77"/>
      <c r="P32" s="77"/>
      <c r="Q32" s="77"/>
      <c r="R32" s="77"/>
      <c r="S32" s="77"/>
      <c r="T32" s="77"/>
      <c r="U32" s="77"/>
      <c r="V32" s="77"/>
      <c r="W32" s="77"/>
      <c r="X32" s="77"/>
      <c r="Y32" s="77"/>
      <c r="Z32" s="77"/>
      <c r="AA32" s="77"/>
      <c r="AB32" s="77"/>
      <c r="AC32" s="77"/>
      <c r="AD32" s="77"/>
      <c r="AE32" s="77"/>
      <c r="AF32" s="77"/>
      <c r="AG32" s="77"/>
      <c r="AH32" s="77"/>
      <c r="AI32" s="77"/>
      <c r="AJ32" s="77"/>
      <c r="AK32" s="77"/>
      <c r="AL32" s="77"/>
      <c r="AM32" s="77"/>
      <c r="AN32" s="77"/>
      <c r="AO32" s="77"/>
      <c r="AP32" s="77"/>
      <c r="AQ32" s="77"/>
      <c r="AR32" s="77"/>
      <c r="AS32" s="77"/>
      <c r="AT32" s="77"/>
      <c r="AU32" s="77"/>
      <c r="AV32" s="77"/>
      <c r="AW32" s="77"/>
      <c r="AX32" s="77"/>
      <c r="AY32" s="77"/>
      <c r="AZ32" s="77"/>
      <c r="BA32" s="77"/>
      <c r="BB32" s="77"/>
      <c r="BC32" s="77"/>
      <c r="BD32" s="77"/>
      <c r="BE32" s="77"/>
      <c r="BF32" s="77"/>
      <c r="BG32" s="77"/>
      <c r="BH32" s="77"/>
      <c r="BI32" s="77"/>
      <c r="BJ32" s="77"/>
      <c r="BK32" s="77"/>
      <c r="BL32" s="77"/>
      <c r="BM32" s="77"/>
      <c r="BN32" s="77"/>
      <c r="BO32" s="77"/>
      <c r="BP32" s="77"/>
      <c r="BQ32" s="77"/>
      <c r="BR32" s="77"/>
    </row>
    <row r="33" spans="1:70" ht="15">
      <c r="A33" t="s">
        <v>16</v>
      </c>
      <c r="B33" s="224" t="s">
        <v>479</v>
      </c>
      <c r="C33" s="147"/>
      <c r="D33" s="147"/>
      <c r="I33" s="135"/>
      <c r="L33" s="77"/>
      <c r="M33" s="77"/>
      <c r="N33" s="77"/>
      <c r="O33" s="77"/>
      <c r="P33" s="77"/>
      <c r="Q33" s="77"/>
      <c r="R33" s="77"/>
      <c r="S33" s="77"/>
      <c r="T33" s="77"/>
      <c r="U33" s="77"/>
      <c r="V33" s="77"/>
      <c r="W33" s="77"/>
      <c r="X33" s="77"/>
      <c r="Y33" s="77"/>
      <c r="Z33" s="77"/>
      <c r="AA33" s="77"/>
      <c r="AB33" s="77"/>
      <c r="AC33" s="77"/>
      <c r="AD33" s="77"/>
      <c r="AE33" s="77"/>
      <c r="AF33" s="77"/>
      <c r="AG33" s="77"/>
      <c r="AH33" s="77"/>
      <c r="AI33" s="77"/>
      <c r="AJ33" s="77"/>
      <c r="AK33" s="77"/>
      <c r="AL33" s="77"/>
      <c r="AM33" s="77"/>
      <c r="AN33" s="77"/>
      <c r="AO33" s="77"/>
      <c r="AP33" s="77"/>
      <c r="AQ33" s="77"/>
      <c r="AR33" s="77"/>
      <c r="AS33" s="77"/>
      <c r="AT33" s="77"/>
      <c r="AU33" s="77"/>
      <c r="AV33" s="77"/>
      <c r="AW33" s="77"/>
      <c r="AX33" s="77"/>
      <c r="AY33" s="77"/>
      <c r="AZ33" s="77"/>
      <c r="BA33" s="77"/>
      <c r="BB33" s="77"/>
      <c r="BC33" s="77"/>
      <c r="BD33" s="77"/>
      <c r="BE33" s="77"/>
      <c r="BF33" s="77"/>
      <c r="BG33" s="77"/>
      <c r="BH33" s="77"/>
      <c r="BI33" s="77"/>
      <c r="BJ33" s="77"/>
      <c r="BK33" s="77"/>
      <c r="BL33" s="77"/>
      <c r="BM33" s="77"/>
      <c r="BN33" s="77"/>
      <c r="BO33" s="77"/>
      <c r="BP33" s="77"/>
      <c r="BQ33" s="77"/>
      <c r="BR33" s="77"/>
    </row>
    <row r="34" spans="1:70" ht="15">
      <c r="A34" t="s">
        <v>16</v>
      </c>
      <c r="B34" s="5" t="s">
        <v>473</v>
      </c>
      <c r="D34" s="75" t="s">
        <v>62</v>
      </c>
      <c r="I34" s="135"/>
      <c r="L34" s="77">
        <f>SUM(L30:L31)*$C$27</f>
        <v>26.563098000000004</v>
      </c>
      <c r="M34" s="77">
        <f t="shared" si="82" ref="M34:AX34">SUM(M30:M31)*$C$27</f>
        <v>26.801575000000003</v>
      </c>
      <c r="N34" s="77">
        <f t="shared" si="82"/>
        <v>27.119770200000001</v>
      </c>
      <c r="O34" s="77">
        <f t="shared" si="82"/>
        <v>27.398843200000002</v>
      </c>
      <c r="P34" s="77">
        <f t="shared" si="82"/>
        <v>27.665647200000002</v>
      </c>
      <c r="Q34" s="77">
        <f t="shared" si="82"/>
        <v>27.845126844929467</v>
      </c>
      <c r="R34" s="188">
        <f t="shared" si="82"/>
        <v>28.045436957248224</v>
      </c>
      <c r="S34" s="77">
        <f t="shared" si="82"/>
        <v>28.210596990918205</v>
      </c>
      <c r="T34" s="77">
        <f t="shared" si="82"/>
        <v>28.210596990918205</v>
      </c>
      <c r="U34" s="77">
        <f t="shared" si="82"/>
        <v>28.651036097366401</v>
      </c>
      <c r="V34" s="77">
        <f t="shared" si="82"/>
        <v>29.129581536780474</v>
      </c>
      <c r="W34" s="77">
        <f t="shared" si="82"/>
        <v>29.281234667300808</v>
      </c>
      <c r="X34" s="77">
        <f t="shared" si="82"/>
        <v>29.496689797428715</v>
      </c>
      <c r="Y34" s="77">
        <f t="shared" si="82"/>
        <v>29.71271701842219</v>
      </c>
      <c r="Z34" s="77">
        <f t="shared" si="82"/>
        <v>29.967171521445984</v>
      </c>
      <c r="AA34" s="77">
        <f t="shared" si="82"/>
        <v>30.301223256435517</v>
      </c>
      <c r="AB34" s="77">
        <f t="shared" si="82"/>
        <v>30.675594589781525</v>
      </c>
      <c r="AC34" s="77">
        <f t="shared" si="82"/>
        <v>31.104665404708921</v>
      </c>
      <c r="AD34" s="77">
        <f t="shared" si="82"/>
        <v>31.580165755410885</v>
      </c>
      <c r="AE34" s="77">
        <f t="shared" si="82"/>
        <v>32.089662283904303</v>
      </c>
      <c r="AF34" s="77">
        <f t="shared" si="82"/>
        <v>32.617484796116635</v>
      </c>
      <c r="AG34" s="77">
        <f t="shared" si="82"/>
        <v>33.160758779625489</v>
      </c>
      <c r="AH34" s="77">
        <f t="shared" si="82"/>
        <v>33.705958618105569</v>
      </c>
      <c r="AI34" s="77">
        <f t="shared" si="82"/>
        <v>34.247587810431263</v>
      </c>
      <c r="AJ34" s="77">
        <f t="shared" si="82"/>
        <v>34.782503205483067</v>
      </c>
      <c r="AK34" s="77">
        <f t="shared" si="82"/>
        <v>35.32968443750228</v>
      </c>
      <c r="AL34" s="77">
        <f t="shared" si="82"/>
        <v>35.889699674391231</v>
      </c>
      <c r="AM34" s="77">
        <f t="shared" si="82"/>
        <v>36.473977814161707</v>
      </c>
      <c r="AN34" s="77">
        <f t="shared" si="82"/>
        <v>37.068344301243528</v>
      </c>
      <c r="AO34" s="77">
        <f t="shared" si="82"/>
        <v>37.670889034944494</v>
      </c>
      <c r="AP34" s="77">
        <f t="shared" si="82"/>
        <v>38.261563408744571</v>
      </c>
      <c r="AQ34" s="77">
        <f t="shared" si="82"/>
        <v>38.840998907365567</v>
      </c>
      <c r="AR34" s="77">
        <f t="shared" si="82"/>
        <v>39.409773665919879</v>
      </c>
      <c r="AS34" s="77">
        <f t="shared" si="82"/>
        <v>39.968418539277366</v>
      </c>
      <c r="AT34" s="77">
        <f t="shared" si="82"/>
        <v>40.5403339007567</v>
      </c>
      <c r="AU34" s="77">
        <f t="shared" si="82"/>
        <v>41.102288828377219</v>
      </c>
      <c r="AV34" s="77">
        <f t="shared" si="82"/>
        <v>41.654753620461562</v>
      </c>
      <c r="AW34" s="77">
        <f t="shared" si="82"/>
        <v>42.198163179298227</v>
      </c>
      <c r="AX34" s="77">
        <f t="shared" si="82"/>
        <v>42.732920611105506</v>
      </c>
      <c r="AY34" s="77">
        <f t="shared" si="83" ref="AY34:BR34">SUM(AY30:AY31)*$C$27</f>
        <v>43.292777291429893</v>
      </c>
      <c r="AZ34" s="77">
        <f t="shared" si="83"/>
        <v>43.843682983063587</v>
      </c>
      <c r="BA34" s="77">
        <f t="shared" si="83"/>
        <v>44.386026637207671</v>
      </c>
      <c r="BB34" s="77">
        <f t="shared" si="83"/>
        <v>44.920170201236033</v>
      </c>
      <c r="BC34" s="77">
        <f t="shared" si="83"/>
        <v>45.44645115780736</v>
      </c>
      <c r="BD34" s="77">
        <f t="shared" si="83"/>
        <v>45.965184765983793</v>
      </c>
      <c r="BE34" s="77">
        <f t="shared" si="83"/>
        <v>46.476666045933044</v>
      </c>
      <c r="BF34" s="77">
        <f t="shared" si="83"/>
        <v>46.981171542113835</v>
      </c>
      <c r="BG34" s="77">
        <f t="shared" si="83"/>
        <v>47.478960894373472</v>
      </c>
      <c r="BH34" s="77">
        <f t="shared" si="83"/>
        <v>47.970278241880649</v>
      </c>
      <c r="BI34" s="77">
        <f t="shared" si="83"/>
        <v>48.160761125440914</v>
      </c>
      <c r="BJ34" s="77">
        <f t="shared" si="83"/>
        <v>48.350302123503724</v>
      </c>
      <c r="BK34" s="77">
        <f t="shared" si="83"/>
        <v>48.538914143055635</v>
      </c>
      <c r="BL34" s="77">
        <f t="shared" si="83"/>
        <v>48.726609803139553</v>
      </c>
      <c r="BM34" s="77">
        <f t="shared" si="83"/>
        <v>48.913401443713624</v>
      </c>
      <c r="BN34" s="77">
        <f t="shared" si="83"/>
        <v>49.099301134163902</v>
      </c>
      <c r="BO34" s="77">
        <f t="shared" si="83"/>
        <v>49.284320681487252</v>
      </c>
      <c r="BP34" s="77">
        <f t="shared" si="83"/>
        <v>49.468471638159834</v>
      </c>
      <c r="BQ34" s="77">
        <f t="shared" si="83"/>
        <v>49.651765309705837</v>
      </c>
      <c r="BR34" s="77">
        <f t="shared" si="83"/>
        <v>49.834212761980183</v>
      </c>
    </row>
    <row r="35" spans="1:70" ht="15">
      <c r="A35" t="s">
        <v>16</v>
      </c>
      <c r="B35" s="5" t="s">
        <v>475</v>
      </c>
      <c r="C35" s="5"/>
      <c r="D35" s="75" t="s">
        <v>62</v>
      </c>
      <c r="E35" s="77"/>
      <c r="F35" s="77"/>
      <c r="G35" s="77"/>
      <c r="H35" s="77"/>
      <c r="I35" s="135"/>
      <c r="L35" s="77">
        <f>L30-L34*(L30/SUM(L30:L31))</f>
        <v>106.25239200000001</v>
      </c>
      <c r="M35" s="77">
        <f t="shared" si="84" ref="M35:AX35">M30-M34*(M30/SUM(M30:M31))</f>
        <v>107.20630000000001</v>
      </c>
      <c r="N35" s="77">
        <f t="shared" si="84"/>
        <v>108.47908079999999</v>
      </c>
      <c r="O35" s="77">
        <f t="shared" si="84"/>
        <v>109.59537279999999</v>
      </c>
      <c r="P35" s="77">
        <f t="shared" si="84"/>
        <v>110.66258880000001</v>
      </c>
      <c r="Q35" s="77">
        <f t="shared" si="84"/>
        <v>111.38050737971787</v>
      </c>
      <c r="R35" s="188">
        <f t="shared" si="84"/>
        <v>110.26670230592069</v>
      </c>
      <c r="S35" s="77">
        <f t="shared" si="84"/>
        <v>109.15289723212351</v>
      </c>
      <c r="T35" s="77">
        <f t="shared" si="84"/>
        <v>108.03909215832633</v>
      </c>
      <c r="U35" s="77">
        <f t="shared" si="84"/>
        <v>106.92528708452915</v>
      </c>
      <c r="V35" s="77">
        <f t="shared" si="84"/>
        <v>105.81148201073196</v>
      </c>
      <c r="W35" s="77">
        <f t="shared" si="84"/>
        <v>104.69767693693478</v>
      </c>
      <c r="X35" s="77">
        <f t="shared" si="84"/>
        <v>103.58387186313762</v>
      </c>
      <c r="Y35" s="77">
        <f t="shared" si="84"/>
        <v>102.47006678934042</v>
      </c>
      <c r="Z35" s="77">
        <f t="shared" si="84"/>
        <v>101.35626171554325</v>
      </c>
      <c r="AA35" s="77">
        <f t="shared" si="84"/>
        <v>100.24245664174607</v>
      </c>
      <c r="AB35" s="77">
        <f t="shared" si="84"/>
        <v>99.128651567948893</v>
      </c>
      <c r="AC35" s="77">
        <f t="shared" si="84"/>
        <v>98.014846494151712</v>
      </c>
      <c r="AD35" s="77">
        <f t="shared" si="84"/>
        <v>96.901041420354531</v>
      </c>
      <c r="AE35" s="77">
        <f t="shared" si="84"/>
        <v>95.78723634655735</v>
      </c>
      <c r="AF35" s="77">
        <f t="shared" si="84"/>
        <v>94.673431272760169</v>
      </c>
      <c r="AG35" s="77">
        <f t="shared" si="84"/>
        <v>93.559626198962988</v>
      </c>
      <c r="AH35" s="77">
        <f t="shared" si="84"/>
        <v>92.445821125165807</v>
      </c>
      <c r="AI35" s="77">
        <f t="shared" si="84"/>
        <v>91.33201605136864</v>
      </c>
      <c r="AJ35" s="77">
        <f t="shared" si="84"/>
        <v>90.218210977571459</v>
      </c>
      <c r="AK35" s="77">
        <f t="shared" si="84"/>
        <v>89.104405903774278</v>
      </c>
      <c r="AL35" s="77">
        <f t="shared" si="84"/>
        <v>87.990600829977097</v>
      </c>
      <c r="AM35" s="77">
        <f t="shared" si="84"/>
        <v>86.876795756179916</v>
      </c>
      <c r="AN35" s="77">
        <f t="shared" si="84"/>
        <v>85.762990682382735</v>
      </c>
      <c r="AO35" s="77">
        <f t="shared" si="84"/>
        <v>84.649185608585555</v>
      </c>
      <c r="AP35" s="77">
        <f t="shared" si="84"/>
        <v>83.535380534788374</v>
      </c>
      <c r="AQ35" s="77">
        <f t="shared" si="84"/>
        <v>82.421575460991193</v>
      </c>
      <c r="AR35" s="77">
        <f t="shared" si="84"/>
        <v>81.307770387194026</v>
      </c>
      <c r="AS35" s="77">
        <f t="shared" si="84"/>
        <v>80.193965313396831</v>
      </c>
      <c r="AT35" s="77">
        <f t="shared" si="84"/>
        <v>79.080160239599664</v>
      </c>
      <c r="AU35" s="77">
        <f t="shared" si="84"/>
        <v>77.966355165802469</v>
      </c>
      <c r="AV35" s="77">
        <f t="shared" si="84"/>
        <v>76.852550092005302</v>
      </c>
      <c r="AW35" s="77">
        <f t="shared" si="84"/>
        <v>75.738745018208121</v>
      </c>
      <c r="AX35" s="77">
        <f t="shared" si="84"/>
        <v>74.62493994441094</v>
      </c>
      <c r="AY35" s="77">
        <f t="shared" si="85" ref="AY35:BR35">AY30-AY34*(AY30/SUM(AY30:AY31))</f>
        <v>73.511134870613759</v>
      </c>
      <c r="AZ35" s="77">
        <f t="shared" si="85"/>
        <v>72.397329796816578</v>
      </c>
      <c r="BA35" s="77">
        <f t="shared" si="85"/>
        <v>71.283524723019397</v>
      </c>
      <c r="BB35" s="77">
        <f t="shared" si="85"/>
        <v>70.16971964922223</v>
      </c>
      <c r="BC35" s="77">
        <f t="shared" si="85"/>
        <v>69.055914575425035</v>
      </c>
      <c r="BD35" s="77">
        <f t="shared" si="85"/>
        <v>67.942109501627868</v>
      </c>
      <c r="BE35" s="77">
        <f t="shared" si="85"/>
        <v>66.828304427830687</v>
      </c>
      <c r="BF35" s="77">
        <f t="shared" si="85"/>
        <v>65.714499354033507</v>
      </c>
      <c r="BG35" s="77">
        <f t="shared" si="85"/>
        <v>64.600694280236326</v>
      </c>
      <c r="BH35" s="77">
        <f t="shared" si="85"/>
        <v>63.486889206439137</v>
      </c>
      <c r="BI35" s="77">
        <f t="shared" si="85"/>
        <v>62.373084132641964</v>
      </c>
      <c r="BJ35" s="77">
        <f t="shared" si="85"/>
        <v>61.25927905884479</v>
      </c>
      <c r="BK35" s="77">
        <f t="shared" si="85"/>
        <v>60.145473985047602</v>
      </c>
      <c r="BL35" s="77">
        <f t="shared" si="85"/>
        <v>59.031668911250428</v>
      </c>
      <c r="BM35" s="77">
        <f t="shared" si="85"/>
        <v>57.91786383745324</v>
      </c>
      <c r="BN35" s="77">
        <f t="shared" si="85"/>
        <v>56.804058763656066</v>
      </c>
      <c r="BO35" s="77">
        <f t="shared" si="85"/>
        <v>55.690253689858892</v>
      </c>
      <c r="BP35" s="77">
        <f t="shared" si="85"/>
        <v>54.576448616061704</v>
      </c>
      <c r="BQ35" s="77">
        <f t="shared" si="85"/>
        <v>53.46264354226453</v>
      </c>
      <c r="BR35" s="77">
        <f t="shared" si="85"/>
        <v>52.348838468467335</v>
      </c>
    </row>
    <row r="36" spans="1:70" ht="15">
      <c r="A36" t="s">
        <v>16</v>
      </c>
      <c r="B36" s="5" t="s">
        <v>476</v>
      </c>
      <c r="C36" s="5"/>
      <c r="D36" s="75" t="s">
        <v>62</v>
      </c>
      <c r="E36" s="77"/>
      <c r="F36" s="77"/>
      <c r="G36" s="77"/>
      <c r="H36" s="77"/>
      <c r="I36" s="135"/>
      <c r="L36" s="77">
        <f>L23-L35-L34</f>
        <v>0</v>
      </c>
      <c r="M36" s="77">
        <f t="shared" si="86" ref="M36:AX36">M23-M35-M34</f>
        <v>0</v>
      </c>
      <c r="N36" s="77">
        <f t="shared" si="86"/>
        <v>0</v>
      </c>
      <c r="O36" s="77">
        <f t="shared" si="86"/>
        <v>0</v>
      </c>
      <c r="P36" s="77">
        <f t="shared" si="86"/>
        <v>0</v>
      </c>
      <c r="Q36" s="77">
        <f t="shared" si="86"/>
        <v>0</v>
      </c>
      <c r="R36" s="188">
        <f t="shared" si="86"/>
        <v>1.9150455230721981</v>
      </c>
      <c r="S36" s="77">
        <f t="shared" si="86"/>
        <v>3.6894907315492986</v>
      </c>
      <c r="T36" s="77">
        <f t="shared" si="86"/>
        <v>4.8032958053464796</v>
      </c>
      <c r="U36" s="77">
        <f t="shared" si="86"/>
        <v>7.678857304936443</v>
      </c>
      <c r="V36" s="77">
        <f t="shared" si="86"/>
        <v>10.706844136389922</v>
      </c>
      <c r="W36" s="77">
        <f t="shared" si="86"/>
        <v>12.427261732268434</v>
      </c>
      <c r="X36" s="77">
        <f t="shared" si="86"/>
        <v>14.402887326577229</v>
      </c>
      <c r="Y36" s="77">
        <f t="shared" si="86"/>
        <v>16.38080128434833</v>
      </c>
      <c r="Z36" s="77">
        <f t="shared" si="86"/>
        <v>18.512424370240673</v>
      </c>
      <c r="AA36" s="77">
        <f t="shared" si="86"/>
        <v>20.962436383995982</v>
      </c>
      <c r="AB36" s="77">
        <f t="shared" si="86"/>
        <v>23.573726791177208</v>
      </c>
      <c r="AC36" s="77">
        <f t="shared" si="86"/>
        <v>26.403815124683963</v>
      </c>
      <c r="AD36" s="77">
        <f t="shared" si="86"/>
        <v>29.419621601288998</v>
      </c>
      <c r="AE36" s="77">
        <f t="shared" si="86"/>
        <v>32.571412789059849</v>
      </c>
      <c r="AF36" s="77">
        <f t="shared" si="86"/>
        <v>35.796507911706364</v>
      </c>
      <c r="AG36" s="77">
        <f t="shared" si="86"/>
        <v>39.083408919538947</v>
      </c>
      <c r="AH36" s="77">
        <f t="shared" si="86"/>
        <v>42.37801334725647</v>
      </c>
      <c r="AI36" s="77">
        <f t="shared" si="86"/>
        <v>45.658335190356418</v>
      </c>
      <c r="AJ36" s="77">
        <f t="shared" si="86"/>
        <v>48.911801844360809</v>
      </c>
      <c r="AK36" s="77">
        <f t="shared" si="86"/>
        <v>52.214331846234828</v>
      </c>
      <c r="AL36" s="77">
        <f t="shared" si="86"/>
        <v>55.568197867587834</v>
      </c>
      <c r="AM36" s="77">
        <f t="shared" si="86"/>
        <v>59.019115500466917</v>
      </c>
      <c r="AN36" s="77">
        <f t="shared" si="86"/>
        <v>62.510386522591361</v>
      </c>
      <c r="AO36" s="77">
        <f t="shared" si="86"/>
        <v>66.034370531192408</v>
      </c>
      <c r="AP36" s="77">
        <f t="shared" si="86"/>
        <v>69.510873100189912</v>
      </c>
      <c r="AQ36" s="77">
        <f t="shared" si="86"/>
        <v>72.942420168471074</v>
      </c>
      <c r="AR36" s="77">
        <f t="shared" si="86"/>
        <v>76.331324276485475</v>
      </c>
      <c r="AS36" s="77">
        <f t="shared" si="86"/>
        <v>79.679708843712632</v>
      </c>
      <c r="AT36" s="77">
        <f t="shared" si="86"/>
        <v>83.081175363427121</v>
      </c>
      <c r="AU36" s="77">
        <f t="shared" si="86"/>
        <v>86.442800147706379</v>
      </c>
      <c r="AV36" s="77">
        <f t="shared" si="86"/>
        <v>89.76646438984092</v>
      </c>
      <c r="AW36" s="77">
        <f t="shared" si="86"/>
        <v>93.053907698984773</v>
      </c>
      <c r="AX36" s="77">
        <f t="shared" si="86"/>
        <v>96.306742500011069</v>
      </c>
      <c r="AY36" s="77">
        <f t="shared" si="87" ref="AY36:BR36">AY23-AY35-AY34</f>
        <v>99.659974295105769</v>
      </c>
      <c r="AZ36" s="77">
        <f t="shared" si="87"/>
        <v>102.97740213543776</v>
      </c>
      <c r="BA36" s="77">
        <f t="shared" si="87"/>
        <v>106.26058182581127</v>
      </c>
      <c r="BB36" s="77">
        <f t="shared" si="87"/>
        <v>109.51096115572187</v>
      </c>
      <c r="BC36" s="77">
        <f t="shared" si="87"/>
        <v>112.72989005580439</v>
      </c>
      <c r="BD36" s="77">
        <f t="shared" si="87"/>
        <v>115.9186295623073</v>
      </c>
      <c r="BE36" s="77">
        <f t="shared" si="87"/>
        <v>119.07835975590145</v>
      </c>
      <c r="BF36" s="77">
        <f t="shared" si="87"/>
        <v>122.21018681442183</v>
      </c>
      <c r="BG36" s="77">
        <f t="shared" si="87"/>
        <v>125.31514929725753</v>
      </c>
      <c r="BH36" s="77">
        <f t="shared" si="87"/>
        <v>128.39422376108348</v>
      </c>
      <c r="BI36" s="77">
        <f t="shared" si="87"/>
        <v>130.26996036912169</v>
      </c>
      <c r="BJ36" s="77">
        <f t="shared" si="87"/>
        <v>132.14192943517011</v>
      </c>
      <c r="BK36" s="77">
        <f t="shared" si="87"/>
        <v>134.01018258717494</v>
      </c>
      <c r="BL36" s="77">
        <f t="shared" si="87"/>
        <v>135.87477030130779</v>
      </c>
      <c r="BM36" s="77">
        <f t="shared" si="87"/>
        <v>137.73574193740126</v>
      </c>
      <c r="BN36" s="77">
        <f t="shared" si="87"/>
        <v>139.59314577299949</v>
      </c>
      <c r="BO36" s="77">
        <f t="shared" si="87"/>
        <v>141.44702903609004</v>
      </c>
      <c r="BP36" s="77">
        <f t="shared" si="87"/>
        <v>143.29743793657764</v>
      </c>
      <c r="BQ36" s="77">
        <f t="shared" si="87"/>
        <v>145.1444176965588</v>
      </c>
      <c r="BR36" s="77">
        <f t="shared" si="87"/>
        <v>146.98801257945337</v>
      </c>
    </row>
    <row r="37" spans="1:70" ht="15">
      <c r="A37" t="s">
        <v>16</v>
      </c>
      <c r="B37" s="5"/>
      <c r="C37" s="5"/>
      <c r="E37" s="77"/>
      <c r="F37" s="77"/>
      <c r="G37" s="77"/>
      <c r="H37" s="77"/>
      <c r="I37" s="135"/>
      <c r="L37" s="77"/>
      <c r="M37" s="77"/>
      <c r="N37" s="77"/>
      <c r="O37" s="77"/>
      <c r="P37" s="77"/>
      <c r="Q37" s="77"/>
      <c r="R37" s="77"/>
      <c r="S37" s="77"/>
      <c r="T37" s="77"/>
      <c r="U37" s="77"/>
      <c r="V37" s="77"/>
      <c r="W37" s="77"/>
      <c r="X37" s="77"/>
      <c r="Y37" s="77"/>
      <c r="Z37" s="77"/>
      <c r="AA37" s="77"/>
      <c r="AB37" s="77"/>
      <c r="AC37" s="77"/>
      <c r="AD37" s="77"/>
      <c r="AE37" s="77"/>
      <c r="AF37" s="77"/>
      <c r="AG37" s="77"/>
      <c r="AH37" s="77"/>
      <c r="AI37" s="77"/>
      <c r="AJ37" s="77"/>
      <c r="AK37" s="77"/>
      <c r="AL37" s="77"/>
      <c r="AM37" s="77"/>
      <c r="AN37" s="77"/>
      <c r="AO37" s="77"/>
      <c r="AP37" s="77"/>
      <c r="AQ37" s="77"/>
      <c r="AR37" s="77"/>
      <c r="AS37" s="77"/>
      <c r="AT37" s="77"/>
      <c r="AU37" s="77"/>
      <c r="AV37" s="77"/>
      <c r="AW37" s="77"/>
      <c r="AX37" s="77"/>
      <c r="AY37" s="77"/>
      <c r="AZ37" s="77"/>
      <c r="BA37" s="77"/>
      <c r="BB37" s="77"/>
      <c r="BC37" s="77"/>
      <c r="BD37" s="77"/>
      <c r="BE37" s="77"/>
      <c r="BF37" s="77"/>
      <c r="BG37" s="77"/>
      <c r="BH37" s="77"/>
      <c r="BI37" s="77"/>
      <c r="BJ37" s="77"/>
      <c r="BK37" s="77"/>
      <c r="BL37" s="77"/>
      <c r="BM37" s="77"/>
      <c r="BN37" s="77"/>
      <c r="BO37" s="77"/>
      <c r="BP37" s="77"/>
      <c r="BQ37" s="77"/>
      <c r="BR37" s="77"/>
    </row>
    <row r="38" spans="1:70" ht="15">
      <c r="A38" t="s">
        <v>16</v>
      </c>
      <c r="E38" s="77"/>
      <c r="F38" s="77"/>
      <c r="G38" s="77"/>
      <c r="H38" s="77"/>
      <c r="I38" s="135"/>
      <c r="L38" s="77"/>
      <c r="M38" s="77"/>
      <c r="N38" s="77"/>
      <c r="O38" s="77"/>
      <c r="P38" s="77"/>
      <c r="Q38" s="77"/>
      <c r="R38" s="77"/>
      <c r="S38" s="77"/>
      <c r="T38" s="77"/>
      <c r="U38" s="77"/>
      <c r="V38" s="77"/>
      <c r="W38" s="77"/>
      <c r="X38" s="77"/>
      <c r="Y38" s="77"/>
      <c r="Z38" s="77"/>
      <c r="AA38" s="77"/>
      <c r="AB38" s="77"/>
      <c r="AC38" s="77"/>
      <c r="AD38" s="77"/>
      <c r="AE38" s="77"/>
      <c r="AF38" s="77"/>
      <c r="AG38" s="77"/>
      <c r="AH38" s="77"/>
      <c r="AI38" s="77"/>
      <c r="AJ38" s="77"/>
      <c r="AK38" s="77"/>
      <c r="AL38" s="77"/>
      <c r="AM38" s="77"/>
      <c r="AN38" s="77"/>
      <c r="AO38" s="77"/>
      <c r="AP38" s="77"/>
      <c r="AQ38" s="77"/>
      <c r="AR38" s="77"/>
      <c r="AS38" s="77"/>
      <c r="AT38" s="77"/>
      <c r="AU38" s="77"/>
      <c r="AV38" s="77"/>
      <c r="AW38" s="77"/>
      <c r="AX38" s="77"/>
      <c r="AY38" s="77"/>
      <c r="AZ38" s="77"/>
      <c r="BA38" s="77"/>
      <c r="BB38" s="77"/>
      <c r="BC38" s="77"/>
      <c r="BD38" s="77"/>
      <c r="BE38" s="77"/>
      <c r="BF38" s="77"/>
      <c r="BG38" s="77"/>
      <c r="BH38" s="77"/>
      <c r="BI38" s="77"/>
      <c r="BJ38" s="77"/>
      <c r="BK38" s="77"/>
      <c r="BL38" s="77"/>
      <c r="BM38" s="77"/>
      <c r="BN38" s="77"/>
      <c r="BO38" s="77"/>
      <c r="BP38" s="77"/>
      <c r="BQ38" s="77"/>
      <c r="BR38" s="77"/>
    </row>
    <row r="39" spans="1:70" ht="15.75">
      <c r="A39" t="s">
        <v>16</v>
      </c>
      <c r="B39" s="225" t="s">
        <v>477</v>
      </c>
      <c r="C39" s="5"/>
      <c r="E39" s="77"/>
      <c r="F39" s="77"/>
      <c r="G39" s="77"/>
      <c r="H39" s="77"/>
      <c r="I39" s="135"/>
      <c r="L39" s="77"/>
      <c r="M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c r="AM39" s="77"/>
      <c r="AN39" s="77"/>
      <c r="AO39" s="77"/>
      <c r="AP39" s="77"/>
      <c r="AQ39" s="77"/>
      <c r="AR39" s="77"/>
      <c r="AS39" s="77"/>
      <c r="AT39" s="77"/>
      <c r="AU39" s="77"/>
      <c r="AV39" s="77"/>
      <c r="AW39" s="77"/>
      <c r="AX39" s="77"/>
      <c r="AY39" s="77"/>
      <c r="AZ39" s="77"/>
      <c r="BA39" s="77"/>
      <c r="BB39" s="77"/>
      <c r="BC39" s="77"/>
      <c r="BD39" s="77"/>
      <c r="BE39" s="77"/>
      <c r="BF39" s="77"/>
      <c r="BG39" s="77"/>
      <c r="BH39" s="77"/>
      <c r="BI39" s="77"/>
      <c r="BJ39" s="77"/>
      <c r="BK39" s="77"/>
      <c r="BL39" s="77"/>
      <c r="BM39" s="77"/>
      <c r="BN39" s="77"/>
      <c r="BO39" s="77"/>
      <c r="BP39" s="77"/>
      <c r="BQ39" s="77"/>
      <c r="BR39" s="77"/>
    </row>
    <row r="40" spans="1:70" ht="15">
      <c r="A40" t="s">
        <v>16</v>
      </c>
      <c r="B40" s="226" t="s">
        <v>482</v>
      </c>
      <c r="C40" s="5"/>
      <c r="E40" s="77"/>
      <c r="F40" s="77"/>
      <c r="G40" s="77"/>
      <c r="H40" s="77"/>
      <c r="I40" s="77"/>
      <c r="J40" s="77"/>
      <c r="K40" s="77"/>
      <c r="L40" s="76"/>
      <c r="M40" s="77"/>
      <c r="N40" s="77"/>
      <c r="O40" s="77"/>
      <c r="P40" s="77"/>
      <c r="Q40" s="77"/>
      <c r="R40" s="77"/>
      <c r="S40" s="77"/>
      <c r="T40" s="77"/>
      <c r="U40" s="77"/>
      <c r="V40" s="77"/>
      <c r="W40" s="77"/>
      <c r="X40" s="77"/>
      <c r="Y40" s="77"/>
      <c r="Z40" s="77"/>
      <c r="AA40" s="77"/>
      <c r="AB40" s="77"/>
      <c r="AC40" s="77"/>
      <c r="AD40" s="77"/>
      <c r="AE40" s="77"/>
      <c r="AF40" s="77"/>
      <c r="AG40" s="77"/>
      <c r="AH40" s="77"/>
      <c r="AI40" s="77"/>
      <c r="AJ40" s="77"/>
      <c r="AK40" s="77"/>
      <c r="AL40" s="77"/>
      <c r="AM40" s="77"/>
      <c r="AN40" s="77"/>
      <c r="AO40" s="77"/>
      <c r="AP40" s="77"/>
      <c r="AQ40" s="77"/>
      <c r="AR40" s="77"/>
      <c r="AS40" s="77"/>
      <c r="AT40" s="77"/>
      <c r="AU40" s="77"/>
      <c r="AV40" s="77"/>
      <c r="AW40" s="77"/>
      <c r="AX40" s="77"/>
      <c r="AY40" s="77"/>
      <c r="AZ40" s="77"/>
      <c r="BA40" s="77"/>
      <c r="BB40" s="77"/>
      <c r="BC40" s="77"/>
      <c r="BD40" s="77"/>
      <c r="BE40" s="77"/>
      <c r="BF40" s="77"/>
      <c r="BG40" s="77"/>
      <c r="BH40" s="77"/>
      <c r="BI40" s="77"/>
      <c r="BJ40" s="77"/>
      <c r="BK40" s="77"/>
      <c r="BL40" s="77"/>
      <c r="BM40" s="77"/>
      <c r="BN40" s="77"/>
      <c r="BO40" s="77"/>
      <c r="BP40" s="77"/>
      <c r="BQ40" s="77"/>
      <c r="BR40" s="77"/>
    </row>
    <row r="41" spans="1:70" ht="15">
      <c r="A41" t="s">
        <v>16</v>
      </c>
      <c r="B41" s="78" t="s">
        <v>220</v>
      </c>
      <c r="C41" s="78"/>
      <c r="D41" s="79" t="s">
        <v>221</v>
      </c>
      <c r="E41" s="88"/>
      <c r="F41" s="88"/>
      <c r="G41" s="88"/>
      <c r="H41" s="88"/>
      <c r="I41" s="88"/>
      <c r="J41" s="88"/>
      <c r="K41" s="88"/>
      <c r="L41" s="89">
        <v>0</v>
      </c>
      <c r="M41" s="88">
        <f t="shared" si="88" ref="M41:AX41">M36-L36</f>
        <v>0</v>
      </c>
      <c r="N41" s="88">
        <f t="shared" si="88"/>
        <v>0</v>
      </c>
      <c r="O41" s="88">
        <f t="shared" si="88"/>
        <v>0</v>
      </c>
      <c r="P41" s="88">
        <f t="shared" si="88"/>
        <v>0</v>
      </c>
      <c r="Q41" s="88">
        <f t="shared" si="88"/>
        <v>0</v>
      </c>
      <c r="R41" s="88">
        <f t="shared" si="88"/>
        <v>1.9150455230721981</v>
      </c>
      <c r="S41" s="88">
        <f t="shared" si="88"/>
        <v>1.7744452084771005</v>
      </c>
      <c r="T41" s="88">
        <f t="shared" si="88"/>
        <v>1.113805073797181</v>
      </c>
      <c r="U41" s="88">
        <f t="shared" si="88"/>
        <v>2.8755614995899634</v>
      </c>
      <c r="V41" s="88">
        <f t="shared" si="88"/>
        <v>3.0279868314534788</v>
      </c>
      <c r="W41" s="88">
        <f t="shared" si="88"/>
        <v>1.7204175958785122</v>
      </c>
      <c r="X41" s="88">
        <f t="shared" si="88"/>
        <v>1.975625594308795</v>
      </c>
      <c r="Y41" s="88">
        <f t="shared" si="88"/>
        <v>1.9779139577711007</v>
      </c>
      <c r="Z41" s="88">
        <f t="shared" si="88"/>
        <v>2.1316230858923433</v>
      </c>
      <c r="AA41" s="88">
        <f t="shared" si="88"/>
        <v>2.450012013755309</v>
      </c>
      <c r="AB41" s="88">
        <f t="shared" si="88"/>
        <v>2.611290407181226</v>
      </c>
      <c r="AC41" s="88">
        <f t="shared" si="88"/>
        <v>2.8300883335067546</v>
      </c>
      <c r="AD41" s="88">
        <f t="shared" si="88"/>
        <v>3.0158064766050359</v>
      </c>
      <c r="AE41" s="88">
        <f t="shared" si="88"/>
        <v>3.1517911877708507</v>
      </c>
      <c r="AF41" s="88">
        <f t="shared" si="88"/>
        <v>3.2250951226465148</v>
      </c>
      <c r="AG41" s="88">
        <f t="shared" si="88"/>
        <v>3.2869010078325829</v>
      </c>
      <c r="AH41" s="88">
        <f t="shared" si="88"/>
        <v>3.2946044277175233</v>
      </c>
      <c r="AI41" s="88">
        <f t="shared" si="88"/>
        <v>3.2803218430999479</v>
      </c>
      <c r="AJ41" s="88">
        <f t="shared" si="88"/>
        <v>3.2534666540043915</v>
      </c>
      <c r="AK41" s="88">
        <f t="shared" si="88"/>
        <v>3.3025300018740182</v>
      </c>
      <c r="AL41" s="88">
        <f t="shared" si="88"/>
        <v>3.3538660213530065</v>
      </c>
      <c r="AM41" s="88">
        <f t="shared" si="88"/>
        <v>3.4509176328790829</v>
      </c>
      <c r="AN41" s="88">
        <f t="shared" si="88"/>
        <v>3.4912710221244438</v>
      </c>
      <c r="AO41" s="88">
        <f t="shared" si="88"/>
        <v>3.5239840086010474</v>
      </c>
      <c r="AP41" s="88">
        <f t="shared" si="88"/>
        <v>3.4765025689975033</v>
      </c>
      <c r="AQ41" s="88">
        <f t="shared" si="88"/>
        <v>3.4315470682811622</v>
      </c>
      <c r="AR41" s="88">
        <f t="shared" si="88"/>
        <v>3.3889041080144011</v>
      </c>
      <c r="AS41" s="88">
        <f t="shared" si="88"/>
        <v>3.348384567227157</v>
      </c>
      <c r="AT41" s="88">
        <f t="shared" si="88"/>
        <v>3.4014665197144893</v>
      </c>
      <c r="AU41" s="88">
        <f t="shared" si="88"/>
        <v>3.3616247842792575</v>
      </c>
      <c r="AV41" s="88">
        <f t="shared" si="88"/>
        <v>3.3236642421345408</v>
      </c>
      <c r="AW41" s="88">
        <f t="shared" si="88"/>
        <v>3.2874433091438533</v>
      </c>
      <c r="AX41" s="88">
        <f t="shared" si="88"/>
        <v>3.252834801026296</v>
      </c>
      <c r="AY41" s="88">
        <f t="shared" si="89" ref="AY41">AY36-AX36</f>
        <v>3.3532317950947004</v>
      </c>
      <c r="AZ41" s="88">
        <f t="shared" si="90" ref="AZ41">AZ36-AY36</f>
        <v>3.3174278403319875</v>
      </c>
      <c r="BA41" s="88">
        <f t="shared" si="91" ref="BA41">BA36-AZ36</f>
        <v>3.2831796903735153</v>
      </c>
      <c r="BB41" s="88">
        <f t="shared" si="92" ref="BB41">BB36-BA36</f>
        <v>3.2503793299106007</v>
      </c>
      <c r="BC41" s="88">
        <f t="shared" si="93" ref="BC41">BC36-BB36</f>
        <v>3.218928900082517</v>
      </c>
      <c r="BD41" s="88">
        <f t="shared" si="94" ref="BD41">BD36-BC36</f>
        <v>3.1887395065029125</v>
      </c>
      <c r="BE41" s="88">
        <f t="shared" si="95" ref="BE41">BE36-BD36</f>
        <v>3.1597301935941431</v>
      </c>
      <c r="BF41" s="88">
        <f t="shared" si="96" ref="BF41">BF36-BE36</f>
        <v>3.1318270585203862</v>
      </c>
      <c r="BG41" s="88">
        <f t="shared" si="97" ref="BG41">BG36-BF36</f>
        <v>3.1049624828357025</v>
      </c>
      <c r="BH41" s="88">
        <f t="shared" si="98" ref="BH41">BH36-BG36</f>
        <v>3.0790744638259469</v>
      </c>
      <c r="BI41" s="88">
        <f t="shared" si="99" ref="BI41">BI36-BH36</f>
        <v>1.8757366080382099</v>
      </c>
      <c r="BJ41" s="88">
        <f t="shared" si="100" ref="BJ41">BJ36-BI36</f>
        <v>1.8719690660484218</v>
      </c>
      <c r="BK41" s="88">
        <f t="shared" si="101" ref="BK41">BK36-BJ36</f>
        <v>1.8682531520048258</v>
      </c>
      <c r="BL41" s="88">
        <f t="shared" si="102" ref="BL41">BL36-BK36</f>
        <v>1.8645877141328526</v>
      </c>
      <c r="BM41" s="88">
        <f t="shared" si="103" ref="BM41">BM36-BL36</f>
        <v>1.8609716360934669</v>
      </c>
      <c r="BN41" s="88">
        <f t="shared" si="104" ref="BN41">BN36-BM36</f>
        <v>1.8574038355982339</v>
      </c>
      <c r="BO41" s="88">
        <f t="shared" si="105" ref="BO41">BO36-BN36</f>
        <v>1.8538832630905517</v>
      </c>
      <c r="BP41" s="88">
        <f t="shared" si="106" ref="BP41">BP36-BO36</f>
        <v>1.8504089004875937</v>
      </c>
      <c r="BQ41" s="88">
        <f t="shared" si="107" ref="BQ41">BQ36-BP36</f>
        <v>1.846979759981167</v>
      </c>
      <c r="BR41" s="88">
        <f t="shared" si="108" ref="BR41">BR36-BQ36</f>
        <v>1.8435948828945641</v>
      </c>
    </row>
    <row r="42" spans="1:70" ht="15">
      <c r="A42" t="s">
        <v>16</v>
      </c>
      <c r="B42" s="5" t="s">
        <v>222</v>
      </c>
      <c r="C42" s="5"/>
      <c r="E42" s="77"/>
      <c r="F42" s="77"/>
      <c r="G42" s="77"/>
      <c r="H42" s="77"/>
      <c r="I42" s="77"/>
      <c r="J42" s="77"/>
      <c r="K42" s="77"/>
      <c r="L42" s="76"/>
      <c r="M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c r="AM42" s="77"/>
      <c r="AN42" s="77"/>
      <c r="AO42" s="77"/>
      <c r="AP42" s="77"/>
      <c r="AQ42" s="77"/>
      <c r="AR42" s="77"/>
      <c r="AS42" s="77"/>
      <c r="AT42" s="77"/>
      <c r="AU42" s="77"/>
      <c r="AV42" s="77"/>
      <c r="AW42" s="77"/>
      <c r="AX42" s="77"/>
      <c r="AY42" s="77"/>
      <c r="AZ42" s="77"/>
      <c r="BA42" s="77"/>
      <c r="BB42" s="77"/>
      <c r="BC42" s="77"/>
      <c r="BD42" s="77"/>
      <c r="BE42" s="77"/>
      <c r="BF42" s="77"/>
      <c r="BG42" s="77"/>
      <c r="BH42" s="77"/>
      <c r="BI42" s="77"/>
      <c r="BJ42" s="77"/>
      <c r="BK42" s="77"/>
      <c r="BL42" s="77"/>
      <c r="BM42" s="77"/>
      <c r="BN42" s="77"/>
      <c r="BO42" s="77"/>
      <c r="BP42" s="77"/>
      <c r="BQ42" s="77"/>
      <c r="BR42" s="77"/>
    </row>
    <row r="43" spans="1:70" ht="15">
      <c r="A43" t="s">
        <v>16</v>
      </c>
      <c r="B43" s="226" t="str">
        <f>C14</f>
        <v>A</v>
      </c>
      <c r="C43" s="5"/>
      <c r="E43" s="77"/>
      <c r="F43" s="77"/>
      <c r="G43" s="77"/>
      <c r="H43" s="77"/>
      <c r="I43" s="148"/>
      <c r="J43" s="77"/>
      <c r="K43" s="77"/>
      <c r="L43" s="77" cm="1">
        <f t="array" ref="L43">SUM($L$41:$AX$41*(L$4=$L$4:$AX$4)*($B43=$L$11:$AX$11))</f>
        <v>0</v>
      </c>
      <c r="M43" s="77" cm="1">
        <f t="array" ref="M43">SUM($L$41:$AX$41*(M$4=$L$4:$AX$4)*($B43=$L$11:$AX$11))</f>
        <v>0</v>
      </c>
      <c r="N43" s="77" cm="1">
        <f t="array" ref="N43">SUM($L$41:$AX$41*(N$4=$L$4:$AX$4)*($B43=$L$11:$AX$11))</f>
        <v>0</v>
      </c>
      <c r="O43" s="77" cm="1">
        <f t="array" ref="O43">SUM($L$41:$AX$41*(O$4=$L$4:$AX$4)*($B43=$L$11:$AX$11))</f>
        <v>0</v>
      </c>
      <c r="P43" s="77" cm="1">
        <f t="array" ref="P43">SUM($L$41:$AX$41*(P$4=$L$4:$AX$4)*($B43=$L$11:$AX$11))</f>
        <v>0</v>
      </c>
      <c r="Q43" s="77" cm="1">
        <f t="array" ref="Q43">SUM($L$41:$AX$41*(Q$4=$L$4:$AX$4)*($B43=$L$11:$AX$11))</f>
        <v>0</v>
      </c>
      <c r="R43" s="77" cm="1">
        <f t="array" ref="R43">SUM($L$41:$AX$41*(R$4=$L$4:$AX$4)*($B43=$L$11:$AX$11))</f>
        <v>0</v>
      </c>
      <c r="S43" s="77" cm="1">
        <f t="array" ref="S43">SUM($L$41:$AX$41*(S$4=$L$4:$AX$4)*($B43=$L$11:$AX$11))</f>
        <v>0</v>
      </c>
      <c r="T43" s="77" cm="1">
        <f t="array" ref="T43">SUM($L$41:$AX$41*(T$4=$L$4:$AX$4)*($B43=$L$11:$AX$11))</f>
        <v>0</v>
      </c>
      <c r="U43" s="77" cm="1">
        <f t="array" ref="U43">SUM($L$41:$AX$41*(U$4=$L$4:$AX$4)*($B43=$L$11:$AX$11))</f>
        <v>0</v>
      </c>
      <c r="V43" s="77" cm="1">
        <f t="array" ref="V43">SUM($L$41:$AX$41*(V$4=$L$4:$AX$4)*($B43=$L$11:$AX$11))</f>
        <v>0</v>
      </c>
      <c r="W43" s="77" cm="1">
        <f t="array" ref="W43">SUM($L$41:$AX$41*(W$4=$L$4:$AX$4)*($B43=$L$11:$AX$11))</f>
        <v>0</v>
      </c>
      <c r="X43" s="77" cm="1">
        <f t="array" ref="X43">SUM($L$41:$AX$41*(X$4=$L$4:$AX$4)*($B43=$L$11:$AX$11))</f>
        <v>0</v>
      </c>
      <c r="Y43" s="77" cm="1">
        <f t="array" ref="Y43">SUM($L$41:$AX$41*(Y$4=$L$4:$AX$4)*($B43=$L$11:$AX$11))</f>
        <v>0</v>
      </c>
      <c r="Z43" s="77" cm="1">
        <f t="array" ref="Z43">SUM($L$41:$AX$41*(Z$4=$L$4:$AX$4)*($B43=$L$11:$AX$11))</f>
        <v>0</v>
      </c>
      <c r="AA43" s="77" cm="1">
        <f t="array" ref="AA43">SUM($L$41:$AX$41*(AA$4=$L$4:$AX$4)*($B43=$L$11:$AX$11))</f>
        <v>0</v>
      </c>
      <c r="AB43" s="77" cm="1">
        <f t="array" ref="AB43">SUM($L$41:$AX$41*(AB$4=$L$4:$AX$4)*($B43=$L$11:$AX$11))</f>
        <v>0</v>
      </c>
      <c r="AC43" s="77" cm="1">
        <f t="array" ref="AC43">SUM($L$41:$AX$41*(AC$4=$L$4:$AX$4)*($B43=$L$11:$AX$11))</f>
        <v>0</v>
      </c>
      <c r="AD43" s="77" cm="1">
        <f t="array" ref="AD43">SUM($L$41:$AX$41*(AD$4=$L$4:$AX$4)*($B43=$L$11:$AX$11))</f>
        <v>0</v>
      </c>
      <c r="AE43" s="77" cm="1">
        <f t="array" ref="AE43">SUM($L$41:$AX$41*(AE$4=$L$4:$AX$4)*($B43=$L$11:$AX$11))</f>
        <v>0</v>
      </c>
      <c r="AF43" s="77" cm="1">
        <f t="array" ref="AF43">SUM($L$41:$AX$41*(AF$4=$L$4:$AX$4)*($B43=$L$11:$AX$11))</f>
        <v>0</v>
      </c>
      <c r="AG43" s="77" cm="1">
        <f t="array" ref="AG43">SUM($L$41:$AX$41*(AG$4=$L$4:$AX$4)*($B43=$L$11:$AX$11))</f>
        <v>0</v>
      </c>
      <c r="AH43" s="77" cm="1">
        <f t="array" ref="AH43">SUM($L$41:$AX$41*(AH$4=$L$4:$AX$4)*($B43=$L$11:$AX$11))</f>
        <v>0</v>
      </c>
      <c r="AI43" s="77" cm="1">
        <f t="array" ref="AI43">SUM($L$41:$AX$41*(AI$4=$L$4:$AX$4)*($B43=$L$11:$AX$11))</f>
        <v>0</v>
      </c>
      <c r="AJ43" s="77" cm="1">
        <f t="array" ref="AJ43">SUM($L$41:$AX$41*(AJ$4=$L$4:$AX$4)*($B43=$L$11:$AX$11))</f>
        <v>0</v>
      </c>
      <c r="AK43" s="77" cm="1">
        <f t="array" ref="AK43">SUM($L$41:$AX$41*(AK$4=$L$4:$AX$4)*($B43=$L$11:$AX$11))</f>
        <v>0</v>
      </c>
      <c r="AL43" s="77" cm="1">
        <f t="array" ref="AL43">SUM($L$41:$AX$41*(AL$4=$L$4:$AX$4)*($B43=$L$11:$AX$11))</f>
        <v>0</v>
      </c>
      <c r="AM43" s="77" cm="1">
        <f t="array" ref="AM43">SUM($L$41:$AX$41*(AM$4=$L$4:$AX$4)*($B43=$L$11:$AX$11))</f>
        <v>0</v>
      </c>
      <c r="AN43" s="77" cm="1">
        <f t="array" ref="AN43">SUM($L$41:$AX$41*(AN$4=$L$4:$AX$4)*($B43=$L$11:$AX$11))</f>
        <v>0</v>
      </c>
      <c r="AO43" s="77" cm="1">
        <f t="array" ref="AO43">SUM($L$41:$AX$41*(AO$4=$L$4:$AX$4)*($B43=$L$11:$AX$11))</f>
        <v>0</v>
      </c>
      <c r="AP43" s="77" cm="1">
        <f t="array" ref="AP43">SUM($L$41:$AX$41*(AP$4=$L$4:$AX$4)*($B43=$L$11:$AX$11))</f>
        <v>0</v>
      </c>
      <c r="AQ43" s="77" cm="1">
        <f t="array" ref="AQ43">SUM($L$41:$AX$41*(AQ$4=$L$4:$AX$4)*($B43=$L$11:$AX$11))</f>
        <v>0</v>
      </c>
      <c r="AR43" s="77" cm="1">
        <f t="array" ref="AR43">SUM($L$41:$AX$41*(AR$4=$L$4:$AX$4)*($B43=$L$11:$AX$11))</f>
        <v>0</v>
      </c>
      <c r="AS43" s="77" cm="1">
        <f t="array" ref="AS43">SUM($L$41:$AX$41*(AS$4=$L$4:$AX$4)*($B43=$L$11:$AX$11))</f>
        <v>0</v>
      </c>
      <c r="AT43" s="77" cm="1">
        <f t="array" ref="AT43">SUM($L$41:$AX$41*(AT$4=$L$4:$AX$4)*($B43=$L$11:$AX$11))</f>
        <v>0</v>
      </c>
      <c r="AU43" s="77" cm="1">
        <f t="array" ref="AU43">SUM($L$41:$AX$41*(AU$4=$L$4:$AX$4)*($B43=$L$11:$AX$11))</f>
        <v>0</v>
      </c>
      <c r="AV43" s="77" cm="1">
        <f t="array" ref="AV43">SUM($L$41:$AX$41*(AV$4=$L$4:$AX$4)*($B43=$L$11:$AX$11))</f>
        <v>0</v>
      </c>
      <c r="AW43" s="77" cm="1">
        <f t="array" ref="AW43">SUM($L$41:$AX$41*(AW$4=$L$4:$AX$4)*($B43=$L$11:$AX$11))</f>
        <v>0</v>
      </c>
      <c r="AX43" s="77" cm="1">
        <f t="array" ref="AX43">SUM($L$41:$AX$41*(AX$4=$L$4:$AX$4)*($B43=$L$11:$AX$11))</f>
        <v>0</v>
      </c>
      <c r="AY43" s="77" cm="1">
        <f t="array" ref="AY43">SUM($L$41:$AX$41*(AY$4=$L$4:$AX$4)*($B43=$L$11:$AX$11))</f>
        <v>0</v>
      </c>
      <c r="AZ43" s="77" cm="1">
        <f t="array" ref="AZ43">SUM($L$41:$AX$41*(AZ$4=$L$4:$AX$4)*($B43=$L$11:$AX$11))</f>
        <v>0</v>
      </c>
      <c r="BA43" s="77" cm="1">
        <f t="array" ref="BA43">SUM($L$41:$AX$41*(BA$4=$L$4:$AX$4)*($B43=$L$11:$AX$11))</f>
        <v>0</v>
      </c>
      <c r="BB43" s="77" cm="1">
        <f t="array" ref="BB43">SUM($L$41:$AX$41*(BB$4=$L$4:$AX$4)*($B43=$L$11:$AX$11))</f>
        <v>0</v>
      </c>
      <c r="BC43" s="77" cm="1">
        <f t="array" ref="BC43">SUM($L$41:$AX$41*(BC$4=$L$4:$AX$4)*($B43=$L$11:$AX$11))</f>
        <v>0</v>
      </c>
      <c r="BD43" s="77" cm="1">
        <f t="array" ref="BD43">SUM($L$41:$AX$41*(BD$4=$L$4:$AX$4)*($B43=$L$11:$AX$11))</f>
        <v>0</v>
      </c>
      <c r="BE43" s="77" cm="1">
        <f t="array" ref="BE43">SUM($L$41:$AX$41*(BE$4=$L$4:$AX$4)*($B43=$L$11:$AX$11))</f>
        <v>0</v>
      </c>
      <c r="BF43" s="77" cm="1">
        <f t="array" ref="BF43">SUM($L$41:$AX$41*(BF$4=$L$4:$AX$4)*($B43=$L$11:$AX$11))</f>
        <v>0</v>
      </c>
      <c r="BG43" s="77" cm="1">
        <f t="array" ref="BG43">SUM($L$41:$AX$41*(BG$4=$L$4:$AX$4)*($B43=$L$11:$AX$11))</f>
        <v>0</v>
      </c>
      <c r="BH43" s="77" cm="1">
        <f t="array" ref="BH43">SUM($L$41:$AX$41*(BH$4=$L$4:$AX$4)*($B43=$L$11:$AX$11))</f>
        <v>0</v>
      </c>
      <c r="BI43" s="77" cm="1">
        <f t="array" ref="BI43">SUM($L$41:$AX$41*(BI$4=$L$4:$AX$4)*($B43=$L$11:$AX$11))</f>
        <v>0</v>
      </c>
      <c r="BJ43" s="77" cm="1">
        <f t="array" ref="BJ43">SUM($L$41:$AX$41*(BJ$4=$L$4:$AX$4)*($B43=$L$11:$AX$11))</f>
        <v>0</v>
      </c>
      <c r="BK43" s="77" cm="1">
        <f t="array" ref="BK43">SUM($L$41:$AX$41*(BK$4=$L$4:$AX$4)*($B43=$L$11:$AX$11))</f>
        <v>0</v>
      </c>
      <c r="BL43" s="77" cm="1">
        <f t="array" ref="BL43">SUM($L$41:$AX$41*(BL$4=$L$4:$AX$4)*($B43=$L$11:$AX$11))</f>
        <v>0</v>
      </c>
      <c r="BM43" s="77" cm="1">
        <f t="array" ref="BM43">SUM($L$41:$AX$41*(BM$4=$L$4:$AX$4)*($B43=$L$11:$AX$11))</f>
        <v>0</v>
      </c>
      <c r="BN43" s="77" cm="1">
        <f t="array" ref="BN43">SUM($L$41:$AX$41*(BN$4=$L$4:$AX$4)*($B43=$L$11:$AX$11))</f>
        <v>0</v>
      </c>
      <c r="BO43" s="77" cm="1">
        <f t="array" ref="BO43">SUM($L$41:$AX$41*(BO$4=$L$4:$AX$4)*($B43=$L$11:$AX$11))</f>
        <v>0</v>
      </c>
      <c r="BP43" s="77" cm="1">
        <f t="array" ref="BP43">SUM($L$41:$AX$41*(BP$4=$L$4:$AX$4)*($B43=$L$11:$AX$11))</f>
        <v>0</v>
      </c>
      <c r="BQ43" s="77" cm="1">
        <f t="array" ref="BQ43">SUM($L$41:$AX$41*(BQ$4=$L$4:$AX$4)*($B43=$L$11:$AX$11))</f>
        <v>0</v>
      </c>
      <c r="BR43" s="77" cm="1">
        <f t="array" ref="BR43">SUM($L$41:$AX$41*(BR$4=$L$4:$AX$4)*($B43=$L$11:$AX$11))</f>
        <v>0</v>
      </c>
    </row>
    <row r="44" spans="1:70" ht="15">
      <c r="A44" t="s">
        <v>16</v>
      </c>
      <c r="B44" s="226" t="str">
        <f>C15</f>
        <v>B</v>
      </c>
      <c r="C44" s="5"/>
      <c r="E44" s="77"/>
      <c r="F44" s="77"/>
      <c r="G44" s="77"/>
      <c r="H44" s="77"/>
      <c r="I44" s="148"/>
      <c r="J44" s="77"/>
      <c r="K44" s="77"/>
      <c r="L44" s="77" cm="1">
        <f t="array" ref="L44">SUM($L$41:$AX$41*(L$4=$L$4:$AX$4)*($B44=$L$11:$AX$11))</f>
        <v>0</v>
      </c>
      <c r="M44" s="77" cm="1">
        <f t="array" ref="M44">SUM($L$41:$AX$41*(M$4=$L$4:$AX$4)*($B44=$L$11:$AX$11))</f>
        <v>0</v>
      </c>
      <c r="N44" s="77" cm="1">
        <f t="array" ref="N44">SUM($L$41:$AX$41*(N$4=$L$4:$AX$4)*($B44=$L$11:$AX$11))</f>
        <v>0</v>
      </c>
      <c r="O44" s="77" cm="1">
        <f t="array" ref="O44">SUM($L$41:$AX$41*(O$4=$L$4:$AX$4)*($B44=$L$11:$AX$11))</f>
        <v>0</v>
      </c>
      <c r="P44" s="77" cm="1">
        <f t="array" ref="P44">SUM($L$41:$AX$41*(P$4=$L$4:$AX$4)*($B44=$L$11:$AX$11))</f>
        <v>0</v>
      </c>
      <c r="Q44" s="77" cm="1">
        <f t="array" ref="Q44">SUM($L$41:$AX$41*(Q$4=$L$4:$AX$4)*($B44=$L$11:$AX$11))</f>
        <v>0</v>
      </c>
      <c r="R44" s="77" cm="1">
        <f t="array" ref="R44">SUM($L$41:$AX$41*(R$4=$L$4:$AX$4)*($B44=$L$11:$AX$11))</f>
        <v>1.9150455230721981</v>
      </c>
      <c r="S44" s="77" cm="1">
        <f t="array" ref="S44">SUM($L$41:$AX$41*(S$4=$L$4:$AX$4)*($B44=$L$11:$AX$11))</f>
        <v>1.7744452084771005</v>
      </c>
      <c r="T44" s="77" cm="1">
        <f t="array" ref="T44">SUM($L$41:$AX$41*(T$4=$L$4:$AX$4)*($B44=$L$11:$AX$11))</f>
        <v>1.113805073797181</v>
      </c>
      <c r="U44" s="77" cm="1">
        <f t="array" ref="U44">SUM($L$41:$AX$41*(U$4=$L$4:$AX$4)*($B44=$L$11:$AX$11))</f>
        <v>2.8755614995899634</v>
      </c>
      <c r="V44" s="77" cm="1">
        <f t="array" ref="V44">SUM($L$41:$AX$41*(V$4=$L$4:$AX$4)*($B44=$L$11:$AX$11))</f>
        <v>3.0279868314534788</v>
      </c>
      <c r="W44" s="77" cm="1">
        <f t="array" ref="W44">SUM($L$41:$AX$41*(W$4=$L$4:$AX$4)*($B44=$L$11:$AX$11))</f>
        <v>1.7204175958785122</v>
      </c>
      <c r="X44" s="77" cm="1">
        <f t="array" ref="X44">SUM($L$41:$AX$41*(X$4=$L$4:$AX$4)*($B44=$L$11:$AX$11))</f>
        <v>1.975625594308795</v>
      </c>
      <c r="Y44" s="77" cm="1">
        <f t="array" ref="Y44">SUM($L$41:$AX$41*(Y$4=$L$4:$AX$4)*($B44=$L$11:$AX$11))</f>
        <v>1.9779139577711007</v>
      </c>
      <c r="Z44" s="77" cm="1">
        <f t="array" ref="Z44">SUM($L$41:$AX$41*(Z$4=$L$4:$AX$4)*($B44=$L$11:$AX$11))</f>
        <v>2.1316230858923433</v>
      </c>
      <c r="AA44" s="77" cm="1">
        <f t="array" ref="AA44">SUM($L$41:$AX$41*(AA$4=$L$4:$AX$4)*($B44=$L$11:$AX$11))</f>
        <v>2.450012013755309</v>
      </c>
      <c r="AB44" s="77" cm="1">
        <f t="array" ref="AB44">SUM($L$41:$AX$41*(AB$4=$L$4:$AX$4)*($B44=$L$11:$AX$11))</f>
        <v>2.611290407181226</v>
      </c>
      <c r="AC44" s="77" cm="1">
        <f t="array" ref="AC44">SUM($L$41:$AX$41*(AC$4=$L$4:$AX$4)*($B44=$L$11:$AX$11))</f>
        <v>2.8300883335067546</v>
      </c>
      <c r="AD44" s="77" cm="1">
        <f t="array" ref="AD44">SUM($L$41:$AX$41*(AD$4=$L$4:$AX$4)*($B44=$L$11:$AX$11))</f>
        <v>3.0158064766050359</v>
      </c>
      <c r="AE44" s="77" cm="1">
        <f t="array" ref="AE44">SUM($L$41:$AX$41*(AE$4=$L$4:$AX$4)*($B44=$L$11:$AX$11))</f>
        <v>0</v>
      </c>
      <c r="AF44" s="77" cm="1">
        <f t="array" ref="AF44">SUM($L$41:$AX$41*(AF$4=$L$4:$AX$4)*($B44=$L$11:$AX$11))</f>
        <v>0</v>
      </c>
      <c r="AG44" s="77" cm="1">
        <f t="array" ref="AG44">SUM($L$41:$AX$41*(AG$4=$L$4:$AX$4)*($B44=$L$11:$AX$11))</f>
        <v>0</v>
      </c>
      <c r="AH44" s="77" cm="1">
        <f t="array" ref="AH44">SUM($L$41:$AX$41*(AH$4=$L$4:$AX$4)*($B44=$L$11:$AX$11))</f>
        <v>0</v>
      </c>
      <c r="AI44" s="77" cm="1">
        <f t="array" ref="AI44">SUM($L$41:$AX$41*(AI$4=$L$4:$AX$4)*($B44=$L$11:$AX$11))</f>
        <v>0</v>
      </c>
      <c r="AJ44" s="77" cm="1">
        <f t="array" ref="AJ44">SUM($L$41:$AX$41*(AJ$4=$L$4:$AX$4)*($B44=$L$11:$AX$11))</f>
        <v>0</v>
      </c>
      <c r="AK44" s="77" cm="1">
        <f t="array" ref="AK44">SUM($L$41:$AX$41*(AK$4=$L$4:$AX$4)*($B44=$L$11:$AX$11))</f>
        <v>0</v>
      </c>
      <c r="AL44" s="77" cm="1">
        <f t="array" ref="AL44">SUM($L$41:$AX$41*(AL$4=$L$4:$AX$4)*($B44=$L$11:$AX$11))</f>
        <v>0</v>
      </c>
      <c r="AM44" s="77" cm="1">
        <f t="array" ref="AM44">SUM($L$41:$AX$41*(AM$4=$L$4:$AX$4)*($B44=$L$11:$AX$11))</f>
        <v>0</v>
      </c>
      <c r="AN44" s="77" cm="1">
        <f t="array" ref="AN44">SUM($L$41:$AX$41*(AN$4=$L$4:$AX$4)*($B44=$L$11:$AX$11))</f>
        <v>0</v>
      </c>
      <c r="AO44" s="77" cm="1">
        <f t="array" ref="AO44">SUM($L$41:$AX$41*(AO$4=$L$4:$AX$4)*($B44=$L$11:$AX$11))</f>
        <v>0</v>
      </c>
      <c r="AP44" s="77" cm="1">
        <f t="array" ref="AP44">SUM($L$41:$AX$41*(AP$4=$L$4:$AX$4)*($B44=$L$11:$AX$11))</f>
        <v>0</v>
      </c>
      <c r="AQ44" s="77" cm="1">
        <f t="array" ref="AQ44">SUM($L$41:$AX$41*(AQ$4=$L$4:$AX$4)*($B44=$L$11:$AX$11))</f>
        <v>0</v>
      </c>
      <c r="AR44" s="77" cm="1">
        <f t="array" ref="AR44">SUM($L$41:$AX$41*(AR$4=$L$4:$AX$4)*($B44=$L$11:$AX$11))</f>
        <v>0</v>
      </c>
      <c r="AS44" s="77" cm="1">
        <f t="array" ref="AS44">SUM($L$41:$AX$41*(AS$4=$L$4:$AX$4)*($B44=$L$11:$AX$11))</f>
        <v>0</v>
      </c>
      <c r="AT44" s="77" cm="1">
        <f t="array" ref="AT44">SUM($L$41:$AX$41*(AT$4=$L$4:$AX$4)*($B44=$L$11:$AX$11))</f>
        <v>0</v>
      </c>
      <c r="AU44" s="77" cm="1">
        <f t="array" ref="AU44">SUM($L$41:$AX$41*(AU$4=$L$4:$AX$4)*($B44=$L$11:$AX$11))</f>
        <v>0</v>
      </c>
      <c r="AV44" s="77" cm="1">
        <f t="array" ref="AV44">SUM($L$41:$AX$41*(AV$4=$L$4:$AX$4)*($B44=$L$11:$AX$11))</f>
        <v>0</v>
      </c>
      <c r="AW44" s="77" cm="1">
        <f t="array" ref="AW44">SUM($L$41:$AX$41*(AW$4=$L$4:$AX$4)*($B44=$L$11:$AX$11))</f>
        <v>0</v>
      </c>
      <c r="AX44" s="77" cm="1">
        <f t="array" ref="AX44">SUM($L$41:$AX$41*(AX$4=$L$4:$AX$4)*($B44=$L$11:$AX$11))</f>
        <v>0</v>
      </c>
      <c r="AY44" s="77" cm="1">
        <f t="array" ref="AY44">SUM($L$41:$AX$41*(AY$4=$L$4:$AX$4)*($B44=$L$11:$AX$11))</f>
        <v>0</v>
      </c>
      <c r="AZ44" s="77" cm="1">
        <f t="array" ref="AZ44">SUM($L$41:$AX$41*(AZ$4=$L$4:$AX$4)*($B44=$L$11:$AX$11))</f>
        <v>0</v>
      </c>
      <c r="BA44" s="77" cm="1">
        <f t="array" ref="BA44">SUM($L$41:$AX$41*(BA$4=$L$4:$AX$4)*($B44=$L$11:$AX$11))</f>
        <v>0</v>
      </c>
      <c r="BB44" s="77" cm="1">
        <f t="array" ref="BB44">SUM($L$41:$AX$41*(BB$4=$L$4:$AX$4)*($B44=$L$11:$AX$11))</f>
        <v>0</v>
      </c>
      <c r="BC44" s="77" cm="1">
        <f t="array" ref="BC44">SUM($L$41:$AX$41*(BC$4=$L$4:$AX$4)*($B44=$L$11:$AX$11))</f>
        <v>0</v>
      </c>
      <c r="BD44" s="77" cm="1">
        <f t="array" ref="BD44">SUM($L$41:$AX$41*(BD$4=$L$4:$AX$4)*($B44=$L$11:$AX$11))</f>
        <v>0</v>
      </c>
      <c r="BE44" s="77" cm="1">
        <f t="array" ref="BE44">SUM($L$41:$AX$41*(BE$4=$L$4:$AX$4)*($B44=$L$11:$AX$11))</f>
        <v>0</v>
      </c>
      <c r="BF44" s="77" cm="1">
        <f t="array" ref="BF44">SUM($L$41:$AX$41*(BF$4=$L$4:$AX$4)*($B44=$L$11:$AX$11))</f>
        <v>0</v>
      </c>
      <c r="BG44" s="77" cm="1">
        <f t="array" ref="BG44">SUM($L$41:$AX$41*(BG$4=$L$4:$AX$4)*($B44=$L$11:$AX$11))</f>
        <v>0</v>
      </c>
      <c r="BH44" s="77" cm="1">
        <f t="array" ref="BH44">SUM($L$41:$AX$41*(BH$4=$L$4:$AX$4)*($B44=$L$11:$AX$11))</f>
        <v>0</v>
      </c>
      <c r="BI44" s="77" cm="1">
        <f t="array" ref="BI44">SUM($L$41:$AX$41*(BI$4=$L$4:$AX$4)*($B44=$L$11:$AX$11))</f>
        <v>0</v>
      </c>
      <c r="BJ44" s="77" cm="1">
        <f t="array" ref="BJ44">SUM($L$41:$AX$41*(BJ$4=$L$4:$AX$4)*($B44=$L$11:$AX$11))</f>
        <v>0</v>
      </c>
      <c r="BK44" s="77" cm="1">
        <f t="array" ref="BK44">SUM($L$41:$AX$41*(BK$4=$L$4:$AX$4)*($B44=$L$11:$AX$11))</f>
        <v>0</v>
      </c>
      <c r="BL44" s="77" cm="1">
        <f t="array" ref="BL44">SUM($L$41:$AX$41*(BL$4=$L$4:$AX$4)*($B44=$L$11:$AX$11))</f>
        <v>0</v>
      </c>
      <c r="BM44" s="77" cm="1">
        <f t="array" ref="BM44">SUM($L$41:$AX$41*(BM$4=$L$4:$AX$4)*($B44=$L$11:$AX$11))</f>
        <v>0</v>
      </c>
      <c r="BN44" s="77" cm="1">
        <f t="array" ref="BN44">SUM($L$41:$AX$41*(BN$4=$L$4:$AX$4)*($B44=$L$11:$AX$11))</f>
        <v>0</v>
      </c>
      <c r="BO44" s="77" cm="1">
        <f t="array" ref="BO44">SUM($L$41:$AX$41*(BO$4=$L$4:$AX$4)*($B44=$L$11:$AX$11))</f>
        <v>0</v>
      </c>
      <c r="BP44" s="77" cm="1">
        <f t="array" ref="BP44">SUM($L$41:$AX$41*(BP$4=$L$4:$AX$4)*($B44=$L$11:$AX$11))</f>
        <v>0</v>
      </c>
      <c r="BQ44" s="77" cm="1">
        <f t="array" ref="BQ44">SUM($L$41:$AX$41*(BQ$4=$L$4:$AX$4)*($B44=$L$11:$AX$11))</f>
        <v>0</v>
      </c>
      <c r="BR44" s="77" cm="1">
        <f t="array" ref="BR44">SUM($L$41:$AX$41*(BR$4=$L$4:$AX$4)*($B44=$L$11:$AX$11))</f>
        <v>0</v>
      </c>
    </row>
    <row r="45" spans="1:70" ht="15">
      <c r="A45" t="s">
        <v>16</v>
      </c>
      <c r="B45" s="226" t="str">
        <f>C16</f>
        <v>C</v>
      </c>
      <c r="C45" s="5"/>
      <c r="E45" s="77"/>
      <c r="F45" s="77"/>
      <c r="G45" s="77"/>
      <c r="H45" s="77"/>
      <c r="I45" s="148"/>
      <c r="J45" s="77"/>
      <c r="K45" s="77"/>
      <c r="L45" s="77" cm="1">
        <f t="array" ref="L45">SUM($L$41:$AX$41*(L$4=$L$4:$AX$4)*($B45=$L$11:$AX$11))</f>
        <v>0</v>
      </c>
      <c r="M45" s="77" cm="1">
        <f t="array" ref="M45">SUM($L$41:$AX$41*(M$4=$L$4:$AX$4)*($B45=$L$11:$AX$11))</f>
        <v>0</v>
      </c>
      <c r="N45" s="77" cm="1">
        <f t="array" ref="N45">SUM($L$41:$AX$41*(N$4=$L$4:$AX$4)*($B45=$L$11:$AX$11))</f>
        <v>0</v>
      </c>
      <c r="O45" s="77" cm="1">
        <f t="array" ref="O45">SUM($L$41:$AX$41*(O$4=$L$4:$AX$4)*($B45=$L$11:$AX$11))</f>
        <v>0</v>
      </c>
      <c r="P45" s="77" cm="1">
        <f t="array" ref="P45">SUM($L$41:$AX$41*(P$4=$L$4:$AX$4)*($B45=$L$11:$AX$11))</f>
        <v>0</v>
      </c>
      <c r="Q45" s="77" cm="1">
        <f t="array" ref="Q45">SUM($L$41:$AX$41*(Q$4=$L$4:$AX$4)*($B45=$L$11:$AX$11))</f>
        <v>0</v>
      </c>
      <c r="R45" s="77" cm="1">
        <f t="array" ref="R45">SUM($L$41:$AX$41*(R$4=$L$4:$AX$4)*($B45=$L$11:$AX$11))</f>
        <v>0</v>
      </c>
      <c r="S45" s="77" cm="1">
        <f t="array" ref="S45">SUM($L$41:$AX$41*(S$4=$L$4:$AX$4)*($B45=$L$11:$AX$11))</f>
        <v>0</v>
      </c>
      <c r="T45" s="77" cm="1">
        <f t="array" ref="T45">SUM($L$41:$AX$41*(T$4=$L$4:$AX$4)*($B45=$L$11:$AX$11))</f>
        <v>0</v>
      </c>
      <c r="U45" s="77" cm="1">
        <f t="array" ref="U45">SUM($L$41:$AX$41*(U$4=$L$4:$AX$4)*($B45=$L$11:$AX$11))</f>
        <v>0</v>
      </c>
      <c r="V45" s="77" cm="1">
        <f t="array" ref="V45">SUM($L$41:$AX$41*(V$4=$L$4:$AX$4)*($B45=$L$11:$AX$11))</f>
        <v>0</v>
      </c>
      <c r="W45" s="77" cm="1">
        <f t="array" ref="W45">SUM($L$41:$AX$41*(W$4=$L$4:$AX$4)*($B45=$L$11:$AX$11))</f>
        <v>0</v>
      </c>
      <c r="X45" s="77" cm="1">
        <f t="array" ref="X45">SUM($L$41:$AX$41*(X$4=$L$4:$AX$4)*($B45=$L$11:$AX$11))</f>
        <v>0</v>
      </c>
      <c r="Y45" s="77" cm="1">
        <f t="array" ref="Y45">SUM($L$41:$AX$41*(Y$4=$L$4:$AX$4)*($B45=$L$11:$AX$11))</f>
        <v>0</v>
      </c>
      <c r="Z45" s="77" cm="1">
        <f t="array" ref="Z45">SUM($L$41:$AX$41*(Z$4=$L$4:$AX$4)*($B45=$L$11:$AX$11))</f>
        <v>0</v>
      </c>
      <c r="AA45" s="77" cm="1">
        <f t="array" ref="AA45">SUM($L$41:$AX$41*(AA$4=$L$4:$AX$4)*($B45=$L$11:$AX$11))</f>
        <v>0</v>
      </c>
      <c r="AB45" s="77" cm="1">
        <f t="array" ref="AB45">SUM($L$41:$AX$41*(AB$4=$L$4:$AX$4)*($B45=$L$11:$AX$11))</f>
        <v>0</v>
      </c>
      <c r="AC45" s="77" cm="1">
        <f t="array" ref="AC45">SUM($L$41:$AX$41*(AC$4=$L$4:$AX$4)*($B45=$L$11:$AX$11))</f>
        <v>0</v>
      </c>
      <c r="AD45" s="77" cm="1">
        <f t="array" ref="AD45">SUM($L$41:$AX$41*(AD$4=$L$4:$AX$4)*($B45=$L$11:$AX$11))</f>
        <v>0</v>
      </c>
      <c r="AE45" s="77" cm="1">
        <f t="array" ref="AE45">SUM($L$41:$AX$41*(AE$4=$L$4:$AX$4)*($B45=$L$11:$AX$11))</f>
        <v>3.1517911877708507</v>
      </c>
      <c r="AF45" s="77" cm="1">
        <f t="array" ref="AF45">SUM($L$41:$AX$41*(AF$4=$L$4:$AX$4)*($B45=$L$11:$AX$11))</f>
        <v>3.2250951226465148</v>
      </c>
      <c r="AG45" s="77" cm="1">
        <f t="array" ref="AG45">SUM($L$41:$AX$41*(AG$4=$L$4:$AX$4)*($B45=$L$11:$AX$11))</f>
        <v>3.2869010078325829</v>
      </c>
      <c r="AH45" s="77" cm="1">
        <f t="array" ref="AH45">SUM($L$41:$AX$41*(AH$4=$L$4:$AX$4)*($B45=$L$11:$AX$11))</f>
        <v>3.2946044277175233</v>
      </c>
      <c r="AI45" s="77" cm="1">
        <f t="array" ref="AI45">SUM($L$41:$AX$41*(AI$4=$L$4:$AX$4)*($B45=$L$11:$AX$11))</f>
        <v>3.2803218430999479</v>
      </c>
      <c r="AJ45" s="77" cm="1">
        <f t="array" ref="AJ45">SUM($L$41:$AX$41*(AJ$4=$L$4:$AX$4)*($B45=$L$11:$AX$11))</f>
        <v>3.2534666540043915</v>
      </c>
      <c r="AK45" s="77" cm="1">
        <f t="array" ref="AK45">SUM($L$41:$AX$41*(AK$4=$L$4:$AX$4)*($B45=$L$11:$AX$11))</f>
        <v>3.3025300018740182</v>
      </c>
      <c r="AL45" s="77" cm="1">
        <f t="array" ref="AL45">SUM($L$41:$AX$41*(AL$4=$L$4:$AX$4)*($B45=$L$11:$AX$11))</f>
        <v>3.3538660213530065</v>
      </c>
      <c r="AM45" s="77" cm="1">
        <f t="array" ref="AM45">SUM($L$41:$AX$41*(AM$4=$L$4:$AX$4)*($B45=$L$11:$AX$11))</f>
        <v>3.4509176328790829</v>
      </c>
      <c r="AN45" s="77" cm="1">
        <f t="array" ref="AN45">SUM($L$41:$AX$41*(AN$4=$L$4:$AX$4)*($B45=$L$11:$AX$11))</f>
        <v>3.4912710221244438</v>
      </c>
      <c r="AO45" s="77" cm="1">
        <f t="array" ref="AO45">SUM($L$41:$AX$41*(AO$4=$L$4:$AX$4)*($B45=$L$11:$AX$11))</f>
        <v>0</v>
      </c>
      <c r="AP45" s="77" cm="1">
        <f t="array" ref="AP45">SUM($L$41:$AX$41*(AP$4=$L$4:$AX$4)*($B45=$L$11:$AX$11))</f>
        <v>0</v>
      </c>
      <c r="AQ45" s="77" cm="1">
        <f t="array" ref="AQ45">SUM($L$41:$AX$41*(AQ$4=$L$4:$AX$4)*($B45=$L$11:$AX$11))</f>
        <v>0</v>
      </c>
      <c r="AR45" s="77" cm="1">
        <f t="array" ref="AR45">SUM($L$41:$AX$41*(AR$4=$L$4:$AX$4)*($B45=$L$11:$AX$11))</f>
        <v>0</v>
      </c>
      <c r="AS45" s="77" cm="1">
        <f t="array" ref="AS45">SUM($L$41:$AX$41*(AS$4=$L$4:$AX$4)*($B45=$L$11:$AX$11))</f>
        <v>0</v>
      </c>
      <c r="AT45" s="77" cm="1">
        <f t="array" ref="AT45">SUM($L$41:$AX$41*(AT$4=$L$4:$AX$4)*($B45=$L$11:$AX$11))</f>
        <v>0</v>
      </c>
      <c r="AU45" s="77" cm="1">
        <f t="array" ref="AU45">SUM($L$41:$AX$41*(AU$4=$L$4:$AX$4)*($B45=$L$11:$AX$11))</f>
        <v>0</v>
      </c>
      <c r="AV45" s="77" cm="1">
        <f t="array" ref="AV45">SUM($L$41:$AX$41*(AV$4=$L$4:$AX$4)*($B45=$L$11:$AX$11))</f>
        <v>0</v>
      </c>
      <c r="AW45" s="77" cm="1">
        <f t="array" ref="AW45">SUM($L$41:$AX$41*(AW$4=$L$4:$AX$4)*($B45=$L$11:$AX$11))</f>
        <v>0</v>
      </c>
      <c r="AX45" s="77" cm="1">
        <f t="array" ref="AX45">SUM($L$41:$AX$41*(AX$4=$L$4:$AX$4)*($B45=$L$11:$AX$11))</f>
        <v>0</v>
      </c>
      <c r="AY45" s="77" cm="1">
        <f t="array" ref="AY45">SUM($L$41:$AX$41*(AY$4=$L$4:$AX$4)*($B45=$L$11:$AX$11))</f>
        <v>0</v>
      </c>
      <c r="AZ45" s="77" cm="1">
        <f t="array" ref="AZ45">SUM($L$41:$AX$41*(AZ$4=$L$4:$AX$4)*($B45=$L$11:$AX$11))</f>
        <v>0</v>
      </c>
      <c r="BA45" s="77" cm="1">
        <f t="array" ref="BA45">SUM($L$41:$AX$41*(BA$4=$L$4:$AX$4)*($B45=$L$11:$AX$11))</f>
        <v>0</v>
      </c>
      <c r="BB45" s="77" cm="1">
        <f t="array" ref="BB45">SUM($L$41:$AX$41*(BB$4=$L$4:$AX$4)*($B45=$L$11:$AX$11))</f>
        <v>0</v>
      </c>
      <c r="BC45" s="77" cm="1">
        <f t="array" ref="BC45">SUM($L$41:$AX$41*(BC$4=$L$4:$AX$4)*($B45=$L$11:$AX$11))</f>
        <v>0</v>
      </c>
      <c r="BD45" s="77" cm="1">
        <f t="array" ref="BD45">SUM($L$41:$AX$41*(BD$4=$L$4:$AX$4)*($B45=$L$11:$AX$11))</f>
        <v>0</v>
      </c>
      <c r="BE45" s="77" cm="1">
        <f t="array" ref="BE45">SUM($L$41:$AX$41*(BE$4=$L$4:$AX$4)*($B45=$L$11:$AX$11))</f>
        <v>0</v>
      </c>
      <c r="BF45" s="77" cm="1">
        <f t="array" ref="BF45">SUM($L$41:$AX$41*(BF$4=$L$4:$AX$4)*($B45=$L$11:$AX$11))</f>
        <v>0</v>
      </c>
      <c r="BG45" s="77" cm="1">
        <f t="array" ref="BG45">SUM($L$41:$AX$41*(BG$4=$L$4:$AX$4)*($B45=$L$11:$AX$11))</f>
        <v>0</v>
      </c>
      <c r="BH45" s="77" cm="1">
        <f t="array" ref="BH45">SUM($L$41:$AX$41*(BH$4=$L$4:$AX$4)*($B45=$L$11:$AX$11))</f>
        <v>0</v>
      </c>
      <c r="BI45" s="77" cm="1">
        <f t="array" ref="BI45">SUM($L$41:$AX$41*(BI$4=$L$4:$AX$4)*($B45=$L$11:$AX$11))</f>
        <v>0</v>
      </c>
      <c r="BJ45" s="77" cm="1">
        <f t="array" ref="BJ45">SUM($L$41:$AX$41*(BJ$4=$L$4:$AX$4)*($B45=$L$11:$AX$11))</f>
        <v>0</v>
      </c>
      <c r="BK45" s="77" cm="1">
        <f t="array" ref="BK45">SUM($L$41:$AX$41*(BK$4=$L$4:$AX$4)*($B45=$L$11:$AX$11))</f>
        <v>0</v>
      </c>
      <c r="BL45" s="77" cm="1">
        <f t="array" ref="BL45">SUM($L$41:$AX$41*(BL$4=$L$4:$AX$4)*($B45=$L$11:$AX$11))</f>
        <v>0</v>
      </c>
      <c r="BM45" s="77" cm="1">
        <f t="array" ref="BM45">SUM($L$41:$AX$41*(BM$4=$L$4:$AX$4)*($B45=$L$11:$AX$11))</f>
        <v>0</v>
      </c>
      <c r="BN45" s="77" cm="1">
        <f t="array" ref="BN45">SUM($L$41:$AX$41*(BN$4=$L$4:$AX$4)*($B45=$L$11:$AX$11))</f>
        <v>0</v>
      </c>
      <c r="BO45" s="77" cm="1">
        <f t="array" ref="BO45">SUM($L$41:$AX$41*(BO$4=$L$4:$AX$4)*($B45=$L$11:$AX$11))</f>
        <v>0</v>
      </c>
      <c r="BP45" s="77" cm="1">
        <f t="array" ref="BP45">SUM($L$41:$AX$41*(BP$4=$L$4:$AX$4)*($B45=$L$11:$AX$11))</f>
        <v>0</v>
      </c>
      <c r="BQ45" s="77" cm="1">
        <f t="array" ref="BQ45">SUM($L$41:$AX$41*(BQ$4=$L$4:$AX$4)*($B45=$L$11:$AX$11))</f>
        <v>0</v>
      </c>
      <c r="BR45" s="77" cm="1">
        <f t="array" ref="BR45">SUM($L$41:$AX$41*(BR$4=$L$4:$AX$4)*($B45=$L$11:$AX$11))</f>
        <v>0</v>
      </c>
    </row>
    <row r="46" spans="1:70" ht="15">
      <c r="A46" t="s">
        <v>16</v>
      </c>
      <c r="B46" s="226" t="str">
        <f>C17</f>
        <v>D</v>
      </c>
      <c r="C46" s="5"/>
      <c r="E46" s="77"/>
      <c r="F46" s="77"/>
      <c r="G46" s="77"/>
      <c r="H46" s="77"/>
      <c r="I46" s="148"/>
      <c r="J46" s="77"/>
      <c r="K46" s="77"/>
      <c r="L46" s="77" cm="1">
        <f t="array" ref="L46">SUM($L$41:$AX$41*(L$4=$L$4:$AX$4)*($B46=$L$11:$AX$11))</f>
        <v>0</v>
      </c>
      <c r="M46" s="77" cm="1">
        <f t="array" ref="M46">SUM($L$41:$AX$41*(M$4=$L$4:$AX$4)*($B46=$L$11:$AX$11))</f>
        <v>0</v>
      </c>
      <c r="N46" s="77" cm="1">
        <f t="array" ref="N46">SUM($L$41:$AX$41*(N$4=$L$4:$AX$4)*($B46=$L$11:$AX$11))</f>
        <v>0</v>
      </c>
      <c r="O46" s="77" cm="1">
        <f t="array" ref="O46">SUM($L$41:$AX$41*(O$4=$L$4:$AX$4)*($B46=$L$11:$AX$11))</f>
        <v>0</v>
      </c>
      <c r="P46" s="77" cm="1">
        <f t="array" ref="P46">SUM($L$41:$AX$41*(P$4=$L$4:$AX$4)*($B46=$L$11:$AX$11))</f>
        <v>0</v>
      </c>
      <c r="Q46" s="77" cm="1">
        <f t="array" ref="Q46">SUM($L$41:$AX$41*(Q$4=$L$4:$AX$4)*($B46=$L$11:$AX$11))</f>
        <v>0</v>
      </c>
      <c r="R46" s="77" cm="1">
        <f t="array" ref="R46">SUM($L$41:$AX$41*(R$4=$L$4:$AX$4)*($B46=$L$11:$AX$11))</f>
        <v>0</v>
      </c>
      <c r="S46" s="77" cm="1">
        <f t="array" ref="S46">SUM($L$41:$AX$41*(S$4=$L$4:$AX$4)*($B46=$L$11:$AX$11))</f>
        <v>0</v>
      </c>
      <c r="T46" s="77" cm="1">
        <f t="array" ref="T46">SUM($L$41:$AX$41*(T$4=$L$4:$AX$4)*($B46=$L$11:$AX$11))</f>
        <v>0</v>
      </c>
      <c r="U46" s="77" cm="1">
        <f t="array" ref="U46">SUM($L$41:$AX$41*(U$4=$L$4:$AX$4)*($B46=$L$11:$AX$11))</f>
        <v>0</v>
      </c>
      <c r="V46" s="77" cm="1">
        <f t="array" ref="V46">SUM($L$41:$AX$41*(V$4=$L$4:$AX$4)*($B46=$L$11:$AX$11))</f>
        <v>0</v>
      </c>
      <c r="W46" s="77" cm="1">
        <f t="array" ref="W46">SUM($L$41:$AX$41*(W$4=$L$4:$AX$4)*($B46=$L$11:$AX$11))</f>
        <v>0</v>
      </c>
      <c r="X46" s="77" cm="1">
        <f t="array" ref="X46">SUM($L$41:$AX$41*(X$4=$L$4:$AX$4)*($B46=$L$11:$AX$11))</f>
        <v>0</v>
      </c>
      <c r="Y46" s="77" cm="1">
        <f t="array" ref="Y46">SUM($L$41:$AX$41*(Y$4=$L$4:$AX$4)*($B46=$L$11:$AX$11))</f>
        <v>0</v>
      </c>
      <c r="Z46" s="77" cm="1">
        <f t="array" ref="Z46">SUM($L$41:$AX$41*(Z$4=$L$4:$AX$4)*($B46=$L$11:$AX$11))</f>
        <v>0</v>
      </c>
      <c r="AA46" s="77" cm="1">
        <f t="array" ref="AA46">SUM($L$41:$AX$41*(AA$4=$L$4:$AX$4)*($B46=$L$11:$AX$11))</f>
        <v>0</v>
      </c>
      <c r="AB46" s="77" cm="1">
        <f t="array" ref="AB46">SUM($L$41:$AX$41*(AB$4=$L$4:$AX$4)*($B46=$L$11:$AX$11))</f>
        <v>0</v>
      </c>
      <c r="AC46" s="77" cm="1">
        <f t="array" ref="AC46">SUM($L$41:$AX$41*(AC$4=$L$4:$AX$4)*($B46=$L$11:$AX$11))</f>
        <v>0</v>
      </c>
      <c r="AD46" s="77" cm="1">
        <f t="array" ref="AD46">SUM($L$41:$AX$41*(AD$4=$L$4:$AX$4)*($B46=$L$11:$AX$11))</f>
        <v>0</v>
      </c>
      <c r="AE46" s="77" cm="1">
        <f t="array" ref="AE46">SUM($L$41:$AX$41*(AE$4=$L$4:$AX$4)*($B46=$L$11:$AX$11))</f>
        <v>0</v>
      </c>
      <c r="AF46" s="77" cm="1">
        <f t="array" ref="AF46">SUM($L$41:$AX$41*(AF$4=$L$4:$AX$4)*($B46=$L$11:$AX$11))</f>
        <v>0</v>
      </c>
      <c r="AG46" s="77" cm="1">
        <f t="array" ref="AG46">SUM($L$41:$AX$41*(AG$4=$L$4:$AX$4)*($B46=$L$11:$AX$11))</f>
        <v>0</v>
      </c>
      <c r="AH46" s="77" cm="1">
        <f t="array" ref="AH46">SUM($L$41:$AX$41*(AH$4=$L$4:$AX$4)*($B46=$L$11:$AX$11))</f>
        <v>0</v>
      </c>
      <c r="AI46" s="77" cm="1">
        <f t="array" ref="AI46">SUM($L$41:$AX$41*(AI$4=$L$4:$AX$4)*($B46=$L$11:$AX$11))</f>
        <v>0</v>
      </c>
      <c r="AJ46" s="77" cm="1">
        <f t="array" ref="AJ46">SUM($L$41:$AX$41*(AJ$4=$L$4:$AX$4)*($B46=$L$11:$AX$11))</f>
        <v>0</v>
      </c>
      <c r="AK46" s="77" cm="1">
        <f t="array" ref="AK46">SUM($L$41:$AX$41*(AK$4=$L$4:$AX$4)*($B46=$L$11:$AX$11))</f>
        <v>0</v>
      </c>
      <c r="AL46" s="77" cm="1">
        <f t="array" ref="AL46">SUM($L$41:$AX$41*(AL$4=$L$4:$AX$4)*($B46=$L$11:$AX$11))</f>
        <v>0</v>
      </c>
      <c r="AM46" s="77" cm="1">
        <f t="array" ref="AM46">SUM($L$41:$AX$41*(AM$4=$L$4:$AX$4)*($B46=$L$11:$AX$11))</f>
        <v>0</v>
      </c>
      <c r="AN46" s="77" cm="1">
        <f t="array" ref="AN46">SUM($L$41:$AX$41*(AN$4=$L$4:$AX$4)*($B46=$L$11:$AX$11))</f>
        <v>0</v>
      </c>
      <c r="AO46" s="77" cm="1">
        <f t="array" ref="AO46">SUM($L$41:$AX$41*(AO$4=$L$4:$AX$4)*($B46=$L$11:$AX$11))</f>
        <v>3.5239840086010474</v>
      </c>
      <c r="AP46" s="77" cm="1">
        <f t="array" ref="AP46">SUM($L$41:$AX$41*(AP$4=$L$4:$AX$4)*($B46=$L$11:$AX$11))</f>
        <v>3.4765025689975033</v>
      </c>
      <c r="AQ46" s="77" cm="1">
        <f t="array" ref="AQ46">SUM($L$41:$AX$41*(AQ$4=$L$4:$AX$4)*($B46=$L$11:$AX$11))</f>
        <v>3.4315470682811622</v>
      </c>
      <c r="AR46" s="77" cm="1">
        <f t="array" ref="AR46">SUM($L$41:$AX$41*(AR$4=$L$4:$AX$4)*($B46=$L$11:$AX$11))</f>
        <v>3.3889041080144011</v>
      </c>
      <c r="AS46" s="77" cm="1">
        <f t="array" ref="AS46">SUM($L$41:$AX$41*(AS$4=$L$4:$AX$4)*($B46=$L$11:$AX$11))</f>
        <v>3.348384567227157</v>
      </c>
      <c r="AT46" s="77" cm="1">
        <f t="array" ref="AT46">SUM($L$41:$AX$41*(AT$4=$L$4:$AX$4)*($B46=$L$11:$AX$11))</f>
        <v>3.4014665197144893</v>
      </c>
      <c r="AU46" s="77" cm="1">
        <f t="array" ref="AU46">SUM($L$41:$AX$41*(AU$4=$L$4:$AX$4)*($B46=$L$11:$AX$11))</f>
        <v>3.3616247842792575</v>
      </c>
      <c r="AV46" s="77" cm="1">
        <f t="array" ref="AV46">SUM($L$41:$AX$41*(AV$4=$L$4:$AX$4)*($B46=$L$11:$AX$11))</f>
        <v>3.3236642421345408</v>
      </c>
      <c r="AW46" s="77" cm="1">
        <f t="array" ref="AW46">SUM($L$41:$AX$41*(AW$4=$L$4:$AX$4)*($B46=$L$11:$AX$11))</f>
        <v>3.2874433091438533</v>
      </c>
      <c r="AX46" s="77" cm="1">
        <f t="array" ref="AX46">SUM($L$41:$BR$41*(AX$4=$L$4:$BR$4)*($B46=$L$11:$BR$11))</f>
        <v>3.252834801026296</v>
      </c>
      <c r="AY46" s="77" cm="1">
        <f t="array" ref="AY46">SUM($L$41:$BR$41*(AY$4=$L$4:$BR$4)*($B46=$L$11:$BR$11))</f>
        <v>3.3532317950947004</v>
      </c>
      <c r="AZ46" s="77" cm="1">
        <f t="array" ref="AZ46">SUM($L$41:$BR$41*(AZ$4=$L$4:$BR$4)*($B46=$L$11:$BR$11))</f>
        <v>3.3174278403319875</v>
      </c>
      <c r="BA46" s="77" cm="1">
        <f t="array" ref="BA46">SUM($L$41:$BR$41*(BA$4=$L$4:$BR$4)*($B46=$L$11:$BR$11))</f>
        <v>3.2831796903735153</v>
      </c>
      <c r="BB46" s="77" cm="1">
        <f t="array" ref="BB46">SUM($L$41:$BR$41*(BB$4=$L$4:$BR$4)*($B46=$L$11:$BR$11))</f>
        <v>3.2503793299106007</v>
      </c>
      <c r="BC46" s="77" cm="1">
        <f t="array" ref="BC46">SUM($L$41:$BR$41*(BC$4=$L$4:$BR$4)*($B46=$L$11:$BR$11))</f>
        <v>3.218928900082517</v>
      </c>
      <c r="BD46" s="77" cm="1">
        <f t="array" ref="BD46">SUM($L$41:$BR$41*(BD$4=$L$4:$BR$4)*($B46=$L$11:$BR$11))</f>
        <v>3.1887395065029125</v>
      </c>
      <c r="BE46" s="77" cm="1">
        <f t="array" ref="BE46">SUM($L$41:$BR$41*(BE$4=$L$4:$BR$4)*($B46=$L$11:$BR$11))</f>
        <v>3.1597301935941431</v>
      </c>
      <c r="BF46" s="77" cm="1">
        <f t="array" ref="BF46">SUM($L$41:$BR$41*(BF$4=$L$4:$BR$4)*($B46=$L$11:$BR$11))</f>
        <v>3.1318270585203862</v>
      </c>
      <c r="BG46" s="77" cm="1">
        <f t="array" ref="BG46">SUM($L$41:$BR$41*(BG$4=$L$4:$BR$4)*($B46=$L$11:$BR$11))</f>
        <v>3.1049624828357025</v>
      </c>
      <c r="BH46" s="77" cm="1">
        <f t="array" ref="BH46">SUM($L$41:$BR$41*(BH$4=$L$4:$BR$4)*($B46=$L$11:$BR$11))</f>
        <v>3.0790744638259469</v>
      </c>
      <c r="BI46" s="77" cm="1">
        <f t="array" ref="BI46">SUM($L$41:$BR$41*(BI$4=$L$4:$BR$4)*($B46=$L$11:$BR$11))</f>
        <v>1.8757366080382099</v>
      </c>
      <c r="BJ46" s="77" cm="1">
        <f t="array" ref="BJ46">SUM($L$41:$BR$41*(BJ$4=$L$4:$BR$4)*($B46=$L$11:$BR$11))</f>
        <v>1.8719690660484218</v>
      </c>
      <c r="BK46" s="77" cm="1">
        <f t="array" ref="BK46">SUM($L$41:$BR$41*(BK$4=$L$4:$BR$4)*($B46=$L$11:$BR$11))</f>
        <v>1.8682531520048258</v>
      </c>
      <c r="BL46" s="77" cm="1">
        <f t="array" ref="BL46">SUM($L$41:$BR$41*(BL$4=$L$4:$BR$4)*($B46=$L$11:$BR$11))</f>
        <v>1.8645877141328526</v>
      </c>
      <c r="BM46" s="77" cm="1">
        <f t="array" ref="BM46">SUM($L$41:$BR$41*(BM$4=$L$4:$BR$4)*($B46=$L$11:$BR$11))</f>
        <v>1.8609716360934669</v>
      </c>
      <c r="BN46" s="77" cm="1">
        <f t="array" ref="BN46">SUM($L$41:$BR$41*(BN$4=$L$4:$BR$4)*($B46=$L$11:$BR$11))</f>
        <v>1.8574038355982339</v>
      </c>
      <c r="BO46" s="77" cm="1">
        <f t="array" ref="BO46">SUM($L$41:$BR$41*(BO$4=$L$4:$BR$4)*($B46=$L$11:$BR$11))</f>
        <v>1.8538832630905517</v>
      </c>
      <c r="BP46" s="77" cm="1">
        <f t="array" ref="BP46">SUM($L$41:$BR$41*(BP$4=$L$4:$BR$4)*($B46=$L$11:$BR$11))</f>
        <v>1.8504089004875937</v>
      </c>
      <c r="BQ46" s="77" cm="1">
        <f t="array" ref="BQ46">SUM($L$41:$BR$41*(BQ$4=$L$4:$BR$4)*($B46=$L$11:$BR$11))</f>
        <v>1.846979759981167</v>
      </c>
      <c r="BR46" s="77" cm="1">
        <f t="array" ref="BR46">SUM($L$41:$BR$41*(BR$4=$L$4:$BR$4)*($B46=$L$11:$BR$11))</f>
        <v>1.8435948828945641</v>
      </c>
    </row>
    <row r="47" spans="1:70" ht="15">
      <c r="A47" t="s">
        <v>16</v>
      </c>
      <c r="B47" s="5"/>
      <c r="C47" s="5"/>
      <c r="E47" s="77"/>
      <c r="F47" s="77"/>
      <c r="G47" s="77"/>
      <c r="H47" s="77"/>
      <c r="I47" s="148"/>
      <c r="J47" s="77"/>
      <c r="K47" s="77"/>
      <c r="L47" s="77"/>
      <c r="M47" s="77"/>
      <c r="N47" s="77"/>
      <c r="O47" s="77"/>
      <c r="P47" s="77"/>
      <c r="Q47" s="77"/>
      <c r="R47" s="77"/>
      <c r="S47" s="77"/>
      <c r="T47" s="77"/>
      <c r="U47" s="77"/>
      <c r="V47" s="77"/>
      <c r="W47" s="77"/>
      <c r="X47" s="77"/>
      <c r="Y47" s="77"/>
      <c r="Z47" s="77"/>
      <c r="AA47" s="77"/>
      <c r="AB47" s="77"/>
      <c r="AC47" s="77"/>
      <c r="AD47" s="77"/>
      <c r="AE47" s="77"/>
      <c r="AF47" s="77"/>
      <c r="AG47" s="77"/>
      <c r="AH47" s="77"/>
      <c r="AI47" s="77"/>
      <c r="AJ47" s="77"/>
      <c r="AK47" s="77"/>
      <c r="AL47" s="77"/>
      <c r="AM47" s="77"/>
      <c r="AN47" s="77"/>
      <c r="AO47" s="77"/>
      <c r="AP47" s="77"/>
      <c r="AQ47" s="77"/>
      <c r="AR47" s="77"/>
      <c r="AS47" s="77"/>
      <c r="AT47" s="77"/>
      <c r="AU47" s="77"/>
      <c r="AV47" s="77"/>
      <c r="AW47" s="77"/>
      <c r="AX47" s="77"/>
      <c r="AY47" s="77"/>
      <c r="AZ47" s="77"/>
      <c r="BA47" s="77"/>
      <c r="BB47" s="77"/>
      <c r="BC47" s="77"/>
      <c r="BD47" s="77"/>
      <c r="BE47" s="77"/>
      <c r="BF47" s="77"/>
      <c r="BG47" s="77"/>
      <c r="BH47" s="77"/>
      <c r="BI47" s="77"/>
      <c r="BJ47" s="77"/>
      <c r="BK47" s="77"/>
      <c r="BL47" s="77"/>
      <c r="BM47" s="77"/>
      <c r="BN47" s="77"/>
      <c r="BO47" s="77"/>
      <c r="BP47" s="77"/>
      <c r="BQ47" s="77"/>
      <c r="BR47" s="77"/>
    </row>
    <row r="48" spans="1:70" ht="15">
      <c r="A48" t="s">
        <v>16</v>
      </c>
      <c r="B48" s="226" t="s">
        <v>223</v>
      </c>
      <c r="C48" s="5"/>
      <c r="E48" s="77"/>
      <c r="F48" s="77"/>
      <c r="G48" s="77"/>
      <c r="H48" s="77"/>
      <c r="I48" s="148" t="s">
        <v>471</v>
      </c>
      <c r="J48" s="77"/>
      <c r="K48" s="77"/>
      <c r="L48" s="77">
        <f>L30</f>
        <v>132.81549000000001</v>
      </c>
      <c r="M48" s="77">
        <f t="shared" si="109" ref="M48:AX48">M30</f>
        <v>134.00787500000001</v>
      </c>
      <c r="N48" s="77">
        <f t="shared" si="109"/>
        <v>135.598851</v>
      </c>
      <c r="O48" s="77">
        <f t="shared" si="109"/>
        <v>136.99421599999999</v>
      </c>
      <c r="P48" s="77">
        <f t="shared" si="109"/>
        <v>138.328236</v>
      </c>
      <c r="Q48" s="77">
        <f t="shared" si="109"/>
        <v>139.22563422464734</v>
      </c>
      <c r="R48" s="77">
        <f t="shared" si="109"/>
        <v>137.83337788240087</v>
      </c>
      <c r="S48" s="77">
        <f t="shared" si="109"/>
        <v>136.4411215401544</v>
      </c>
      <c r="T48" s="77">
        <f t="shared" si="109"/>
        <v>135.0488651979079</v>
      </c>
      <c r="U48" s="77">
        <f t="shared" si="109"/>
        <v>133.65660885566143</v>
      </c>
      <c r="V48" s="77">
        <f t="shared" si="109"/>
        <v>132.26435251341496</v>
      </c>
      <c r="W48" s="77">
        <f t="shared" si="109"/>
        <v>130.87209617116849</v>
      </c>
      <c r="X48" s="77">
        <f t="shared" si="109"/>
        <v>129.47983982892202</v>
      </c>
      <c r="Y48" s="77">
        <f t="shared" si="109"/>
        <v>128.08758348667553</v>
      </c>
      <c r="Z48" s="77">
        <f t="shared" si="109"/>
        <v>126.69532714442907</v>
      </c>
      <c r="AA48" s="77">
        <f t="shared" si="109"/>
        <v>125.30307080218259</v>
      </c>
      <c r="AB48" s="77">
        <f t="shared" si="109"/>
        <v>123.91081445993612</v>
      </c>
      <c r="AC48" s="77">
        <f t="shared" si="109"/>
        <v>122.51855811768964</v>
      </c>
      <c r="AD48" s="77">
        <f t="shared" si="109"/>
        <v>121.12630177544317</v>
      </c>
      <c r="AE48" s="77">
        <f t="shared" si="109"/>
        <v>119.7340454331967</v>
      </c>
      <c r="AF48" s="77">
        <f t="shared" si="109"/>
        <v>118.34178909095021</v>
      </c>
      <c r="AG48" s="77">
        <f t="shared" si="109"/>
        <v>116.94953274870375</v>
      </c>
      <c r="AH48" s="77">
        <f t="shared" si="109"/>
        <v>115.55727640645726</v>
      </c>
      <c r="AI48" s="77">
        <f t="shared" si="109"/>
        <v>114.16502006421079</v>
      </c>
      <c r="AJ48" s="77">
        <f t="shared" si="109"/>
        <v>112.77276372196432</v>
      </c>
      <c r="AK48" s="77">
        <f t="shared" si="109"/>
        <v>111.38050737971784</v>
      </c>
      <c r="AL48" s="77">
        <f t="shared" si="109"/>
        <v>109.98825103747137</v>
      </c>
      <c r="AM48" s="77">
        <f t="shared" si="109"/>
        <v>108.59599469522489</v>
      </c>
      <c r="AN48" s="77">
        <f t="shared" si="109"/>
        <v>107.20373835297842</v>
      </c>
      <c r="AO48" s="77">
        <f t="shared" si="109"/>
        <v>105.81148201073195</v>
      </c>
      <c r="AP48" s="77">
        <f t="shared" si="109"/>
        <v>104.41922566848547</v>
      </c>
      <c r="AQ48" s="77">
        <f t="shared" si="109"/>
        <v>103.026969326239</v>
      </c>
      <c r="AR48" s="77">
        <f t="shared" si="109"/>
        <v>101.63471298399253</v>
      </c>
      <c r="AS48" s="77">
        <f t="shared" si="109"/>
        <v>100.24245664174605</v>
      </c>
      <c r="AT48" s="77">
        <f t="shared" si="109"/>
        <v>98.850200299499576</v>
      </c>
      <c r="AU48" s="77">
        <f t="shared" si="109"/>
        <v>97.457943957253093</v>
      </c>
      <c r="AV48" s="77">
        <f t="shared" si="109"/>
        <v>96.065687615006624</v>
      </c>
      <c r="AW48" s="77">
        <f t="shared" si="109"/>
        <v>94.673431272760155</v>
      </c>
      <c r="AX48" s="77">
        <f t="shared" si="109"/>
        <v>93.281174930513671</v>
      </c>
      <c r="AY48" s="77">
        <f t="shared" si="110" ref="AY48:BR48">AY30</f>
        <v>91.888918588267202</v>
      </c>
      <c r="AZ48" s="77">
        <f t="shared" si="110"/>
        <v>90.496662246020719</v>
      </c>
      <c r="BA48" s="77">
        <f t="shared" si="110"/>
        <v>89.10440590377425</v>
      </c>
      <c r="BB48" s="77">
        <f t="shared" si="110"/>
        <v>87.712149561527781</v>
      </c>
      <c r="BC48" s="77">
        <f t="shared" si="110"/>
        <v>86.319893219281298</v>
      </c>
      <c r="BD48" s="77">
        <f t="shared" si="110"/>
        <v>84.927636877034828</v>
      </c>
      <c r="BE48" s="77">
        <f t="shared" si="110"/>
        <v>83.535380534788359</v>
      </c>
      <c r="BF48" s="77">
        <f t="shared" si="110"/>
        <v>82.143124192541876</v>
      </c>
      <c r="BG48" s="77">
        <f t="shared" si="110"/>
        <v>80.750867850295407</v>
      </c>
      <c r="BH48" s="77">
        <f t="shared" si="110"/>
        <v>79.358611508048924</v>
      </c>
      <c r="BI48" s="77">
        <f t="shared" si="110"/>
        <v>77.966355165802455</v>
      </c>
      <c r="BJ48" s="77">
        <f t="shared" si="110"/>
        <v>76.574098823555985</v>
      </c>
      <c r="BK48" s="77">
        <f t="shared" si="110"/>
        <v>75.181842481309502</v>
      </c>
      <c r="BL48" s="77">
        <f t="shared" si="110"/>
        <v>73.789586139063033</v>
      </c>
      <c r="BM48" s="77">
        <f t="shared" si="110"/>
        <v>72.39732979681655</v>
      </c>
      <c r="BN48" s="77">
        <f t="shared" si="110"/>
        <v>71.005073454570081</v>
      </c>
      <c r="BO48" s="77">
        <f t="shared" si="110"/>
        <v>69.612817112323611</v>
      </c>
      <c r="BP48" s="77">
        <f t="shared" si="110"/>
        <v>68.220560770077128</v>
      </c>
      <c r="BQ48" s="77">
        <f t="shared" si="110"/>
        <v>66.828304427830659</v>
      </c>
      <c r="BR48" s="77">
        <f t="shared" si="110"/>
        <v>65.436048085584176</v>
      </c>
    </row>
    <row r="49" spans="1:70" ht="15">
      <c r="A49" t="s">
        <v>16</v>
      </c>
      <c r="B49" s="226" t="str">
        <f>B43</f>
        <v>A</v>
      </c>
      <c r="C49" s="5"/>
      <c r="E49" s="77"/>
      <c r="F49" s="77"/>
      <c r="G49" s="77"/>
      <c r="H49" s="77"/>
      <c r="I49" s="148" t="str">
        <f>B43</f>
        <v>A</v>
      </c>
      <c r="J49" s="77"/>
      <c r="K49" s="77"/>
      <c r="L49" s="77">
        <f>L36</f>
        <v>0</v>
      </c>
      <c r="M49" s="77">
        <f t="shared" si="111" ref="M49:AX52">L49+M43</f>
        <v>0</v>
      </c>
      <c r="N49" s="77">
        <f t="shared" si="111"/>
        <v>0</v>
      </c>
      <c r="O49" s="77">
        <f t="shared" si="111"/>
        <v>0</v>
      </c>
      <c r="P49" s="77">
        <f t="shared" si="111"/>
        <v>0</v>
      </c>
      <c r="Q49" s="77">
        <f t="shared" si="111"/>
        <v>0</v>
      </c>
      <c r="R49" s="77">
        <f t="shared" si="111"/>
        <v>0</v>
      </c>
      <c r="S49" s="77">
        <f t="shared" si="111"/>
        <v>0</v>
      </c>
      <c r="T49" s="77">
        <f t="shared" si="111"/>
        <v>0</v>
      </c>
      <c r="U49" s="77">
        <f t="shared" si="111"/>
        <v>0</v>
      </c>
      <c r="V49" s="77">
        <f t="shared" si="111"/>
        <v>0</v>
      </c>
      <c r="W49" s="77">
        <f t="shared" si="111"/>
        <v>0</v>
      </c>
      <c r="X49" s="77">
        <f t="shared" si="111"/>
        <v>0</v>
      </c>
      <c r="Y49" s="77">
        <f t="shared" si="111"/>
        <v>0</v>
      </c>
      <c r="Z49" s="77">
        <f t="shared" si="111"/>
        <v>0</v>
      </c>
      <c r="AA49" s="77">
        <f t="shared" si="111"/>
        <v>0</v>
      </c>
      <c r="AB49" s="77">
        <f t="shared" si="111"/>
        <v>0</v>
      </c>
      <c r="AC49" s="77">
        <f t="shared" si="111"/>
        <v>0</v>
      </c>
      <c r="AD49" s="77">
        <f t="shared" si="111"/>
        <v>0</v>
      </c>
      <c r="AE49" s="77">
        <f t="shared" si="111"/>
        <v>0</v>
      </c>
      <c r="AF49" s="77">
        <f t="shared" si="111"/>
        <v>0</v>
      </c>
      <c r="AG49" s="77">
        <f t="shared" si="111"/>
        <v>0</v>
      </c>
      <c r="AH49" s="77">
        <f t="shared" si="111"/>
        <v>0</v>
      </c>
      <c r="AI49" s="77">
        <f t="shared" si="111"/>
        <v>0</v>
      </c>
      <c r="AJ49" s="77">
        <f t="shared" si="111"/>
        <v>0</v>
      </c>
      <c r="AK49" s="77">
        <f t="shared" si="111"/>
        <v>0</v>
      </c>
      <c r="AL49" s="77">
        <f t="shared" si="111"/>
        <v>0</v>
      </c>
      <c r="AM49" s="77">
        <f t="shared" si="111"/>
        <v>0</v>
      </c>
      <c r="AN49" s="77">
        <f t="shared" si="111"/>
        <v>0</v>
      </c>
      <c r="AO49" s="77">
        <f t="shared" si="111"/>
        <v>0</v>
      </c>
      <c r="AP49" s="77">
        <f t="shared" si="111"/>
        <v>0</v>
      </c>
      <c r="AQ49" s="77">
        <f t="shared" si="111"/>
        <v>0</v>
      </c>
      <c r="AR49" s="77">
        <f t="shared" si="111"/>
        <v>0</v>
      </c>
      <c r="AS49" s="77">
        <f t="shared" si="111"/>
        <v>0</v>
      </c>
      <c r="AT49" s="77">
        <f t="shared" si="111"/>
        <v>0</v>
      </c>
      <c r="AU49" s="77">
        <f t="shared" si="111"/>
        <v>0</v>
      </c>
      <c r="AV49" s="77">
        <f t="shared" si="111"/>
        <v>0</v>
      </c>
      <c r="AW49" s="77">
        <f t="shared" si="111"/>
        <v>0</v>
      </c>
      <c r="AX49" s="77">
        <f t="shared" si="111"/>
        <v>0</v>
      </c>
      <c r="AY49" s="77">
        <f t="shared" si="112" ref="AY49:AY52">AX49+AY43</f>
        <v>0</v>
      </c>
      <c r="AZ49" s="77">
        <f t="shared" si="113" ref="AZ49:AZ52">AY49+AZ43</f>
        <v>0</v>
      </c>
      <c r="BA49" s="77">
        <f t="shared" si="114" ref="BA49:BA52">AZ49+BA43</f>
        <v>0</v>
      </c>
      <c r="BB49" s="77">
        <f t="shared" si="115" ref="BB49:BB52">BA49+BB43</f>
        <v>0</v>
      </c>
      <c r="BC49" s="77">
        <f t="shared" si="116" ref="BC49:BC52">BB49+BC43</f>
        <v>0</v>
      </c>
      <c r="BD49" s="77">
        <f t="shared" si="117" ref="BD49:BD52">BC49+BD43</f>
        <v>0</v>
      </c>
      <c r="BE49" s="77">
        <f t="shared" si="118" ref="BE49:BE52">BD49+BE43</f>
        <v>0</v>
      </c>
      <c r="BF49" s="77">
        <f t="shared" si="119" ref="BF49:BF52">BE49+BF43</f>
        <v>0</v>
      </c>
      <c r="BG49" s="77">
        <f t="shared" si="120" ref="BG49:BG52">BF49+BG43</f>
        <v>0</v>
      </c>
      <c r="BH49" s="77">
        <f t="shared" si="121" ref="BH49:BH52">BG49+BH43</f>
        <v>0</v>
      </c>
      <c r="BI49" s="77">
        <f t="shared" si="122" ref="BI49:BI52">BH49+BI43</f>
        <v>0</v>
      </c>
      <c r="BJ49" s="77">
        <f t="shared" si="123" ref="BJ49:BJ52">BI49+BJ43</f>
        <v>0</v>
      </c>
      <c r="BK49" s="77">
        <f t="shared" si="124" ref="BK49:BK52">BJ49+BK43</f>
        <v>0</v>
      </c>
      <c r="BL49" s="77">
        <f t="shared" si="125" ref="BL49:BL52">BK49+BL43</f>
        <v>0</v>
      </c>
      <c r="BM49" s="77">
        <f t="shared" si="126" ref="BM49:BM52">BL49+BM43</f>
        <v>0</v>
      </c>
      <c r="BN49" s="77">
        <f t="shared" si="127" ref="BN49:BN52">BM49+BN43</f>
        <v>0</v>
      </c>
      <c r="BO49" s="77">
        <f t="shared" si="128" ref="BO49:BO52">BN49+BO43</f>
        <v>0</v>
      </c>
      <c r="BP49" s="77">
        <f t="shared" si="129" ref="BP49:BP52">BO49+BP43</f>
        <v>0</v>
      </c>
      <c r="BQ49" s="77">
        <f t="shared" si="130" ref="BQ49:BQ52">BP49+BQ43</f>
        <v>0</v>
      </c>
      <c r="BR49" s="77">
        <f t="shared" si="131" ref="BR49:BR52">BQ49+BR43</f>
        <v>0</v>
      </c>
    </row>
    <row r="50" spans="1:70" ht="15">
      <c r="A50" t="s">
        <v>16</v>
      </c>
      <c r="B50" s="226" t="str">
        <f>B44</f>
        <v>B</v>
      </c>
      <c r="C50" s="5"/>
      <c r="E50" s="77"/>
      <c r="F50" s="77"/>
      <c r="G50" s="77"/>
      <c r="H50" s="77"/>
      <c r="I50" s="148" t="s">
        <v>244</v>
      </c>
      <c r="J50" s="77"/>
      <c r="K50" s="77"/>
      <c r="L50" s="77">
        <v>0</v>
      </c>
      <c r="M50" s="77">
        <f t="shared" si="111"/>
        <v>0</v>
      </c>
      <c r="N50" s="77">
        <f t="shared" si="111"/>
        <v>0</v>
      </c>
      <c r="O50" s="77">
        <f t="shared" si="111"/>
        <v>0</v>
      </c>
      <c r="P50" s="77">
        <f t="shared" si="111"/>
        <v>0</v>
      </c>
      <c r="Q50" s="77">
        <f t="shared" si="111"/>
        <v>0</v>
      </c>
      <c r="R50" s="77">
        <f t="shared" si="111"/>
        <v>1.9150455230721981</v>
      </c>
      <c r="S50" s="77">
        <f t="shared" si="111"/>
        <v>3.6894907315492986</v>
      </c>
      <c r="T50" s="77">
        <f t="shared" si="111"/>
        <v>4.8032958053464796</v>
      </c>
      <c r="U50" s="77">
        <f t="shared" si="111"/>
        <v>7.678857304936443</v>
      </c>
      <c r="V50" s="77">
        <f t="shared" si="111"/>
        <v>10.706844136389922</v>
      </c>
      <c r="W50" s="77">
        <f t="shared" si="111"/>
        <v>12.427261732268434</v>
      </c>
      <c r="X50" s="77">
        <f t="shared" si="111"/>
        <v>14.402887326577229</v>
      </c>
      <c r="Y50" s="77">
        <f t="shared" si="111"/>
        <v>16.38080128434833</v>
      </c>
      <c r="Z50" s="77">
        <f t="shared" si="111"/>
        <v>18.512424370240673</v>
      </c>
      <c r="AA50" s="77">
        <f t="shared" si="111"/>
        <v>20.962436383995982</v>
      </c>
      <c r="AB50" s="77">
        <f t="shared" si="111"/>
        <v>23.573726791177208</v>
      </c>
      <c r="AC50" s="77">
        <f t="shared" si="111"/>
        <v>26.403815124683963</v>
      </c>
      <c r="AD50" s="77">
        <f t="shared" si="111"/>
        <v>29.419621601288998</v>
      </c>
      <c r="AE50" s="77">
        <f t="shared" si="111"/>
        <v>29.419621601288998</v>
      </c>
      <c r="AF50" s="77">
        <f t="shared" si="111"/>
        <v>29.419621601288998</v>
      </c>
      <c r="AG50" s="77">
        <f t="shared" si="111"/>
        <v>29.419621601288998</v>
      </c>
      <c r="AH50" s="77">
        <f t="shared" si="111"/>
        <v>29.419621601288998</v>
      </c>
      <c r="AI50" s="77">
        <f t="shared" si="111"/>
        <v>29.419621601288998</v>
      </c>
      <c r="AJ50" s="77">
        <f t="shared" si="111"/>
        <v>29.419621601288998</v>
      </c>
      <c r="AK50" s="77">
        <f t="shared" si="111"/>
        <v>29.419621601288998</v>
      </c>
      <c r="AL50" s="77">
        <f t="shared" si="111"/>
        <v>29.419621601288998</v>
      </c>
      <c r="AM50" s="77">
        <f t="shared" si="111"/>
        <v>29.419621601288998</v>
      </c>
      <c r="AN50" s="77">
        <f t="shared" si="111"/>
        <v>29.419621601288998</v>
      </c>
      <c r="AO50" s="77">
        <f t="shared" si="111"/>
        <v>29.419621601288998</v>
      </c>
      <c r="AP50" s="77">
        <f t="shared" si="111"/>
        <v>29.419621601288998</v>
      </c>
      <c r="AQ50" s="77">
        <f t="shared" si="111"/>
        <v>29.419621601288998</v>
      </c>
      <c r="AR50" s="77">
        <f t="shared" si="111"/>
        <v>29.419621601288998</v>
      </c>
      <c r="AS50" s="77">
        <f t="shared" si="111"/>
        <v>29.419621601288998</v>
      </c>
      <c r="AT50" s="77">
        <f t="shared" si="111"/>
        <v>29.419621601288998</v>
      </c>
      <c r="AU50" s="77">
        <f t="shared" si="111"/>
        <v>29.419621601288998</v>
      </c>
      <c r="AV50" s="77">
        <f t="shared" si="111"/>
        <v>29.419621601288998</v>
      </c>
      <c r="AW50" s="77">
        <f t="shared" si="111"/>
        <v>29.419621601288998</v>
      </c>
      <c r="AX50" s="77">
        <f t="shared" si="111"/>
        <v>29.419621601288998</v>
      </c>
      <c r="AY50" s="77">
        <f t="shared" si="112"/>
        <v>29.419621601288998</v>
      </c>
      <c r="AZ50" s="77">
        <f t="shared" si="113"/>
        <v>29.419621601288998</v>
      </c>
      <c r="BA50" s="77">
        <f t="shared" si="114"/>
        <v>29.419621601288998</v>
      </c>
      <c r="BB50" s="77">
        <f t="shared" si="115"/>
        <v>29.419621601288998</v>
      </c>
      <c r="BC50" s="77">
        <f t="shared" si="116"/>
        <v>29.419621601288998</v>
      </c>
      <c r="BD50" s="77">
        <f t="shared" si="117"/>
        <v>29.419621601288998</v>
      </c>
      <c r="BE50" s="77">
        <f t="shared" si="118"/>
        <v>29.419621601288998</v>
      </c>
      <c r="BF50" s="77">
        <f t="shared" si="119"/>
        <v>29.419621601288998</v>
      </c>
      <c r="BG50" s="77">
        <f t="shared" si="120"/>
        <v>29.419621601288998</v>
      </c>
      <c r="BH50" s="77">
        <f t="shared" si="121"/>
        <v>29.419621601288998</v>
      </c>
      <c r="BI50" s="77">
        <f t="shared" si="122"/>
        <v>29.419621601288998</v>
      </c>
      <c r="BJ50" s="77">
        <f t="shared" si="123"/>
        <v>29.419621601288998</v>
      </c>
      <c r="BK50" s="77">
        <f t="shared" si="124"/>
        <v>29.419621601288998</v>
      </c>
      <c r="BL50" s="77">
        <f t="shared" si="125"/>
        <v>29.419621601288998</v>
      </c>
      <c r="BM50" s="77">
        <f t="shared" si="126"/>
        <v>29.419621601288998</v>
      </c>
      <c r="BN50" s="77">
        <f t="shared" si="127"/>
        <v>29.419621601288998</v>
      </c>
      <c r="BO50" s="77">
        <f t="shared" si="128"/>
        <v>29.419621601288998</v>
      </c>
      <c r="BP50" s="77">
        <f t="shared" si="129"/>
        <v>29.419621601288998</v>
      </c>
      <c r="BQ50" s="77">
        <f t="shared" si="130"/>
        <v>29.419621601288998</v>
      </c>
      <c r="BR50" s="77">
        <f t="shared" si="131"/>
        <v>29.419621601288998</v>
      </c>
    </row>
    <row r="51" spans="1:70" ht="15">
      <c r="A51" t="s">
        <v>16</v>
      </c>
      <c r="B51" s="226" t="str">
        <f>B45</f>
        <v>C</v>
      </c>
      <c r="C51" s="5"/>
      <c r="E51" s="77"/>
      <c r="F51" s="77"/>
      <c r="G51" s="77"/>
      <c r="H51" s="77"/>
      <c r="I51" s="148" t="s">
        <v>245</v>
      </c>
      <c r="J51" s="77"/>
      <c r="K51" s="77"/>
      <c r="L51" s="77">
        <v>0</v>
      </c>
      <c r="M51" s="77">
        <f t="shared" si="111"/>
        <v>0</v>
      </c>
      <c r="N51" s="77">
        <f t="shared" si="111"/>
        <v>0</v>
      </c>
      <c r="O51" s="77">
        <f t="shared" si="111"/>
        <v>0</v>
      </c>
      <c r="P51" s="77">
        <f t="shared" si="111"/>
        <v>0</v>
      </c>
      <c r="Q51" s="77">
        <f t="shared" si="111"/>
        <v>0</v>
      </c>
      <c r="R51" s="77">
        <f t="shared" si="111"/>
        <v>0</v>
      </c>
      <c r="S51" s="77">
        <f t="shared" si="111"/>
        <v>0</v>
      </c>
      <c r="T51" s="77">
        <f t="shared" si="111"/>
        <v>0</v>
      </c>
      <c r="U51" s="77">
        <f t="shared" si="111"/>
        <v>0</v>
      </c>
      <c r="V51" s="77">
        <f t="shared" si="111"/>
        <v>0</v>
      </c>
      <c r="W51" s="77">
        <f t="shared" si="111"/>
        <v>0</v>
      </c>
      <c r="X51" s="77">
        <f t="shared" si="111"/>
        <v>0</v>
      </c>
      <c r="Y51" s="77">
        <f t="shared" si="111"/>
        <v>0</v>
      </c>
      <c r="Z51" s="77">
        <f t="shared" si="111"/>
        <v>0</v>
      </c>
      <c r="AA51" s="77">
        <f t="shared" si="111"/>
        <v>0</v>
      </c>
      <c r="AB51" s="77">
        <f t="shared" si="111"/>
        <v>0</v>
      </c>
      <c r="AC51" s="77">
        <f t="shared" si="111"/>
        <v>0</v>
      </c>
      <c r="AD51" s="77">
        <f t="shared" si="111"/>
        <v>0</v>
      </c>
      <c r="AE51" s="77">
        <f t="shared" si="111"/>
        <v>3.1517911877708507</v>
      </c>
      <c r="AF51" s="77">
        <f t="shared" si="111"/>
        <v>6.3768863104173654</v>
      </c>
      <c r="AG51" s="77">
        <f t="shared" si="111"/>
        <v>9.6637873182499483</v>
      </c>
      <c r="AH51" s="77">
        <f t="shared" si="111"/>
        <v>12.958391745967472</v>
      </c>
      <c r="AI51" s="77">
        <f t="shared" si="111"/>
        <v>16.238713589067419</v>
      </c>
      <c r="AJ51" s="77">
        <f t="shared" si="111"/>
        <v>19.492180243071811</v>
      </c>
      <c r="AK51" s="77">
        <f t="shared" si="111"/>
        <v>22.794710244945829</v>
      </c>
      <c r="AL51" s="77">
        <f t="shared" si="111"/>
        <v>26.148576266298836</v>
      </c>
      <c r="AM51" s="77">
        <f t="shared" si="111"/>
        <v>29.599493899177919</v>
      </c>
      <c r="AN51" s="77">
        <f t="shared" si="111"/>
        <v>33.090764921302366</v>
      </c>
      <c r="AO51" s="77">
        <f t="shared" si="111"/>
        <v>33.090764921302366</v>
      </c>
      <c r="AP51" s="77">
        <f t="shared" si="111"/>
        <v>33.090764921302366</v>
      </c>
      <c r="AQ51" s="77">
        <f t="shared" si="111"/>
        <v>33.090764921302366</v>
      </c>
      <c r="AR51" s="77">
        <f t="shared" si="111"/>
        <v>33.090764921302366</v>
      </c>
      <c r="AS51" s="77">
        <f t="shared" si="111"/>
        <v>33.090764921302366</v>
      </c>
      <c r="AT51" s="77">
        <f t="shared" si="111"/>
        <v>33.090764921302366</v>
      </c>
      <c r="AU51" s="77">
        <f t="shared" si="111"/>
        <v>33.090764921302366</v>
      </c>
      <c r="AV51" s="77">
        <f t="shared" si="111"/>
        <v>33.090764921302366</v>
      </c>
      <c r="AW51" s="77">
        <f t="shared" si="111"/>
        <v>33.090764921302366</v>
      </c>
      <c r="AX51" s="77">
        <f t="shared" si="111"/>
        <v>33.090764921302366</v>
      </c>
      <c r="AY51" s="77">
        <f t="shared" si="112"/>
        <v>33.090764921302366</v>
      </c>
      <c r="AZ51" s="77">
        <f t="shared" si="113"/>
        <v>33.090764921302366</v>
      </c>
      <c r="BA51" s="77">
        <f t="shared" si="114"/>
        <v>33.090764921302366</v>
      </c>
      <c r="BB51" s="77">
        <f t="shared" si="115"/>
        <v>33.090764921302366</v>
      </c>
      <c r="BC51" s="77">
        <f t="shared" si="116"/>
        <v>33.090764921302366</v>
      </c>
      <c r="BD51" s="77">
        <f t="shared" si="117"/>
        <v>33.090764921302366</v>
      </c>
      <c r="BE51" s="77">
        <f t="shared" si="118"/>
        <v>33.090764921302366</v>
      </c>
      <c r="BF51" s="77">
        <f t="shared" si="119"/>
        <v>33.090764921302366</v>
      </c>
      <c r="BG51" s="77">
        <f t="shared" si="120"/>
        <v>33.090764921302366</v>
      </c>
      <c r="BH51" s="77">
        <f t="shared" si="121"/>
        <v>33.090764921302366</v>
      </c>
      <c r="BI51" s="77">
        <f t="shared" si="122"/>
        <v>33.090764921302366</v>
      </c>
      <c r="BJ51" s="77">
        <f t="shared" si="123"/>
        <v>33.090764921302366</v>
      </c>
      <c r="BK51" s="77">
        <f t="shared" si="124"/>
        <v>33.090764921302366</v>
      </c>
      <c r="BL51" s="77">
        <f t="shared" si="125"/>
        <v>33.090764921302366</v>
      </c>
      <c r="BM51" s="77">
        <f t="shared" si="126"/>
        <v>33.090764921302366</v>
      </c>
      <c r="BN51" s="77">
        <f t="shared" si="127"/>
        <v>33.090764921302366</v>
      </c>
      <c r="BO51" s="77">
        <f t="shared" si="128"/>
        <v>33.090764921302366</v>
      </c>
      <c r="BP51" s="77">
        <f t="shared" si="129"/>
        <v>33.090764921302366</v>
      </c>
      <c r="BQ51" s="77">
        <f t="shared" si="130"/>
        <v>33.090764921302366</v>
      </c>
      <c r="BR51" s="77">
        <f t="shared" si="131"/>
        <v>33.090764921302366</v>
      </c>
    </row>
    <row r="52" spans="1:70" ht="15">
      <c r="A52" t="s">
        <v>16</v>
      </c>
      <c r="B52" s="226" t="str">
        <f>B46</f>
        <v>D</v>
      </c>
      <c r="C52" s="5"/>
      <c r="E52" s="77"/>
      <c r="F52" s="77"/>
      <c r="G52" s="77"/>
      <c r="H52" s="77"/>
      <c r="I52" s="148" t="str">
        <f>B46</f>
        <v>D</v>
      </c>
      <c r="J52" s="77"/>
      <c r="K52" s="77"/>
      <c r="L52" s="77">
        <v>0</v>
      </c>
      <c r="M52" s="77">
        <f t="shared" si="111"/>
        <v>0</v>
      </c>
      <c r="N52" s="77">
        <f t="shared" si="111"/>
        <v>0</v>
      </c>
      <c r="O52" s="77">
        <f t="shared" si="111"/>
        <v>0</v>
      </c>
      <c r="P52" s="77">
        <f t="shared" si="111"/>
        <v>0</v>
      </c>
      <c r="Q52" s="77">
        <f t="shared" si="111"/>
        <v>0</v>
      </c>
      <c r="R52" s="77">
        <f t="shared" si="111"/>
        <v>0</v>
      </c>
      <c r="S52" s="77">
        <f t="shared" si="111"/>
        <v>0</v>
      </c>
      <c r="T52" s="77">
        <f t="shared" si="111"/>
        <v>0</v>
      </c>
      <c r="U52" s="77">
        <f t="shared" si="111"/>
        <v>0</v>
      </c>
      <c r="V52" s="77">
        <f t="shared" si="111"/>
        <v>0</v>
      </c>
      <c r="W52" s="77">
        <f t="shared" si="111"/>
        <v>0</v>
      </c>
      <c r="X52" s="77">
        <f t="shared" si="111"/>
        <v>0</v>
      </c>
      <c r="Y52" s="77">
        <f t="shared" si="111"/>
        <v>0</v>
      </c>
      <c r="Z52" s="77">
        <f t="shared" si="111"/>
        <v>0</v>
      </c>
      <c r="AA52" s="77">
        <f t="shared" si="111"/>
        <v>0</v>
      </c>
      <c r="AB52" s="77">
        <f t="shared" si="111"/>
        <v>0</v>
      </c>
      <c r="AC52" s="77">
        <f t="shared" si="111"/>
        <v>0</v>
      </c>
      <c r="AD52" s="77">
        <f t="shared" si="111"/>
        <v>0</v>
      </c>
      <c r="AE52" s="77">
        <f t="shared" si="111"/>
        <v>0</v>
      </c>
      <c r="AF52" s="77">
        <f t="shared" si="111"/>
        <v>0</v>
      </c>
      <c r="AG52" s="77">
        <f t="shared" si="111"/>
        <v>0</v>
      </c>
      <c r="AH52" s="77">
        <f t="shared" si="111"/>
        <v>0</v>
      </c>
      <c r="AI52" s="77">
        <f t="shared" si="111"/>
        <v>0</v>
      </c>
      <c r="AJ52" s="77">
        <f t="shared" si="111"/>
        <v>0</v>
      </c>
      <c r="AK52" s="77">
        <f t="shared" si="111"/>
        <v>0</v>
      </c>
      <c r="AL52" s="77">
        <f t="shared" si="111"/>
        <v>0</v>
      </c>
      <c r="AM52" s="77">
        <f t="shared" si="111"/>
        <v>0</v>
      </c>
      <c r="AN52" s="77">
        <f t="shared" si="111"/>
        <v>0</v>
      </c>
      <c r="AO52" s="77">
        <f t="shared" si="111"/>
        <v>3.5239840086010474</v>
      </c>
      <c r="AP52" s="77">
        <f t="shared" si="111"/>
        <v>7.0004865775985508</v>
      </c>
      <c r="AQ52" s="77">
        <f t="shared" si="111"/>
        <v>10.432033645879713</v>
      </c>
      <c r="AR52" s="77">
        <f t="shared" si="111"/>
        <v>13.820937753894114</v>
      </c>
      <c r="AS52" s="77">
        <f t="shared" si="111"/>
        <v>17.169322321121271</v>
      </c>
      <c r="AT52" s="77">
        <f t="shared" si="111"/>
        <v>20.57078884083576</v>
      </c>
      <c r="AU52" s="77">
        <f t="shared" si="111"/>
        <v>23.932413625115018</v>
      </c>
      <c r="AV52" s="77">
        <f t="shared" si="111"/>
        <v>27.256077867249559</v>
      </c>
      <c r="AW52" s="77">
        <f t="shared" si="111"/>
        <v>30.543521176393412</v>
      </c>
      <c r="AX52" s="77">
        <f t="shared" si="111"/>
        <v>33.796355977419708</v>
      </c>
      <c r="AY52" s="77">
        <f t="shared" si="112"/>
        <v>37.149587772514408</v>
      </c>
      <c r="AZ52" s="77">
        <f t="shared" si="113"/>
        <v>40.467015612846396</v>
      </c>
      <c r="BA52" s="77">
        <f t="shared" si="114"/>
        <v>43.750195303219911</v>
      </c>
      <c r="BB52" s="77">
        <f t="shared" si="115"/>
        <v>47.000574633130512</v>
      </c>
      <c r="BC52" s="77">
        <f t="shared" si="116"/>
        <v>50.219503533213029</v>
      </c>
      <c r="BD52" s="77">
        <f t="shared" si="117"/>
        <v>53.408243039715941</v>
      </c>
      <c r="BE52" s="77">
        <f t="shared" si="118"/>
        <v>56.567973233310084</v>
      </c>
      <c r="BF52" s="77">
        <f t="shared" si="119"/>
        <v>59.699800291830471</v>
      </c>
      <c r="BG52" s="77">
        <f t="shared" si="120"/>
        <v>62.804762774666173</v>
      </c>
      <c r="BH52" s="77">
        <f t="shared" si="121"/>
        <v>65.88383723849212</v>
      </c>
      <c r="BI52" s="77">
        <f t="shared" si="122"/>
        <v>67.75957384653033</v>
      </c>
      <c r="BJ52" s="77">
        <f t="shared" si="123"/>
        <v>69.631542912578752</v>
      </c>
      <c r="BK52" s="77">
        <f t="shared" si="124"/>
        <v>71.499796064583578</v>
      </c>
      <c r="BL52" s="77">
        <f t="shared" si="125"/>
        <v>73.36438377871643</v>
      </c>
      <c r="BM52" s="77">
        <f t="shared" si="126"/>
        <v>75.225355414809897</v>
      </c>
      <c r="BN52" s="77">
        <f t="shared" si="127"/>
        <v>77.082759250408131</v>
      </c>
      <c r="BO52" s="77">
        <f t="shared" si="128"/>
        <v>78.936642513498683</v>
      </c>
      <c r="BP52" s="77">
        <f t="shared" si="129"/>
        <v>80.787051413986276</v>
      </c>
      <c r="BQ52" s="77">
        <f t="shared" si="130"/>
        <v>82.634031173967443</v>
      </c>
      <c r="BR52" s="77">
        <f t="shared" si="131"/>
        <v>84.477626056862007</v>
      </c>
    </row>
    <row r="53" spans="1:70" ht="15">
      <c r="A53" t="s">
        <v>16</v>
      </c>
      <c r="B53" s="5" t="s">
        <v>224</v>
      </c>
      <c r="C53" s="5"/>
      <c r="E53" s="77"/>
      <c r="F53" s="77"/>
      <c r="G53" s="77"/>
      <c r="H53" s="77"/>
      <c r="I53" s="148"/>
      <c r="J53" s="77"/>
      <c r="K53" s="77"/>
      <c r="L53" s="77">
        <f t="shared" si="132" ref="L53:AX53">SUM(L49:L52)</f>
        <v>0</v>
      </c>
      <c r="M53" s="77">
        <f t="shared" si="132"/>
        <v>0</v>
      </c>
      <c r="N53" s="77">
        <f t="shared" si="132"/>
        <v>0</v>
      </c>
      <c r="O53" s="77">
        <f t="shared" si="132"/>
        <v>0</v>
      </c>
      <c r="P53" s="77">
        <f t="shared" si="132"/>
        <v>0</v>
      </c>
      <c r="Q53" s="77">
        <f t="shared" si="132"/>
        <v>0</v>
      </c>
      <c r="R53" s="77">
        <f t="shared" si="132"/>
        <v>1.9150455230721981</v>
      </c>
      <c r="S53" s="77">
        <f t="shared" si="132"/>
        <v>3.6894907315492986</v>
      </c>
      <c r="T53" s="77">
        <f t="shared" si="132"/>
        <v>4.8032958053464796</v>
      </c>
      <c r="U53" s="77">
        <f t="shared" si="132"/>
        <v>7.678857304936443</v>
      </c>
      <c r="V53" s="77">
        <f t="shared" si="132"/>
        <v>10.706844136389922</v>
      </c>
      <c r="W53" s="77">
        <f t="shared" si="132"/>
        <v>12.427261732268434</v>
      </c>
      <c r="X53" s="77">
        <f t="shared" si="132"/>
        <v>14.402887326577229</v>
      </c>
      <c r="Y53" s="77">
        <f t="shared" si="132"/>
        <v>16.38080128434833</v>
      </c>
      <c r="Z53" s="77">
        <f t="shared" si="132"/>
        <v>18.512424370240673</v>
      </c>
      <c r="AA53" s="77">
        <f t="shared" si="132"/>
        <v>20.962436383995982</v>
      </c>
      <c r="AB53" s="77">
        <f t="shared" si="132"/>
        <v>23.573726791177208</v>
      </c>
      <c r="AC53" s="77">
        <f t="shared" si="132"/>
        <v>26.403815124683963</v>
      </c>
      <c r="AD53" s="77">
        <f t="shared" si="132"/>
        <v>29.419621601288998</v>
      </c>
      <c r="AE53" s="77">
        <f t="shared" si="132"/>
        <v>32.571412789059849</v>
      </c>
      <c r="AF53" s="77">
        <f t="shared" si="132"/>
        <v>35.796507911706364</v>
      </c>
      <c r="AG53" s="77">
        <f t="shared" si="132"/>
        <v>39.083408919538947</v>
      </c>
      <c r="AH53" s="77">
        <f t="shared" si="132"/>
        <v>42.37801334725647</v>
      </c>
      <c r="AI53" s="77">
        <f t="shared" si="132"/>
        <v>45.658335190356418</v>
      </c>
      <c r="AJ53" s="77">
        <f t="shared" si="132"/>
        <v>48.911801844360809</v>
      </c>
      <c r="AK53" s="77">
        <f t="shared" si="132"/>
        <v>52.214331846234828</v>
      </c>
      <c r="AL53" s="77">
        <f t="shared" si="132"/>
        <v>55.568197867587834</v>
      </c>
      <c r="AM53" s="77">
        <f t="shared" si="132"/>
        <v>59.019115500466917</v>
      </c>
      <c r="AN53" s="77">
        <f t="shared" si="132"/>
        <v>62.510386522591361</v>
      </c>
      <c r="AO53" s="77">
        <f t="shared" si="132"/>
        <v>66.034370531192408</v>
      </c>
      <c r="AP53" s="77">
        <f t="shared" si="132"/>
        <v>69.510873100189912</v>
      </c>
      <c r="AQ53" s="77">
        <f t="shared" si="132"/>
        <v>72.942420168471074</v>
      </c>
      <c r="AR53" s="77">
        <f t="shared" si="132"/>
        <v>76.331324276485475</v>
      </c>
      <c r="AS53" s="77">
        <f t="shared" si="132"/>
        <v>79.679708843712632</v>
      </c>
      <c r="AT53" s="77">
        <f t="shared" si="132"/>
        <v>83.081175363427121</v>
      </c>
      <c r="AU53" s="77">
        <f t="shared" si="132"/>
        <v>86.442800147706379</v>
      </c>
      <c r="AV53" s="77">
        <f t="shared" si="132"/>
        <v>89.76646438984092</v>
      </c>
      <c r="AW53" s="77">
        <f t="shared" si="132"/>
        <v>93.053907698984773</v>
      </c>
      <c r="AX53" s="77">
        <f t="shared" si="132"/>
        <v>96.306742500011069</v>
      </c>
      <c r="AY53" s="77">
        <f t="shared" si="133" ref="AY53:BR53">SUM(AY49:AY52)</f>
        <v>99.659974295105769</v>
      </c>
      <c r="AZ53" s="77">
        <f t="shared" si="133"/>
        <v>102.97740213543776</v>
      </c>
      <c r="BA53" s="77">
        <f t="shared" si="133"/>
        <v>106.26058182581127</v>
      </c>
      <c r="BB53" s="77">
        <f t="shared" si="133"/>
        <v>109.51096115572187</v>
      </c>
      <c r="BC53" s="77">
        <f t="shared" si="133"/>
        <v>112.72989005580439</v>
      </c>
      <c r="BD53" s="77">
        <f t="shared" si="133"/>
        <v>115.9186295623073</v>
      </c>
      <c r="BE53" s="77">
        <f t="shared" si="133"/>
        <v>119.07835975590145</v>
      </c>
      <c r="BF53" s="77">
        <f t="shared" si="133"/>
        <v>122.21018681442183</v>
      </c>
      <c r="BG53" s="77">
        <f t="shared" si="133"/>
        <v>125.31514929725753</v>
      </c>
      <c r="BH53" s="77">
        <f t="shared" si="133"/>
        <v>128.39422376108348</v>
      </c>
      <c r="BI53" s="77">
        <f t="shared" si="133"/>
        <v>130.26996036912169</v>
      </c>
      <c r="BJ53" s="77">
        <f t="shared" si="133"/>
        <v>132.14192943517011</v>
      </c>
      <c r="BK53" s="77">
        <f t="shared" si="133"/>
        <v>134.01018258717494</v>
      </c>
      <c r="BL53" s="77">
        <f t="shared" si="133"/>
        <v>135.87477030130779</v>
      </c>
      <c r="BM53" s="77">
        <f t="shared" si="133"/>
        <v>137.73574193740126</v>
      </c>
      <c r="BN53" s="77">
        <f t="shared" si="133"/>
        <v>139.59314577299949</v>
      </c>
      <c r="BO53" s="77">
        <f t="shared" si="133"/>
        <v>141.44702903609004</v>
      </c>
      <c r="BP53" s="77">
        <f t="shared" si="133"/>
        <v>143.29743793657764</v>
      </c>
      <c r="BQ53" s="77">
        <f t="shared" si="133"/>
        <v>145.1444176965588</v>
      </c>
      <c r="BR53" s="77">
        <f t="shared" si="133"/>
        <v>146.98801257945337</v>
      </c>
    </row>
    <row r="54" spans="1:13 50:50" ht="15">
      <c r="A54" t="s">
        <v>16</v>
      </c>
      <c r="B54" s="5"/>
      <c r="I54" s="135"/>
      <c r="L54" s="77"/>
      <c r="M54" s="75"/>
      <c r="AX54" s="77"/>
    </row>
    <row r="55" spans="1:13" ht="15.75" thickBot="1">
      <c r="A55" t="s">
        <v>16</v>
      </c>
      <c r="B55" s="73" t="s">
        <v>14</v>
      </c>
      <c r="C55" s="73" t="s">
        <v>481</v>
      </c>
      <c r="D55" s="73" t="s">
        <v>480</v>
      </c>
      <c r="E55" s="73">
        <v>2017</v>
      </c>
      <c r="F55" s="73">
        <v>2012</v>
      </c>
      <c r="G55" s="73">
        <v>2017</v>
      </c>
      <c r="I55" s="135"/>
      <c r="M55" s="75"/>
    </row>
    <row r="56" spans="1:17" ht="15">
      <c r="A56" t="s">
        <v>16</v>
      </c>
      <c r="B56" s="77" t="s">
        <v>63</v>
      </c>
      <c r="C56" s="77" t="s">
        <v>225</v>
      </c>
      <c r="D56" s="90">
        <f t="shared" si="134" ref="D56:E64">F56*1000</f>
        <v>139664.39435388401</v>
      </c>
      <c r="E56" s="90">
        <f t="shared" si="134"/>
        <v>128412.71933541799</v>
      </c>
      <c r="F56" s="22">
        <f>'[13]TS BYDem'!$J10</f>
        <v>139.66439435388401</v>
      </c>
      <c r="G56" s="288">
        <f>INDEX('BY-DMD'!$I$5:$I$138,MATCH(C56,'BY-DMD'!$H$5:$H$138,0))</f>
        <v>128.41271933541799</v>
      </c>
      <c r="L56" s="74"/>
      <c r="M56" s="79" t="s">
        <v>496</v>
      </c>
      <c r="N56" s="79"/>
      <c r="O56" s="79" t="s">
        <v>427</v>
      </c>
      <c r="P56" s="79"/>
      <c r="Q56" s="79"/>
    </row>
    <row r="57" spans="1:17" ht="15">
      <c r="A57" t="s">
        <v>16</v>
      </c>
      <c r="B57" s="77" t="s">
        <v>248</v>
      </c>
      <c r="C57" s="77" t="s">
        <v>226</v>
      </c>
      <c r="D57" s="90">
        <f t="shared" si="134"/>
        <v>7851.7549075018997</v>
      </c>
      <c r="E57" s="90">
        <f t="shared" si="134"/>
        <v>11992.907577983</v>
      </c>
      <c r="F57" s="22">
        <f>'[13]TS BYDem'!$J11</f>
        <v>7.8517549075019</v>
      </c>
      <c r="G57" s="288">
        <f>INDEX('BY-DMD'!$I$5:$I$138,MATCH(C57,'BY-DMD'!$H$5:$H$138,0))</f>
        <v>11.992907577983001</v>
      </c>
      <c r="L57" s="74"/>
      <c r="M57" s="79" t="s">
        <v>499</v>
      </c>
      <c r="N57" s="79">
        <f>DriversGams!$B$164</f>
        <v>-1</v>
      </c>
      <c r="O57" s="79"/>
      <c r="P57" s="79"/>
      <c r="Q57" s="79"/>
    </row>
    <row r="58" spans="1:17" ht="15">
      <c r="A58" t="s">
        <v>16</v>
      </c>
      <c r="B58" s="77" t="s">
        <v>249</v>
      </c>
      <c r="C58" s="77" t="s">
        <v>227</v>
      </c>
      <c r="D58" s="90">
        <f t="shared" si="134"/>
        <v>9894.4997565297599</v>
      </c>
      <c r="E58" s="90">
        <f t="shared" si="134"/>
        <v>8962.9891158025894</v>
      </c>
      <c r="F58" s="22">
        <f>'[13]TS BYDem'!$J12</f>
        <v>9.8944997565297594</v>
      </c>
      <c r="G58" s="288">
        <f>INDEX('BY-DMD'!$I$5:$I$138,MATCH(C58,'BY-DMD'!$H$5:$H$138,0))</f>
        <v>8.9629891158025892</v>
      </c>
      <c r="L58" s="74"/>
      <c r="M58" s="79" t="s">
        <v>497</v>
      </c>
      <c r="N58" s="79"/>
      <c r="O58" s="79"/>
      <c r="P58" s="79"/>
      <c r="Q58" s="79"/>
    </row>
    <row r="59" spans="1:31" ht="15">
      <c r="A59" t="s">
        <v>16</v>
      </c>
      <c r="B59" s="77" t="s">
        <v>64</v>
      </c>
      <c r="C59" s="77" t="s">
        <v>228</v>
      </c>
      <c r="D59" s="90">
        <f t="shared" si="134"/>
        <v>121540.27190568899</v>
      </c>
      <c r="E59" s="90">
        <f t="shared" si="134"/>
        <v>111748.716602955</v>
      </c>
      <c r="F59" s="22">
        <f>'[13]TS BYDem'!$J13</f>
        <v>121.540271905689</v>
      </c>
      <c r="G59" s="288">
        <f>INDEX('BY-DMD'!$I$5:$I$138,MATCH(C59,'BY-DMD'!$H$5:$H$138,0))</f>
        <v>111.748716602955</v>
      </c>
      <c r="L59" s="74"/>
      <c r="M59" s="79">
        <v>-1</v>
      </c>
      <c r="N59" s="79" t="s">
        <v>498</v>
      </c>
      <c r="O59" s="79"/>
      <c r="P59" s="79"/>
      <c r="Q59" s="79"/>
      <c r="AE59" s="75" t="s">
        <v>610</v>
      </c>
    </row>
    <row r="60" spans="1:35" ht="15">
      <c r="A60" t="s">
        <v>16</v>
      </c>
      <c r="B60" s="77" t="s">
        <v>250</v>
      </c>
      <c r="C60" s="77" t="s">
        <v>229</v>
      </c>
      <c r="D60" s="90">
        <f t="shared" si="134"/>
        <v>29566.390373747101</v>
      </c>
      <c r="E60" s="90">
        <f t="shared" si="134"/>
        <v>27184.456041138401</v>
      </c>
      <c r="F60" s="22">
        <f>'[13]TS BYDem'!$J14</f>
        <v>29.566390373747101</v>
      </c>
      <c r="G60" s="288">
        <f>INDEX('BY-DMD'!$I$5:$I$138,MATCH(C60,'BY-DMD'!$H$5:$H$138,0))</f>
        <v>27.1844560411384</v>
      </c>
      <c r="L60" s="74"/>
      <c r="M60" s="79">
        <v>1</v>
      </c>
      <c r="N60" s="79" t="s">
        <v>611</v>
      </c>
      <c r="O60" s="160">
        <v>-0.37</v>
      </c>
      <c r="P60" s="160">
        <v>-0.50</v>
      </c>
      <c r="Q60" s="160">
        <v>-0.20</v>
      </c>
      <c r="S60" s="75" t="s">
        <v>612</v>
      </c>
      <c r="AC60" s="77" t="s">
        <v>613</v>
      </c>
      <c r="AD60" s="77">
        <f>AD30/(AD30+AD31)</f>
        <v>0.7671036479894956</v>
      </c>
      <c r="AE60" s="77" t="s">
        <v>614</v>
      </c>
      <c r="AF60" s="77"/>
      <c r="AG60" s="77"/>
      <c r="AH60" s="77"/>
      <c r="AI60" s="77">
        <f>(AD30*0.8+AD31*0.46)/(AD30+AD31)</f>
        <v>0.72081524031642852</v>
      </c>
    </row>
    <row r="61" spans="1:19" ht="15">
      <c r="A61" t="s">
        <v>16</v>
      </c>
      <c r="B61" s="77" t="s">
        <v>251</v>
      </c>
      <c r="C61" s="77" t="s">
        <v>230</v>
      </c>
      <c r="D61" s="90">
        <f t="shared" si="134"/>
        <v>9683.1090230750306</v>
      </c>
      <c r="E61" s="90">
        <f t="shared" si="134"/>
        <v>14392.1338097343</v>
      </c>
      <c r="F61" s="22">
        <f>'[13]TS BYDem'!$J15</f>
        <v>9.6831090230750299</v>
      </c>
      <c r="G61" s="288">
        <f>INDEX('BY-DMD'!$I$5:$I$138,MATCH(C61,'BY-DMD'!$H$5:$H$138,0))</f>
        <v>14.3921338097343</v>
      </c>
      <c r="L61" s="74"/>
      <c r="M61" s="79">
        <v>2</v>
      </c>
      <c r="N61" s="79" t="s">
        <v>615</v>
      </c>
      <c r="O61" s="160">
        <v>-0.25</v>
      </c>
      <c r="P61" s="160">
        <v>-0.25</v>
      </c>
      <c r="Q61" s="160">
        <v>-0.20</v>
      </c>
      <c r="S61" s="95" t="s">
        <v>632</v>
      </c>
    </row>
    <row r="62" spans="1:17" ht="15">
      <c r="A62" t="s">
        <v>16</v>
      </c>
      <c r="B62" s="77" t="s">
        <v>254</v>
      </c>
      <c r="C62" s="77" t="s">
        <v>231</v>
      </c>
      <c r="D62" s="90">
        <f t="shared" si="134"/>
        <v>10300.552873773198</v>
      </c>
      <c r="E62" s="90">
        <f t="shared" si="134"/>
        <v>9470.7173671475102</v>
      </c>
      <c r="F62" s="22">
        <f>'[13]TS BYDem'!$J16</f>
        <v>10.300552873773199</v>
      </c>
      <c r="G62" s="288">
        <f>INDEX('BY-DMD'!$I$5:$I$138,MATCH(C62,'BY-DMD'!$H$5:$H$138,0))</f>
        <v>9.4707173671475093</v>
      </c>
      <c r="L62" s="74"/>
      <c r="M62" s="79">
        <v>3</v>
      </c>
      <c r="N62" s="79" t="s">
        <v>611</v>
      </c>
      <c r="O62" s="160">
        <v>-0.37</v>
      </c>
      <c r="P62" s="160">
        <v>-0.50</v>
      </c>
      <c r="Q62" s="160">
        <v>-0.20</v>
      </c>
    </row>
    <row r="63" spans="1:13" ht="15">
      <c r="A63" t="s">
        <v>16</v>
      </c>
      <c r="B63" s="77" t="s">
        <v>253</v>
      </c>
      <c r="C63" s="77" t="s">
        <v>232</v>
      </c>
      <c r="D63" s="90">
        <f t="shared" si="134"/>
        <v>3559.3512487513503</v>
      </c>
      <c r="E63" s="90">
        <f t="shared" si="134"/>
        <v>3272.60197587621</v>
      </c>
      <c r="F63" s="22">
        <f>'[13]TS BYDem'!$J17</f>
        <v>3.5593512487513501</v>
      </c>
      <c r="G63" s="288">
        <f>INDEX('BY-DMD'!$I$5:$I$138,MATCH(C63,'BY-DMD'!$H$5:$H$138,0))</f>
        <v>3.2726019758762099</v>
      </c>
      <c r="L63" s="74"/>
      <c r="M63" s="75"/>
    </row>
    <row r="64" spans="1:13" ht="15">
      <c r="A64" t="s">
        <v>16</v>
      </c>
      <c r="B64" s="77" t="s">
        <v>0</v>
      </c>
      <c r="C64" s="77" t="s">
        <v>233</v>
      </c>
      <c r="D64" s="90">
        <f t="shared" si="134"/>
        <v>18760.184357078899</v>
      </c>
      <c r="E64" s="90">
        <f t="shared" si="134"/>
        <v>20198.960613823001</v>
      </c>
      <c r="F64" s="22">
        <f>'[13]TS BYDem'!$J18</f>
        <v>18.760184357078899</v>
      </c>
      <c r="G64" s="288">
        <f>INDEX('BY-DMD'!$I$5:$I$138,MATCH(C64,'BY-DMD'!$H$5:$H$138,0))</f>
        <v>20.198960613823001</v>
      </c>
      <c r="L64" s="74"/>
      <c r="M64" s="75"/>
    </row>
    <row r="65" spans="1:13" ht="15">
      <c r="A65" t="s">
        <v>16</v>
      </c>
      <c r="B65" s="77"/>
      <c r="C65" s="77"/>
      <c r="D65" s="77"/>
      <c r="L65" s="74"/>
      <c r="M65" s="75"/>
    </row>
    <row r="66" spans="1:13" ht="15">
      <c r="A66" t="s">
        <v>16</v>
      </c>
      <c r="B66" s="77"/>
      <c r="F66" s="189"/>
      <c r="I66" s="135"/>
      <c r="M66" s="75"/>
    </row>
    <row r="67" spans="1:70" ht="15.75" thickBot="1">
      <c r="A67" t="s">
        <v>16</v>
      </c>
      <c r="B67" s="132" t="s">
        <v>12</v>
      </c>
      <c r="C67" s="133"/>
      <c r="D67" s="73"/>
      <c r="E67" s="85">
        <v>2012</v>
      </c>
      <c r="F67" s="190">
        <v>2017</v>
      </c>
      <c r="G67" s="85">
        <f>G22</f>
        <v>2020</v>
      </c>
      <c r="H67" s="85">
        <f>H22</f>
        <v>2030</v>
      </c>
      <c r="I67" s="155">
        <v>2040</v>
      </c>
      <c r="J67" s="85">
        <v>2050</v>
      </c>
      <c r="K67" s="85">
        <v>2070</v>
      </c>
      <c r="L67" s="85">
        <f t="shared" si="135" ref="L67:BR67">L4</f>
        <v>2012</v>
      </c>
      <c r="M67" s="85">
        <f t="shared" si="135"/>
        <v>2013</v>
      </c>
      <c r="N67" s="85">
        <f t="shared" si="135"/>
        <v>2014</v>
      </c>
      <c r="O67" s="85">
        <f t="shared" si="135"/>
        <v>2015</v>
      </c>
      <c r="P67" s="85">
        <f t="shared" si="135"/>
        <v>2016</v>
      </c>
      <c r="Q67" s="85">
        <f t="shared" si="135"/>
        <v>2017</v>
      </c>
      <c r="R67" s="85">
        <f t="shared" si="135"/>
        <v>2018</v>
      </c>
      <c r="S67" s="85">
        <f t="shared" si="135"/>
        <v>2019</v>
      </c>
      <c r="T67" s="85">
        <f t="shared" si="135"/>
        <v>2020</v>
      </c>
      <c r="U67" s="85">
        <f t="shared" si="135"/>
        <v>2021</v>
      </c>
      <c r="V67" s="85">
        <f t="shared" si="135"/>
        <v>2022</v>
      </c>
      <c r="W67" s="85">
        <f t="shared" si="135"/>
        <v>2023</v>
      </c>
      <c r="X67" s="85">
        <f t="shared" si="135"/>
        <v>2024</v>
      </c>
      <c r="Y67" s="85">
        <f t="shared" si="135"/>
        <v>2025</v>
      </c>
      <c r="Z67" s="85">
        <f t="shared" si="135"/>
        <v>2026</v>
      </c>
      <c r="AA67" s="85">
        <f t="shared" si="135"/>
        <v>2027</v>
      </c>
      <c r="AB67" s="85">
        <f t="shared" si="135"/>
        <v>2028</v>
      </c>
      <c r="AC67" s="85">
        <f t="shared" si="135"/>
        <v>2029</v>
      </c>
      <c r="AD67" s="85">
        <f t="shared" si="135"/>
        <v>2030</v>
      </c>
      <c r="AE67" s="85">
        <f t="shared" si="135"/>
        <v>2031</v>
      </c>
      <c r="AF67" s="85">
        <f t="shared" si="135"/>
        <v>2032</v>
      </c>
      <c r="AG67" s="85">
        <f t="shared" si="135"/>
        <v>2033</v>
      </c>
      <c r="AH67" s="85">
        <f t="shared" si="135"/>
        <v>2034</v>
      </c>
      <c r="AI67" s="85">
        <f t="shared" si="135"/>
        <v>2035</v>
      </c>
      <c r="AJ67" s="85">
        <f t="shared" si="135"/>
        <v>2036</v>
      </c>
      <c r="AK67" s="85">
        <f t="shared" si="135"/>
        <v>2037</v>
      </c>
      <c r="AL67" s="85">
        <f t="shared" si="135"/>
        <v>2038</v>
      </c>
      <c r="AM67" s="85">
        <f t="shared" si="135"/>
        <v>2039</v>
      </c>
      <c r="AN67" s="85">
        <f t="shared" si="135"/>
        <v>2040</v>
      </c>
      <c r="AO67" s="85">
        <f t="shared" si="135"/>
        <v>2041</v>
      </c>
      <c r="AP67" s="85">
        <f t="shared" si="135"/>
        <v>2042</v>
      </c>
      <c r="AQ67" s="85">
        <f t="shared" si="135"/>
        <v>2043</v>
      </c>
      <c r="AR67" s="85">
        <f t="shared" si="135"/>
        <v>2044</v>
      </c>
      <c r="AS67" s="85">
        <f t="shared" si="135"/>
        <v>2045</v>
      </c>
      <c r="AT67" s="85">
        <f t="shared" si="135"/>
        <v>2046</v>
      </c>
      <c r="AU67" s="85">
        <f t="shared" si="135"/>
        <v>2047</v>
      </c>
      <c r="AV67" s="85">
        <f t="shared" si="135"/>
        <v>2048</v>
      </c>
      <c r="AW67" s="85">
        <f t="shared" si="135"/>
        <v>2049</v>
      </c>
      <c r="AX67" s="85">
        <f t="shared" si="135"/>
        <v>2050</v>
      </c>
      <c r="AY67" s="85">
        <f t="shared" si="135"/>
        <v>2051</v>
      </c>
      <c r="AZ67" s="85">
        <f t="shared" si="135"/>
        <v>2052</v>
      </c>
      <c r="BA67" s="85">
        <f t="shared" si="135"/>
        <v>2053</v>
      </c>
      <c r="BB67" s="85">
        <f t="shared" si="135"/>
        <v>2054</v>
      </c>
      <c r="BC67" s="85">
        <f t="shared" si="135"/>
        <v>2055</v>
      </c>
      <c r="BD67" s="85">
        <f t="shared" si="135"/>
        <v>2056</v>
      </c>
      <c r="BE67" s="85">
        <f t="shared" si="135"/>
        <v>2057</v>
      </c>
      <c r="BF67" s="85">
        <f t="shared" si="135"/>
        <v>2058</v>
      </c>
      <c r="BG67" s="85">
        <f t="shared" si="135"/>
        <v>2059</v>
      </c>
      <c r="BH67" s="85">
        <f t="shared" si="135"/>
        <v>2060</v>
      </c>
      <c r="BI67" s="85">
        <f t="shared" si="135"/>
        <v>2061</v>
      </c>
      <c r="BJ67" s="85">
        <f t="shared" si="135"/>
        <v>2062</v>
      </c>
      <c r="BK67" s="85">
        <f t="shared" si="135"/>
        <v>2063</v>
      </c>
      <c r="BL67" s="85">
        <f t="shared" si="135"/>
        <v>2064</v>
      </c>
      <c r="BM67" s="85">
        <f t="shared" si="135"/>
        <v>2065</v>
      </c>
      <c r="BN67" s="85">
        <f t="shared" si="135"/>
        <v>2066</v>
      </c>
      <c r="BO67" s="85">
        <f t="shared" si="135"/>
        <v>2067</v>
      </c>
      <c r="BP67" s="85">
        <f t="shared" si="135"/>
        <v>2068</v>
      </c>
      <c r="BQ67" s="85">
        <f t="shared" si="135"/>
        <v>2069</v>
      </c>
      <c r="BR67" s="85">
        <f t="shared" si="135"/>
        <v>2070</v>
      </c>
    </row>
    <row r="68" spans="1:13" ht="15">
      <c r="A68" t="s">
        <v>16</v>
      </c>
      <c r="I68" s="135"/>
      <c r="M68" s="75"/>
    </row>
    <row r="69" spans="1:13" ht="15.75" thickBot="1">
      <c r="A69" t="s">
        <v>16</v>
      </c>
      <c r="B69" s="91" t="s">
        <v>65</v>
      </c>
      <c r="C69" s="73"/>
      <c r="D69" s="73"/>
      <c r="H69" s="172">
        <f>VLOOKUP($N$57,$M$59:$Q$62,3)</f>
        <v>0</v>
      </c>
      <c r="I69" s="135"/>
      <c r="M69" s="75"/>
    </row>
    <row r="70" spans="1:70" ht="15">
      <c r="A70" t="s">
        <v>16</v>
      </c>
      <c r="B70" s="5" t="s">
        <v>225</v>
      </c>
      <c r="C70" s="75" t="str">
        <f t="shared" si="136" ref="C70:C78">"Commercial"&amp;" - "&amp;B56</f>
        <v>Commercial - Cooling</v>
      </c>
      <c r="D70" s="75" t="s">
        <v>66</v>
      </c>
      <c r="E70" s="84">
        <f>$D56/L$23</f>
        <v>1051.567060091289</v>
      </c>
      <c r="F70" s="92">
        <f>E56/$Q$23</f>
        <v>922.3353159822409</v>
      </c>
      <c r="G70" s="92">
        <f t="shared" si="137" ref="G70:I78">F70</f>
        <v>922.3353159822409</v>
      </c>
      <c r="H70" s="92">
        <f>IF($N$57=-1,G70,((F70-E70)*2/5+E70)*(1+$H$69))</f>
        <v>922.3353159822409</v>
      </c>
      <c r="I70" s="134">
        <f t="shared" si="137"/>
        <v>922.3353159822409</v>
      </c>
      <c r="J70" s="134">
        <f t="shared" si="138" ref="J70:J78">I70</f>
        <v>922.3353159822409</v>
      </c>
      <c r="K70" s="134">
        <f t="shared" si="139" ref="K70:K78">J70</f>
        <v>922.3353159822409</v>
      </c>
      <c r="L70" s="11" cm="1">
        <f t="array" ref="L70">IF(L$8=-1,M70,IF(L$8=99,I70,IF(L$8=0,INDEX($E70:$I70,0,L$6),(INDEX($E70:$I70,0,L$8+1)-INDEX($E70:$I70,0,L$8))/(INDEX($D$5:$H$5,0,L$8+1)-INDEX($D$5:$H$5,0,L$8))+I70)))</f>
        <v>1051.567060091289</v>
      </c>
      <c r="M70" s="11" cm="1">
        <f t="array" ref="M70">IF(M$8=-1,N70,IF(M$8=99,L70,IF(M$8=0,INDEX($E70:$I70,0,M$6),(INDEX($E70:$I70,0,M$8+1)-INDEX($E70:$I70,0,M$8))/(INDEX($D$5:$H$5,0,M$8+1)-INDEX($D$5:$H$5,0,M$8))+L70)))</f>
        <v>1025.7207112694794</v>
      </c>
      <c r="N70" s="11" cm="1">
        <f t="array" ref="N70">IF(N$8=-1,O70,IF(N$8=99,M70,IF(N$8=0,INDEX($E70:$I70,0,N$6),(INDEX($E70:$I70,0,N$8+1)-INDEX($E70:$I70,0,N$8))/(INDEX($D$5:$H$5,0,N$8+1)-INDEX($D$5:$H$5,0,N$8))+M70)))</f>
        <v>999.87436244766968</v>
      </c>
      <c r="O70" s="11" cm="1">
        <f t="array" ref="O70">IF(O$8=-1,P70,IF(O$8=99,N70,IF(O$8=0,INDEX($E70:$I70,0,O$6),(INDEX($E70:$I70,0,O$8+1)-INDEX($E70:$I70,0,O$8))/(INDEX($D$5:$H$5,0,O$8+1)-INDEX($D$5:$H$5,0,O$8))+N70)))</f>
        <v>974.02801362586001</v>
      </c>
      <c r="P70" s="11" cm="1">
        <f t="array" ref="P70">IF(P$8=-1,Q70,IF(P$8=99,O70,IF(P$8=0,INDEX($E70:$I70,0,P$6),(INDEX($E70:$I70,0,P$8+1)-INDEX($E70:$I70,0,P$8))/(INDEX($D$5:$H$5,0,P$8+1)-INDEX($D$5:$H$5,0,P$8))+O70)))</f>
        <v>948.18166480405034</v>
      </c>
      <c r="Q70" s="11" cm="1">
        <f t="array" ref="Q70">IF(Q$8=-1,R70,IF(Q$8=99,P70,IF(Q$8=0,INDEX($E70:$I70,0,Q$6),(INDEX($E70:$I70,0,Q$8+1)-INDEX($E70:$I70,0,Q$8))/(INDEX($D$5:$H$5,0,Q$8+1)-INDEX($D$5:$H$5,0,Q$8))+P70)))</f>
        <v>922.3353159822409</v>
      </c>
      <c r="R70" s="11" cm="1">
        <f t="array" ref="R70">IF(R$8=-1,S70,IF(R$8=99,Q70,IF(R$8=0,INDEX($E70:$I70,0,R$6),(INDEX($E70:$I70,0,R$8+1)-INDEX($E70:$I70,0,R$8))/(INDEX($D$5:$H$5,0,R$8+1)-INDEX($D$5:$H$5,0,R$8))+Q70)))</f>
        <v>922.3353159822409</v>
      </c>
      <c r="S70" s="11" cm="1">
        <f t="array" ref="S70">IF(S$8=-1,T70,IF(S$8=99,R70,IF(S$8=0,INDEX($E70:$I70,0,S$6),(INDEX($E70:$I70,0,S$8+1)-INDEX($E70:$I70,0,S$8))/(INDEX($D$5:$H$5,0,S$8+1)-INDEX($D$5:$H$5,0,S$8))+R70)))</f>
        <v>922.3353159822409</v>
      </c>
      <c r="T70" s="11" cm="1">
        <f t="array" ref="T70">IF(T$8=-1,U70,IF(T$8=99,S70,IF(T$8=0,INDEX($E70:$I70,0,T$6),(INDEX($E70:$I70,0,T$8+1)-INDEX($E70:$I70,0,T$8))/(INDEX($D$5:$H$5,0,T$8+1)-INDEX($D$5:$H$5,0,T$8))+S70)))</f>
        <v>922.3353159822409</v>
      </c>
      <c r="U70" s="11" cm="1">
        <f t="array" ref="U70">IF(U$8=-1,V70,IF(U$8=99,T70,IF(U$8=0,INDEX($E70:$I70,0,U$6),(INDEX($E70:$I70,0,U$8+1)-INDEX($E70:$I70,0,U$8))/(INDEX($D$5:$H$5,0,U$8+1)-INDEX($D$5:$H$5,0,U$8))+T70)))</f>
        <v>922.3353159822409</v>
      </c>
      <c r="V70" s="11" cm="1">
        <f t="array" ref="V70">IF(V$8=-1,W70,IF(V$8=99,U70,IF(V$8=0,INDEX($E70:$I70,0,V$6),(INDEX($E70:$I70,0,V$8+1)-INDEX($E70:$I70,0,V$8))/(INDEX($D$5:$H$5,0,V$8+1)-INDEX($D$5:$H$5,0,V$8))+U70)))</f>
        <v>922.3353159822409</v>
      </c>
      <c r="W70" s="11" cm="1">
        <f t="array" ref="W70">IF(W$8=-1,X70,IF(W$8=99,V70,IF(W$8=0,INDEX($E70:$I70,0,W$6),(INDEX($E70:$I70,0,W$8+1)-INDEX($E70:$I70,0,W$8))/(INDEX($D$5:$H$5,0,W$8+1)-INDEX($D$5:$H$5,0,W$8))+V70)))</f>
        <v>922.3353159822409</v>
      </c>
      <c r="X70" s="11" cm="1">
        <f t="array" ref="X70">IF(X$8=-1,Y70,IF(X$8=99,W70,IF(X$8=0,INDEX($E70:$I70,0,X$6),(INDEX($E70:$I70,0,X$8+1)-INDEX($E70:$I70,0,X$8))/(INDEX($D$5:$H$5,0,X$8+1)-INDEX($D$5:$H$5,0,X$8))+W70)))</f>
        <v>922.3353159822409</v>
      </c>
      <c r="Y70" s="11" cm="1">
        <f t="array" ref="Y70">IF(Y$8=-1,Z70,IF(Y$8=99,X70,IF(Y$8=0,INDEX($E70:$I70,0,Y$6),(INDEX($E70:$I70,0,Y$8+1)-INDEX($E70:$I70,0,Y$8))/(INDEX($D$5:$H$5,0,Y$8+1)-INDEX($D$5:$H$5,0,Y$8))+X70)))</f>
        <v>922.3353159822409</v>
      </c>
      <c r="Z70" s="11" cm="1">
        <f t="array" ref="Z70">IF(Z$8=-1,AA70,IF(Z$8=99,Y70,IF(Z$8=0,INDEX($E70:$I70,0,Z$6),(INDEX($E70:$I70,0,Z$8+1)-INDEX($E70:$I70,0,Z$8))/(INDEX($D$5:$H$5,0,Z$8+1)-INDEX($D$5:$H$5,0,Z$8))+Y70)))</f>
        <v>922.3353159822409</v>
      </c>
      <c r="AA70" s="11" cm="1">
        <f t="array" ref="AA70">IF(AA$8=-1,AB70,IF(AA$8=99,Z70,IF(AA$8=0,INDEX($E70:$I70,0,AA$6),(INDEX($E70:$I70,0,AA$8+1)-INDEX($E70:$I70,0,AA$8))/(INDEX($D$5:$H$5,0,AA$8+1)-INDEX($D$5:$H$5,0,AA$8))+Z70)))</f>
        <v>922.3353159822409</v>
      </c>
      <c r="AB70" s="11" cm="1">
        <f t="array" ref="AB70">IF(AB$8=-1,AC70,IF(AB$8=99,AA70,IF(AB$8=0,INDEX($E70:$I70,0,AB$6),(INDEX($E70:$I70,0,AB$8+1)-INDEX($E70:$I70,0,AB$8))/(INDEX($D$5:$H$5,0,AB$8+1)-INDEX($D$5:$H$5,0,AB$8))+AA70)))</f>
        <v>922.3353159822409</v>
      </c>
      <c r="AC70" s="11" cm="1">
        <f t="array" ref="AC70">IF(AC$8=-1,AD70,IF(AC$8=99,AB70,IF(AC$8=0,INDEX($E70:$I70,0,AC$6),(INDEX($E70:$I70,0,AC$8+1)-INDEX($E70:$I70,0,AC$8))/(INDEX($D$5:$H$5,0,AC$8+1)-INDEX($D$5:$H$5,0,AC$8))+AB70)))</f>
        <v>922.3353159822409</v>
      </c>
      <c r="AD70" s="11" cm="1">
        <f t="array" ref="AD70">IF(AD$8=-1,AE70,IF(AD$8=99,AC70,IF(AD$8=0,INDEX($E70:$I70,0,AD$6),(INDEX($E70:$I70,0,AD$8+1)-INDEX($E70:$I70,0,AD$8))/(INDEX($D$5:$H$5,0,AD$8+1)-INDEX($D$5:$H$5,0,AD$8))+AC70)))</f>
        <v>922.3353159822409</v>
      </c>
      <c r="AE70" s="11" cm="1">
        <f t="array" ref="AE70">IF(AE$8=-1,AF70,IF(AE$8=99,AD70,IF(AE$8=0,INDEX($E70:$I70,0,AE$6),(INDEX($E70:$I70,0,AE$8+1)-INDEX($E70:$I70,0,AE$8))/(INDEX($D$5:$H$5,0,AE$8+1)-INDEX($D$5:$H$5,0,AE$8))+AD70)))</f>
        <v>922.3353159822409</v>
      </c>
      <c r="AF70" s="11" cm="1">
        <f t="array" ref="AF70">IF(AF$8=-1,AG70,IF(AF$8=99,AE70,IF(AF$8=0,INDEX($E70:$I70,0,AF$6),(INDEX($E70:$I70,0,AF$8+1)-INDEX($E70:$I70,0,AF$8))/(INDEX($D$5:$H$5,0,AF$8+1)-INDEX($D$5:$H$5,0,AF$8))+AE70)))</f>
        <v>922.3353159822409</v>
      </c>
      <c r="AG70" s="11" cm="1">
        <f t="array" ref="AG70">IF(AG$8=-1,AH70,IF(AG$8=99,AF70,IF(AG$8=0,INDEX($E70:$I70,0,AG$6),(INDEX($E70:$I70,0,AG$8+1)-INDEX($E70:$I70,0,AG$8))/(INDEX($D$5:$H$5,0,AG$8+1)-INDEX($D$5:$H$5,0,AG$8))+AF70)))</f>
        <v>922.3353159822409</v>
      </c>
      <c r="AH70" s="11" cm="1">
        <f t="array" ref="AH70">IF(AH$8=-1,AI70,IF(AH$8=99,AG70,IF(AH$8=0,INDEX($E70:$I70,0,AH$6),(INDEX($E70:$I70,0,AH$8+1)-INDEX($E70:$I70,0,AH$8))/(INDEX($D$5:$H$5,0,AH$8+1)-INDEX($D$5:$H$5,0,AH$8))+AG70)))</f>
        <v>922.3353159822409</v>
      </c>
      <c r="AI70" s="11" cm="1">
        <f t="array" ref="AI70">IF(AI$8=-1,AJ70,IF(AI$8=99,AH70,IF(AI$8=0,INDEX($E70:$I70,0,AI$6),(INDEX($E70:$I70,0,AI$8+1)-INDEX($E70:$I70,0,AI$8))/(INDEX($D$5:$H$5,0,AI$8+1)-INDEX($D$5:$H$5,0,AI$8))+AH70)))</f>
        <v>922.3353159822409</v>
      </c>
      <c r="AJ70" s="11" cm="1">
        <f t="array" ref="AJ70">IF(AJ$8=-1,AK70,IF(AJ$8=99,AI70,IF(AJ$8=0,INDEX($E70:$I70,0,AJ$6),(INDEX($E70:$I70,0,AJ$8+1)-INDEX($E70:$I70,0,AJ$8))/(INDEX($D$5:$H$5,0,AJ$8+1)-INDEX($D$5:$H$5,0,AJ$8))+AI70)))</f>
        <v>922.3353159822409</v>
      </c>
      <c r="AK70" s="11" cm="1">
        <f t="array" ref="AK70">IF(AK$8=-1,AL70,IF(AK$8=99,AJ70,IF(AK$8=0,INDEX($E70:$I70,0,AK$6),(INDEX($E70:$I70,0,AK$8+1)-INDEX($E70:$I70,0,AK$8))/(INDEX($D$5:$H$5,0,AK$8+1)-INDEX($D$5:$H$5,0,AK$8))+AJ70)))</f>
        <v>922.3353159822409</v>
      </c>
      <c r="AL70" s="11" cm="1">
        <f t="array" ref="AL70">IF(AL$8=-1,AM70,IF(AL$8=99,AK70,IF(AL$8=0,INDEX($E70:$I70,0,AL$6),(INDEX($E70:$I70,0,AL$8+1)-INDEX($E70:$I70,0,AL$8))/(INDEX($D$5:$H$5,0,AL$8+1)-INDEX($D$5:$H$5,0,AL$8))+AK70)))</f>
        <v>922.3353159822409</v>
      </c>
      <c r="AM70" s="11" cm="1">
        <f t="array" ref="AM70">IF(AM$8=-1,AN70,IF(AM$8=99,AL70,IF(AM$8=0,INDEX($E70:$I70,0,AM$6),(INDEX($E70:$I70,0,AM$8+1)-INDEX($E70:$I70,0,AM$8))/(INDEX($D$5:$H$5,0,AM$8+1)-INDEX($D$5:$H$5,0,AM$8))+AL70)))</f>
        <v>922.3353159822409</v>
      </c>
      <c r="AN70" s="11" cm="1">
        <f t="array" ref="AN70">IF(AN$8=-1,AO70,IF(AN$8=99,AM70,IF(AN$8=0,INDEX($E70:$I70,0,AN$6),(INDEX($E70:$I70,0,AN$8+1)-INDEX($E70:$I70,0,AN$8))/(INDEX($D$5:$H$5,0,AN$8+1)-INDEX($D$5:$H$5,0,AN$8))+AM70)))</f>
        <v>922.3353159822409</v>
      </c>
      <c r="AO70" s="11" cm="1">
        <f t="array" ref="AO70">IF(AO$8=-1,AP70,IF(AO$8=99,AN70,IF(AO$8=0,INDEX($E70:$K70,0,AO$6),(INDEX($E70:$K70,0,AO$8+1)-INDEX($E70:$K70,0,AO$8))/(INDEX($D$5:$J$5,0,AO$8+1)-INDEX($D$5:$J$5,0,AO$8))+AN70)))</f>
        <v>922.3353159822409</v>
      </c>
      <c r="AP70" s="11" cm="1">
        <f t="array" ref="AP70">IF(AP$8=-1,AQ70,IF(AP$8=99,AO70,IF(AP$8=0,INDEX($E70:$K70,0,AP$6),(INDEX($E70:$K70,0,AP$8+1)-INDEX($E70:$K70,0,AP$8))/(INDEX($D$5:$J$5,0,AP$8+1)-INDEX($D$5:$J$5,0,AP$8))+AO70)))</f>
        <v>922.3353159822409</v>
      </c>
      <c r="AQ70" s="11" cm="1">
        <f t="array" ref="AQ70">IF(AQ$8=-1,AR70,IF(AQ$8=99,AP70,IF(AQ$8=0,INDEX($E70:$K70,0,AQ$6),(INDEX($E70:$K70,0,AQ$8+1)-INDEX($E70:$K70,0,AQ$8))/(INDEX($D$5:$J$5,0,AQ$8+1)-INDEX($D$5:$J$5,0,AQ$8))+AP70)))</f>
        <v>922.3353159822409</v>
      </c>
      <c r="AR70" s="11" cm="1">
        <f t="array" ref="AR70">IF(AR$8=-1,AS70,IF(AR$8=99,AQ70,IF(AR$8=0,INDEX($E70:$K70,0,AR$6),(INDEX($E70:$K70,0,AR$8+1)-INDEX($E70:$K70,0,AR$8))/(INDEX($D$5:$J$5,0,AR$8+1)-INDEX($D$5:$J$5,0,AR$8))+AQ70)))</f>
        <v>922.3353159822409</v>
      </c>
      <c r="AS70" s="11" cm="1">
        <f t="array" ref="AS70">IF(AS$8=-1,AT70,IF(AS$8=99,AR70,IF(AS$8=0,INDEX($E70:$K70,0,AS$6),(INDEX($E70:$K70,0,AS$8+1)-INDEX($E70:$K70,0,AS$8))/(INDEX($D$5:$J$5,0,AS$8+1)-INDEX($D$5:$J$5,0,AS$8))+AR70)))</f>
        <v>922.3353159822409</v>
      </c>
      <c r="AT70" s="11" cm="1">
        <f t="array" ref="AT70">IF(AT$8=-1,AU70,IF(AT$8=99,AS70,IF(AT$8=0,INDEX($E70:$K70,0,AT$6),(INDEX($E70:$K70,0,AT$8+1)-INDEX($E70:$K70,0,AT$8))/(INDEX($D$5:$J$5,0,AT$8+1)-INDEX($D$5:$J$5,0,AT$8))+AS70)))</f>
        <v>922.3353159822409</v>
      </c>
      <c r="AU70" s="11" cm="1">
        <f t="array" ref="AU70">IF(AU$8=-1,AV70,IF(AU$8=99,AT70,IF(AU$8=0,INDEX($E70:$K70,0,AU$6),(INDEX($E70:$K70,0,AU$8+1)-INDEX($E70:$K70,0,AU$8))/(INDEX($D$5:$J$5,0,AU$8+1)-INDEX($D$5:$J$5,0,AU$8))+AT70)))</f>
        <v>922.3353159822409</v>
      </c>
      <c r="AV70" s="11" cm="1">
        <f t="array" ref="AV70">IF(AV$8=-1,AW70,IF(AV$8=99,AU70,IF(AV$8=0,INDEX($E70:$K70,0,AV$6),(INDEX($E70:$K70,0,AV$8+1)-INDEX($E70:$K70,0,AV$8))/(INDEX($D$5:$J$5,0,AV$8+1)-INDEX($D$5:$J$5,0,AV$8))+AU70)))</f>
        <v>922.3353159822409</v>
      </c>
      <c r="AW70" s="11" cm="1">
        <f t="array" ref="AW70">IF(AW$8=-1,AX70,IF(AW$8=99,AV70,IF(AW$8=0,INDEX($E70:$K70,0,AW$6),(INDEX($E70:$K70,0,AW$8+1)-INDEX($E70:$K70,0,AW$8))/(INDEX($D$5:$J$5,0,AW$8+1)-INDEX($D$5:$J$5,0,AW$8))+AV70)))</f>
        <v>922.3353159822409</v>
      </c>
      <c r="AX70" s="11" cm="1">
        <f t="array" ref="AX70">IF(AX$8=-1,AY70,IF(AX$8=99,AW70,IF(AX$8=0,INDEX($E70:$K70,0,AX$6),(INDEX($E70:$K70,0,AX$8+1)-INDEX($E70:$K70,0,AX$8))/(INDEX($D$5:$J$5,0,AX$8+1)-INDEX($D$5:$J$5,0,AX$8))+AW70)))</f>
        <v>922.3353159822409</v>
      </c>
      <c r="AY70" s="11" cm="1">
        <f t="array" ref="AY70">IF(AY$8=-1,AZ70,IF(AY$8=99,AX70,IF(AY$8=0,INDEX($E70:$K70,0,AY$6),(INDEX($E70:$K70,0,AY$8+1)-INDEX($E70:$K70,0,AY$8))/(INDEX($D$5:$J$5,0,AY$8+1)-INDEX($D$5:$J$5,0,AY$8))+AX70)))</f>
        <v>922.3353159822409</v>
      </c>
      <c r="AZ70" s="11" cm="1">
        <f t="array" ref="AZ70">IF(AZ$8=-1,BA70,IF(AZ$8=99,AY70,IF(AZ$8=0,INDEX($E70:$K70,0,AZ$6),(INDEX($E70:$K70,0,AZ$8+1)-INDEX($E70:$K70,0,AZ$8))/(INDEX($D$5:$J$5,0,AZ$8+1)-INDEX($D$5:$J$5,0,AZ$8))+AY70)))</f>
        <v>922.3353159822409</v>
      </c>
      <c r="BA70" s="11" cm="1">
        <f t="array" ref="BA70">IF(BA$8=-1,BB70,IF(BA$8=99,AZ70,IF(BA$8=0,INDEX($E70:$K70,0,BA$6),(INDEX($E70:$K70,0,BA$8+1)-INDEX($E70:$K70,0,BA$8))/(INDEX($D$5:$J$5,0,BA$8+1)-INDEX($D$5:$J$5,0,BA$8))+AZ70)))</f>
        <v>922.3353159822409</v>
      </c>
      <c r="BB70" s="11" cm="1">
        <f t="array" ref="BB70">IF(BB$8=-1,BC70,IF(BB$8=99,BA70,IF(BB$8=0,INDEX($E70:$K70,0,BB$6),(INDEX($E70:$K70,0,BB$8+1)-INDEX($E70:$K70,0,BB$8))/(INDEX($D$5:$J$5,0,BB$8+1)-INDEX($D$5:$J$5,0,BB$8))+BA70)))</f>
        <v>922.3353159822409</v>
      </c>
      <c r="BC70" s="11" cm="1">
        <f t="array" ref="BC70">IF(BC$8=-1,BD70,IF(BC$8=99,BB70,IF(BC$8=0,INDEX($E70:$K70,0,BC$6),(INDEX($E70:$K70,0,BC$8+1)-INDEX($E70:$K70,0,BC$8))/(INDEX($D$5:$J$5,0,BC$8+1)-INDEX($D$5:$J$5,0,BC$8))+BB70)))</f>
        <v>922.3353159822409</v>
      </c>
      <c r="BD70" s="11" cm="1">
        <f t="array" ref="BD70">IF(BD$8=-1,BE70,IF(BD$8=99,BC70,IF(BD$8=0,INDEX($E70:$K70,0,BD$6),(INDEX($E70:$K70,0,BD$8+1)-INDEX($E70:$K70,0,BD$8))/(INDEX($D$5:$J$5,0,BD$8+1)-INDEX($D$5:$J$5,0,BD$8))+BC70)))</f>
        <v>922.3353159822409</v>
      </c>
      <c r="BE70" s="11" cm="1">
        <f t="array" ref="BE70">IF(BE$8=-1,BF70,IF(BE$8=99,BD70,IF(BE$8=0,INDEX($E70:$K70,0,BE$6),(INDEX($E70:$K70,0,BE$8+1)-INDEX($E70:$K70,0,BE$8))/(INDEX($D$5:$J$5,0,BE$8+1)-INDEX($D$5:$J$5,0,BE$8))+BD70)))</f>
        <v>922.3353159822409</v>
      </c>
      <c r="BF70" s="11" cm="1">
        <f t="array" ref="BF70">IF(BF$8=-1,BG70,IF(BF$8=99,BE70,IF(BF$8=0,INDEX($E70:$K70,0,BF$6),(INDEX($E70:$K70,0,BF$8+1)-INDEX($E70:$K70,0,BF$8))/(INDEX($D$5:$J$5,0,BF$8+1)-INDEX($D$5:$J$5,0,BF$8))+BE70)))</f>
        <v>922.3353159822409</v>
      </c>
      <c r="BG70" s="11" cm="1">
        <f t="array" ref="BG70">IF(BG$8=-1,BH70,IF(BG$8=99,BF70,IF(BG$8=0,INDEX($E70:$K70,0,BG$6),(INDEX($E70:$K70,0,BG$8+1)-INDEX($E70:$K70,0,BG$8))/(INDEX($D$5:$J$5,0,BG$8+1)-INDEX($D$5:$J$5,0,BG$8))+BF70)))</f>
        <v>922.3353159822409</v>
      </c>
      <c r="BH70" s="11" cm="1">
        <f t="array" ref="BH70">IF(BH$8=-1,BI70,IF(BH$8=99,BG70,IF(BH$8=0,INDEX($E70:$K70,0,BH$6),(INDEX($E70:$K70,0,BH$8+1)-INDEX($E70:$K70,0,BH$8))/(INDEX($D$5:$J$5,0,BH$8+1)-INDEX($D$5:$J$5,0,BH$8))+BG70)))</f>
        <v>922.3353159822409</v>
      </c>
      <c r="BI70" s="11" cm="1">
        <f t="array" ref="BI70">IF(BI$8=-1,BJ70,IF(BI$8=99,BH70,IF(BI$8=0,INDEX($E70:$K70,0,BI$6),(INDEX($E70:$K70,0,BI$8+1)-INDEX($E70:$K70,0,BI$8))/(INDEX($D$5:$J$5,0,BI$8+1)-INDEX($D$5:$J$5,0,BI$8))+BH70)))</f>
        <v>922.3353159822409</v>
      </c>
      <c r="BJ70" s="11" cm="1">
        <f t="array" ref="BJ70">IF(BJ$8=-1,BK70,IF(BJ$8=99,BI70,IF(BJ$8=0,INDEX($E70:$K70,0,BJ$6),(INDEX($E70:$K70,0,BJ$8+1)-INDEX($E70:$K70,0,BJ$8))/(INDEX($D$5:$J$5,0,BJ$8+1)-INDEX($D$5:$J$5,0,BJ$8))+BI70)))</f>
        <v>922.3353159822409</v>
      </c>
      <c r="BK70" s="11" cm="1">
        <f t="array" ref="BK70">IF(BK$8=-1,BL70,IF(BK$8=99,BJ70,IF(BK$8=0,INDEX($E70:$K70,0,BK$6),(INDEX($E70:$K70,0,BK$8+1)-INDEX($E70:$K70,0,BK$8))/(INDEX($D$5:$J$5,0,BK$8+1)-INDEX($D$5:$J$5,0,BK$8))+BJ70)))</f>
        <v>922.3353159822409</v>
      </c>
      <c r="BL70" s="11" cm="1">
        <f t="array" ref="BL70">IF(BL$8=-1,BM70,IF(BL$8=99,BK70,IF(BL$8=0,INDEX($E70:$K70,0,BL$6),(INDEX($E70:$K70,0,BL$8+1)-INDEX($E70:$K70,0,BL$8))/(INDEX($D$5:$J$5,0,BL$8+1)-INDEX($D$5:$J$5,0,BL$8))+BK70)))</f>
        <v>922.3353159822409</v>
      </c>
      <c r="BM70" s="11" cm="1">
        <f t="array" ref="BM70">IF(BM$8=-1,BN70,IF(BM$8=99,BL70,IF(BM$8=0,INDEX($E70:$K70,0,BM$6),(INDEX($E70:$K70,0,BM$8+1)-INDEX($E70:$K70,0,BM$8))/(INDEX($D$5:$J$5,0,BM$8+1)-INDEX($D$5:$J$5,0,BM$8))+BL70)))</f>
        <v>922.3353159822409</v>
      </c>
      <c r="BN70" s="11" cm="1">
        <f t="array" ref="BN70">IF(BN$8=-1,BO70,IF(BN$8=99,BM70,IF(BN$8=0,INDEX($E70:$K70,0,BN$6),(INDEX($E70:$K70,0,BN$8+1)-INDEX($E70:$K70,0,BN$8))/(INDEX($D$5:$J$5,0,BN$8+1)-INDEX($D$5:$J$5,0,BN$8))+BM70)))</f>
        <v>922.3353159822409</v>
      </c>
      <c r="BO70" s="11" cm="1">
        <f t="array" ref="BO70">IF(BO$8=-1,BP70,IF(BO$8=99,BN70,IF(BO$8=0,INDEX($E70:$K70,0,BO$6),(INDEX($E70:$K70,0,BO$8+1)-INDEX($E70:$K70,0,BO$8))/(INDEX($D$5:$J$5,0,BO$8+1)-INDEX($D$5:$J$5,0,BO$8))+BN70)))</f>
        <v>922.3353159822409</v>
      </c>
      <c r="BP70" s="11" cm="1">
        <f t="array" ref="BP70">IF(BP$8=-1,BQ70,IF(BP$8=99,BO70,IF(BP$8=0,INDEX($E70:$K70,0,BP$6),(INDEX($E70:$K70,0,BP$8+1)-INDEX($E70:$K70,0,BP$8))/(INDEX($D$5:$J$5,0,BP$8+1)-INDEX($D$5:$J$5,0,BP$8))+BO70)))</f>
        <v>922.3353159822409</v>
      </c>
      <c r="BQ70" s="11" cm="1">
        <f t="array" ref="BQ70">IF(BQ$8=-1,BR70,IF(BQ$8=99,BP70,IF(BQ$8=0,INDEX($E70:$K70,0,BQ$6),(INDEX($E70:$K70,0,BQ$8+1)-INDEX($E70:$K70,0,BQ$8))/(INDEX($D$5:$J$5,0,BQ$8+1)-INDEX($D$5:$J$5,0,BQ$8))+BP70)))</f>
        <v>922.3353159822409</v>
      </c>
      <c r="BR70" s="11" cm="1">
        <f t="array" ref="BR70">IF(BR$8=-1,BS70,IF(BR$8=99,BQ70,IF(BR$8=0,INDEX($E70:$K70,0,BR$6),(INDEX($E70:$K70,0,BR$8+1)-INDEX($E70:$K70,0,BR$8))/(INDEX($D$5:$J$5,0,BR$8+1)-INDEX($D$5:$J$5,0,BR$8))+BQ70)))</f>
        <v>922.3353159822409</v>
      </c>
    </row>
    <row r="71" spans="1:70" ht="15">
      <c r="A71" t="s">
        <v>16</v>
      </c>
      <c r="B71" s="5" t="s">
        <v>226</v>
      </c>
      <c r="C71" s="75" t="str">
        <f t="shared" si="136"/>
        <v>Commercial - Space Heating</v>
      </c>
      <c r="D71" s="75" t="s">
        <v>66</v>
      </c>
      <c r="E71" s="84">
        <f t="shared" si="140" ref="E71:E75">$D57/L$23</f>
        <v>59.117764859369181</v>
      </c>
      <c r="F71" s="92">
        <f t="shared" si="141" ref="F71:F78">E57/$Q$23</f>
        <v>86.140082210951618</v>
      </c>
      <c r="G71" s="92">
        <f t="shared" si="137"/>
        <v>86.140082210951618</v>
      </c>
      <c r="H71" s="92">
        <f t="shared" si="142" ref="H71:H78">IF($N$57=-1,G71,((F71-E71)*2/5+E71)*(1+$H$69))</f>
        <v>86.140082210951618</v>
      </c>
      <c r="I71" s="134">
        <f t="shared" si="137"/>
        <v>86.140082210951618</v>
      </c>
      <c r="J71" s="134">
        <f t="shared" si="138"/>
        <v>86.140082210951618</v>
      </c>
      <c r="K71" s="134">
        <f t="shared" si="139"/>
        <v>86.140082210951618</v>
      </c>
      <c r="L71" s="11" cm="1">
        <f t="array" ref="L71">IF(L$8=-1,M71,IF(L$8=99,I71,IF(L$8=0,INDEX($E71:$I71,0,L$6),(INDEX($E71:$I71,0,L$8+1)-INDEX($E71:$I71,0,L$8))/(INDEX($D$5:$H$5,0,L$8+1)-INDEX($D$5:$H$5,0,L$8))+I71)))</f>
        <v>59.117764859369181</v>
      </c>
      <c r="M71" s="11" cm="1">
        <f t="array" ref="M71">IF(M$8=-1,N71,IF(M$8=99,L71,IF(M$8=0,INDEX($E71:$I71,0,M$6),(INDEX($E71:$I71,0,M$8+1)-INDEX($E71:$I71,0,M$8))/(INDEX($D$5:$H$5,0,M$8+1)-INDEX($D$5:$H$5,0,M$8))+L71)))</f>
        <v>64.522228329685674</v>
      </c>
      <c r="N71" s="11" cm="1">
        <f t="array" ref="N71">IF(N$8=-1,O71,IF(N$8=99,M71,IF(N$8=0,INDEX($E71:$I71,0,N$6),(INDEX($E71:$I71,0,N$8+1)-INDEX($E71:$I71,0,N$8))/(INDEX($D$5:$H$5,0,N$8+1)-INDEX($D$5:$H$5,0,N$8))+M71)))</f>
        <v>69.92669180000216</v>
      </c>
      <c r="O71" s="11" cm="1">
        <f t="array" ref="O71">IF(O$8=-1,P71,IF(O$8=99,N71,IF(O$8=0,INDEX($E71:$I71,0,O$6),(INDEX($E71:$I71,0,O$8+1)-INDEX($E71:$I71,0,O$8))/(INDEX($D$5:$H$5,0,O$8+1)-INDEX($D$5:$H$5,0,O$8))+N71)))</f>
        <v>75.331155270318646</v>
      </c>
      <c r="P71" s="11" cm="1">
        <f t="array" ref="P71">IF(P$8=-1,Q71,IF(P$8=99,O71,IF(P$8=0,INDEX($E71:$I71,0,P$6),(INDEX($E71:$I71,0,P$8+1)-INDEX($E71:$I71,0,P$8))/(INDEX($D$5:$H$5,0,P$8+1)-INDEX($D$5:$H$5,0,P$8))+O71)))</f>
        <v>80.735618740635132</v>
      </c>
      <c r="Q71" s="11" cm="1">
        <f t="array" ref="Q71">IF(Q$8=-1,R71,IF(Q$8=99,P71,IF(Q$8=0,INDEX($E71:$I71,0,Q$6),(INDEX($E71:$I71,0,Q$8+1)-INDEX($E71:$I71,0,Q$8))/(INDEX($D$5:$H$5,0,Q$8+1)-INDEX($D$5:$H$5,0,Q$8))+P71)))</f>
        <v>86.140082210951618</v>
      </c>
      <c r="R71" s="11" cm="1">
        <f t="array" ref="R71">IF(R$8=-1,S71,IF(R$8=99,Q71,IF(R$8=0,INDEX($E71:$I71,0,R$6),(INDEX($E71:$I71,0,R$8+1)-INDEX($E71:$I71,0,R$8))/(INDEX($D$5:$H$5,0,R$8+1)-INDEX($D$5:$H$5,0,R$8))+Q71)))</f>
        <v>86.140082210951618</v>
      </c>
      <c r="S71" s="11" cm="1">
        <f t="array" ref="S71">IF(S$8=-1,T71,IF(S$8=99,R71,IF(S$8=0,INDEX($E71:$I71,0,S$6),(INDEX($E71:$I71,0,S$8+1)-INDEX($E71:$I71,0,S$8))/(INDEX($D$5:$H$5,0,S$8+1)-INDEX($D$5:$H$5,0,S$8))+R71)))</f>
        <v>86.140082210951618</v>
      </c>
      <c r="T71" s="11" cm="1">
        <f t="array" ref="T71">IF(T$8=-1,U71,IF(T$8=99,S71,IF(T$8=0,INDEX($E71:$I71,0,T$6),(INDEX($E71:$I71,0,T$8+1)-INDEX($E71:$I71,0,T$8))/(INDEX($D$5:$H$5,0,T$8+1)-INDEX($D$5:$H$5,0,T$8))+S71)))</f>
        <v>86.140082210951618</v>
      </c>
      <c r="U71" s="11" cm="1">
        <f t="array" ref="U71">IF(U$8=-1,V71,IF(U$8=99,T71,IF(U$8=0,INDEX($E71:$I71,0,U$6),(INDEX($E71:$I71,0,U$8+1)-INDEX($E71:$I71,0,U$8))/(INDEX($D$5:$H$5,0,U$8+1)-INDEX($D$5:$H$5,0,U$8))+T71)))</f>
        <v>86.140082210951618</v>
      </c>
      <c r="V71" s="11" cm="1">
        <f t="array" ref="V71">IF(V$8=-1,W71,IF(V$8=99,U71,IF(V$8=0,INDEX($E71:$I71,0,V$6),(INDEX($E71:$I71,0,V$8+1)-INDEX($E71:$I71,0,V$8))/(INDEX($D$5:$H$5,0,V$8+1)-INDEX($D$5:$H$5,0,V$8))+U71)))</f>
        <v>86.140082210951618</v>
      </c>
      <c r="W71" s="11" cm="1">
        <f t="array" ref="W71">IF(W$8=-1,X71,IF(W$8=99,V71,IF(W$8=0,INDEX($E71:$I71,0,W$6),(INDEX($E71:$I71,0,W$8+1)-INDEX($E71:$I71,0,W$8))/(INDEX($D$5:$H$5,0,W$8+1)-INDEX($D$5:$H$5,0,W$8))+V71)))</f>
        <v>86.140082210951618</v>
      </c>
      <c r="X71" s="11" cm="1">
        <f t="array" ref="X71">IF(X$8=-1,Y71,IF(X$8=99,W71,IF(X$8=0,INDEX($E71:$I71,0,X$6),(INDEX($E71:$I71,0,X$8+1)-INDEX($E71:$I71,0,X$8))/(INDEX($D$5:$H$5,0,X$8+1)-INDEX($D$5:$H$5,0,X$8))+W71)))</f>
        <v>86.140082210951618</v>
      </c>
      <c r="Y71" s="11" cm="1">
        <f t="array" ref="Y71">IF(Y$8=-1,Z71,IF(Y$8=99,X71,IF(Y$8=0,INDEX($E71:$I71,0,Y$6),(INDEX($E71:$I71,0,Y$8+1)-INDEX($E71:$I71,0,Y$8))/(INDEX($D$5:$H$5,0,Y$8+1)-INDEX($D$5:$H$5,0,Y$8))+X71)))</f>
        <v>86.140082210951618</v>
      </c>
      <c r="Z71" s="11" cm="1">
        <f t="array" ref="Z71">IF(Z$8=-1,AA71,IF(Z$8=99,Y71,IF(Z$8=0,INDEX($E71:$I71,0,Z$6),(INDEX($E71:$I71,0,Z$8+1)-INDEX($E71:$I71,0,Z$8))/(INDEX($D$5:$H$5,0,Z$8+1)-INDEX($D$5:$H$5,0,Z$8))+Y71)))</f>
        <v>86.140082210951618</v>
      </c>
      <c r="AA71" s="11" cm="1">
        <f t="array" ref="AA71">IF(AA$8=-1,AB71,IF(AA$8=99,Z71,IF(AA$8=0,INDEX($E71:$I71,0,AA$6),(INDEX($E71:$I71,0,AA$8+1)-INDEX($E71:$I71,0,AA$8))/(INDEX($D$5:$H$5,0,AA$8+1)-INDEX($D$5:$H$5,0,AA$8))+Z71)))</f>
        <v>86.140082210951618</v>
      </c>
      <c r="AB71" s="11" cm="1">
        <f t="array" ref="AB71">IF(AB$8=-1,AC71,IF(AB$8=99,AA71,IF(AB$8=0,INDEX($E71:$I71,0,AB$6),(INDEX($E71:$I71,0,AB$8+1)-INDEX($E71:$I71,0,AB$8))/(INDEX($D$5:$H$5,0,AB$8+1)-INDEX($D$5:$H$5,0,AB$8))+AA71)))</f>
        <v>86.140082210951618</v>
      </c>
      <c r="AC71" s="11" cm="1">
        <f t="array" ref="AC71">IF(AC$8=-1,AD71,IF(AC$8=99,AB71,IF(AC$8=0,INDEX($E71:$I71,0,AC$6),(INDEX($E71:$I71,0,AC$8+1)-INDEX($E71:$I71,0,AC$8))/(INDEX($D$5:$H$5,0,AC$8+1)-INDEX($D$5:$H$5,0,AC$8))+AB71)))</f>
        <v>86.140082210951618</v>
      </c>
      <c r="AD71" s="11" cm="1">
        <f t="array" ref="AD71">IF(AD$8=-1,AE71,IF(AD$8=99,AC71,IF(AD$8=0,INDEX($E71:$I71,0,AD$6),(INDEX($E71:$I71,0,AD$8+1)-INDEX($E71:$I71,0,AD$8))/(INDEX($D$5:$H$5,0,AD$8+1)-INDEX($D$5:$H$5,0,AD$8))+AC71)))</f>
        <v>86.140082210951618</v>
      </c>
      <c r="AE71" s="11" cm="1">
        <f t="array" ref="AE71">IF(AE$8=-1,AF71,IF(AE$8=99,AD71,IF(AE$8=0,INDEX($E71:$I71,0,AE$6),(INDEX($E71:$I71,0,AE$8+1)-INDEX($E71:$I71,0,AE$8))/(INDEX($D$5:$H$5,0,AE$8+1)-INDEX($D$5:$H$5,0,AE$8))+AD71)))</f>
        <v>86.140082210951618</v>
      </c>
      <c r="AF71" s="11" cm="1">
        <f t="array" ref="AF71">IF(AF$8=-1,AG71,IF(AF$8=99,AE71,IF(AF$8=0,INDEX($E71:$I71,0,AF$6),(INDEX($E71:$I71,0,AF$8+1)-INDEX($E71:$I71,0,AF$8))/(INDEX($D$5:$H$5,0,AF$8+1)-INDEX($D$5:$H$5,0,AF$8))+AE71)))</f>
        <v>86.140082210951618</v>
      </c>
      <c r="AG71" s="11" cm="1">
        <f t="array" ref="AG71">IF(AG$8=-1,AH71,IF(AG$8=99,AF71,IF(AG$8=0,INDEX($E71:$I71,0,AG$6),(INDEX($E71:$I71,0,AG$8+1)-INDEX($E71:$I71,0,AG$8))/(INDEX($D$5:$H$5,0,AG$8+1)-INDEX($D$5:$H$5,0,AG$8))+AF71)))</f>
        <v>86.140082210951618</v>
      </c>
      <c r="AH71" s="11" cm="1">
        <f t="array" ref="AH71">IF(AH$8=-1,AI71,IF(AH$8=99,AG71,IF(AH$8=0,INDEX($E71:$I71,0,AH$6),(INDEX($E71:$I71,0,AH$8+1)-INDEX($E71:$I71,0,AH$8))/(INDEX($D$5:$H$5,0,AH$8+1)-INDEX($D$5:$H$5,0,AH$8))+AG71)))</f>
        <v>86.140082210951618</v>
      </c>
      <c r="AI71" s="11" cm="1">
        <f t="array" ref="AI71">IF(AI$8=-1,AJ71,IF(AI$8=99,AH71,IF(AI$8=0,INDEX($E71:$I71,0,AI$6),(INDEX($E71:$I71,0,AI$8+1)-INDEX($E71:$I71,0,AI$8))/(INDEX($D$5:$H$5,0,AI$8+1)-INDEX($D$5:$H$5,0,AI$8))+AH71)))</f>
        <v>86.140082210951618</v>
      </c>
      <c r="AJ71" s="11" cm="1">
        <f t="array" ref="AJ71">IF(AJ$8=-1,AK71,IF(AJ$8=99,AI71,IF(AJ$8=0,INDEX($E71:$I71,0,AJ$6),(INDEX($E71:$I71,0,AJ$8+1)-INDEX($E71:$I71,0,AJ$8))/(INDEX($D$5:$H$5,0,AJ$8+1)-INDEX($D$5:$H$5,0,AJ$8))+AI71)))</f>
        <v>86.140082210951618</v>
      </c>
      <c r="AK71" s="11" cm="1">
        <f t="array" ref="AK71">IF(AK$8=-1,AL71,IF(AK$8=99,AJ71,IF(AK$8=0,INDEX($E71:$I71,0,AK$6),(INDEX($E71:$I71,0,AK$8+1)-INDEX($E71:$I71,0,AK$8))/(INDEX($D$5:$H$5,0,AK$8+1)-INDEX($D$5:$H$5,0,AK$8))+AJ71)))</f>
        <v>86.140082210951618</v>
      </c>
      <c r="AL71" s="11" cm="1">
        <f t="array" ref="AL71">IF(AL$8=-1,AM71,IF(AL$8=99,AK71,IF(AL$8=0,INDEX($E71:$I71,0,AL$6),(INDEX($E71:$I71,0,AL$8+1)-INDEX($E71:$I71,0,AL$8))/(INDEX($D$5:$H$5,0,AL$8+1)-INDEX($D$5:$H$5,0,AL$8))+AK71)))</f>
        <v>86.140082210951618</v>
      </c>
      <c r="AM71" s="11" cm="1">
        <f t="array" ref="AM71">IF(AM$8=-1,AN71,IF(AM$8=99,AL71,IF(AM$8=0,INDEX($E71:$I71,0,AM$6),(INDEX($E71:$I71,0,AM$8+1)-INDEX($E71:$I71,0,AM$8))/(INDEX($D$5:$H$5,0,AM$8+1)-INDEX($D$5:$H$5,0,AM$8))+AL71)))</f>
        <v>86.140082210951618</v>
      </c>
      <c r="AN71" s="11" cm="1">
        <f t="array" ref="AN71">IF(AN$8=-1,AO71,IF(AN$8=99,AM71,IF(AN$8=0,INDEX($E71:$I71,0,AN$6),(INDEX($E71:$I71,0,AN$8+1)-INDEX($E71:$I71,0,AN$8))/(INDEX($D$5:$H$5,0,AN$8+1)-INDEX($D$5:$H$5,0,AN$8))+AM71)))</f>
        <v>86.140082210951618</v>
      </c>
      <c r="AO71" s="11" cm="1">
        <f t="array" ref="AO71">IF(AO$8=-1,AP71,IF(AO$8=99,AN71,IF(AO$8=0,INDEX($E71:$K71,0,AO$6),(INDEX($E71:$K71,0,AO$8+1)-INDEX($E71:$K71,0,AO$8))/(INDEX($D$5:$J$5,0,AO$8+1)-INDEX($D$5:$J$5,0,AO$8))+AN71)))</f>
        <v>86.140082210951618</v>
      </c>
      <c r="AP71" s="11" cm="1">
        <f t="array" ref="AP71">IF(AP$8=-1,AQ71,IF(AP$8=99,AO71,IF(AP$8=0,INDEX($E71:$K71,0,AP$6),(INDEX($E71:$K71,0,AP$8+1)-INDEX($E71:$K71,0,AP$8))/(INDEX($D$5:$J$5,0,AP$8+1)-INDEX($D$5:$J$5,0,AP$8))+AO71)))</f>
        <v>86.140082210951618</v>
      </c>
      <c r="AQ71" s="11" cm="1">
        <f t="array" ref="AQ71">IF(AQ$8=-1,AR71,IF(AQ$8=99,AP71,IF(AQ$8=0,INDEX($E71:$K71,0,AQ$6),(INDEX($E71:$K71,0,AQ$8+1)-INDEX($E71:$K71,0,AQ$8))/(INDEX($D$5:$J$5,0,AQ$8+1)-INDEX($D$5:$J$5,0,AQ$8))+AP71)))</f>
        <v>86.140082210951618</v>
      </c>
      <c r="AR71" s="11" cm="1">
        <f t="array" ref="AR71">IF(AR$8=-1,AS71,IF(AR$8=99,AQ71,IF(AR$8=0,INDEX($E71:$K71,0,AR$6),(INDEX($E71:$K71,0,AR$8+1)-INDEX($E71:$K71,0,AR$8))/(INDEX($D$5:$J$5,0,AR$8+1)-INDEX($D$5:$J$5,0,AR$8))+AQ71)))</f>
        <v>86.140082210951618</v>
      </c>
      <c r="AS71" s="11" cm="1">
        <f t="array" ref="AS71">IF(AS$8=-1,AT71,IF(AS$8=99,AR71,IF(AS$8=0,INDEX($E71:$K71,0,AS$6),(INDEX($E71:$K71,0,AS$8+1)-INDEX($E71:$K71,0,AS$8))/(INDEX($D$5:$J$5,0,AS$8+1)-INDEX($D$5:$J$5,0,AS$8))+AR71)))</f>
        <v>86.140082210951618</v>
      </c>
      <c r="AT71" s="11" cm="1">
        <f t="array" ref="AT71">IF(AT$8=-1,AU71,IF(AT$8=99,AS71,IF(AT$8=0,INDEX($E71:$K71,0,AT$6),(INDEX($E71:$K71,0,AT$8+1)-INDEX($E71:$K71,0,AT$8))/(INDEX($D$5:$J$5,0,AT$8+1)-INDEX($D$5:$J$5,0,AT$8))+AS71)))</f>
        <v>86.140082210951618</v>
      </c>
      <c r="AU71" s="11" cm="1">
        <f t="array" ref="AU71">IF(AU$8=-1,AV71,IF(AU$8=99,AT71,IF(AU$8=0,INDEX($E71:$K71,0,AU$6),(INDEX($E71:$K71,0,AU$8+1)-INDEX($E71:$K71,0,AU$8))/(INDEX($D$5:$J$5,0,AU$8+1)-INDEX($D$5:$J$5,0,AU$8))+AT71)))</f>
        <v>86.140082210951618</v>
      </c>
      <c r="AV71" s="11" cm="1">
        <f t="array" ref="AV71">IF(AV$8=-1,AW71,IF(AV$8=99,AU71,IF(AV$8=0,INDEX($E71:$K71,0,AV$6),(INDEX($E71:$K71,0,AV$8+1)-INDEX($E71:$K71,0,AV$8))/(INDEX($D$5:$J$5,0,AV$8+1)-INDEX($D$5:$J$5,0,AV$8))+AU71)))</f>
        <v>86.140082210951618</v>
      </c>
      <c r="AW71" s="11" cm="1">
        <f t="array" ref="AW71">IF(AW$8=-1,AX71,IF(AW$8=99,AV71,IF(AW$8=0,INDEX($E71:$K71,0,AW$6),(INDEX($E71:$K71,0,AW$8+1)-INDEX($E71:$K71,0,AW$8))/(INDEX($D$5:$J$5,0,AW$8+1)-INDEX($D$5:$J$5,0,AW$8))+AV71)))</f>
        <v>86.140082210951618</v>
      </c>
      <c r="AX71" s="11" cm="1">
        <f t="array" ref="AX71">IF(AX$8=-1,AY71,IF(AX$8=99,AW71,IF(AX$8=0,INDEX($E71:$K71,0,AX$6),(INDEX($E71:$K71,0,AX$8+1)-INDEX($E71:$K71,0,AX$8))/(INDEX($D$5:$J$5,0,AX$8+1)-INDEX($D$5:$J$5,0,AX$8))+AW71)))</f>
        <v>86.140082210951618</v>
      </c>
      <c r="AY71" s="11" cm="1">
        <f t="array" ref="AY71">IF(AY$8=-1,AZ71,IF(AY$8=99,AX71,IF(AY$8=0,INDEX($E71:$K71,0,AY$6),(INDEX($E71:$K71,0,AY$8+1)-INDEX($E71:$K71,0,AY$8))/(INDEX($D$5:$J$5,0,AY$8+1)-INDEX($D$5:$J$5,0,AY$8))+AX71)))</f>
        <v>86.140082210951618</v>
      </c>
      <c r="AZ71" s="11" cm="1">
        <f t="array" ref="AZ71">IF(AZ$8=-1,BA71,IF(AZ$8=99,AY71,IF(AZ$8=0,INDEX($E71:$K71,0,AZ$6),(INDEX($E71:$K71,0,AZ$8+1)-INDEX($E71:$K71,0,AZ$8))/(INDEX($D$5:$J$5,0,AZ$8+1)-INDEX($D$5:$J$5,0,AZ$8))+AY71)))</f>
        <v>86.140082210951618</v>
      </c>
      <c r="BA71" s="11" cm="1">
        <f t="array" ref="BA71">IF(BA$8=-1,BB71,IF(BA$8=99,AZ71,IF(BA$8=0,INDEX($E71:$K71,0,BA$6),(INDEX($E71:$K71,0,BA$8+1)-INDEX($E71:$K71,0,BA$8))/(INDEX($D$5:$J$5,0,BA$8+1)-INDEX($D$5:$J$5,0,BA$8))+AZ71)))</f>
        <v>86.140082210951618</v>
      </c>
      <c r="BB71" s="11" cm="1">
        <f t="array" ref="BB71">IF(BB$8=-1,BC71,IF(BB$8=99,BA71,IF(BB$8=0,INDEX($E71:$K71,0,BB$6),(INDEX($E71:$K71,0,BB$8+1)-INDEX($E71:$K71,0,BB$8))/(INDEX($D$5:$J$5,0,BB$8+1)-INDEX($D$5:$J$5,0,BB$8))+BA71)))</f>
        <v>86.140082210951618</v>
      </c>
      <c r="BC71" s="11" cm="1">
        <f t="array" ref="BC71">IF(BC$8=-1,BD71,IF(BC$8=99,BB71,IF(BC$8=0,INDEX($E71:$K71,0,BC$6),(INDEX($E71:$K71,0,BC$8+1)-INDEX($E71:$K71,0,BC$8))/(INDEX($D$5:$J$5,0,BC$8+1)-INDEX($D$5:$J$5,0,BC$8))+BB71)))</f>
        <v>86.140082210951618</v>
      </c>
      <c r="BD71" s="11" cm="1">
        <f t="array" ref="BD71">IF(BD$8=-1,BE71,IF(BD$8=99,BC71,IF(BD$8=0,INDEX($E71:$K71,0,BD$6),(INDEX($E71:$K71,0,BD$8+1)-INDEX($E71:$K71,0,BD$8))/(INDEX($D$5:$J$5,0,BD$8+1)-INDEX($D$5:$J$5,0,BD$8))+BC71)))</f>
        <v>86.140082210951618</v>
      </c>
      <c r="BE71" s="11" cm="1">
        <f t="array" ref="BE71">IF(BE$8=-1,BF71,IF(BE$8=99,BD71,IF(BE$8=0,INDEX($E71:$K71,0,BE$6),(INDEX($E71:$K71,0,BE$8+1)-INDEX($E71:$K71,0,BE$8))/(INDEX($D$5:$J$5,0,BE$8+1)-INDEX($D$5:$J$5,0,BE$8))+BD71)))</f>
        <v>86.140082210951618</v>
      </c>
      <c r="BF71" s="11" cm="1">
        <f t="array" ref="BF71">IF(BF$8=-1,BG71,IF(BF$8=99,BE71,IF(BF$8=0,INDEX($E71:$K71,0,BF$6),(INDEX($E71:$K71,0,BF$8+1)-INDEX($E71:$K71,0,BF$8))/(INDEX($D$5:$J$5,0,BF$8+1)-INDEX($D$5:$J$5,0,BF$8))+BE71)))</f>
        <v>86.140082210951618</v>
      </c>
      <c r="BG71" s="11" cm="1">
        <f t="array" ref="BG71">IF(BG$8=-1,BH71,IF(BG$8=99,BF71,IF(BG$8=0,INDEX($E71:$K71,0,BG$6),(INDEX($E71:$K71,0,BG$8+1)-INDEX($E71:$K71,0,BG$8))/(INDEX($D$5:$J$5,0,BG$8+1)-INDEX($D$5:$J$5,0,BG$8))+BF71)))</f>
        <v>86.140082210951618</v>
      </c>
      <c r="BH71" s="11" cm="1">
        <f t="array" ref="BH71">IF(BH$8=-1,BI71,IF(BH$8=99,BG71,IF(BH$8=0,INDEX($E71:$K71,0,BH$6),(INDEX($E71:$K71,0,BH$8+1)-INDEX($E71:$K71,0,BH$8))/(INDEX($D$5:$J$5,0,BH$8+1)-INDEX($D$5:$J$5,0,BH$8))+BG71)))</f>
        <v>86.140082210951618</v>
      </c>
      <c r="BI71" s="11" cm="1">
        <f t="array" ref="BI71">IF(BI$8=-1,BJ71,IF(BI$8=99,BH71,IF(BI$8=0,INDEX($E71:$K71,0,BI$6),(INDEX($E71:$K71,0,BI$8+1)-INDEX($E71:$K71,0,BI$8))/(INDEX($D$5:$J$5,0,BI$8+1)-INDEX($D$5:$J$5,0,BI$8))+BH71)))</f>
        <v>86.140082210951618</v>
      </c>
      <c r="BJ71" s="11" cm="1">
        <f t="array" ref="BJ71">IF(BJ$8=-1,BK71,IF(BJ$8=99,BI71,IF(BJ$8=0,INDEX($E71:$K71,0,BJ$6),(INDEX($E71:$K71,0,BJ$8+1)-INDEX($E71:$K71,0,BJ$8))/(INDEX($D$5:$J$5,0,BJ$8+1)-INDEX($D$5:$J$5,0,BJ$8))+BI71)))</f>
        <v>86.140082210951618</v>
      </c>
      <c r="BK71" s="11" cm="1">
        <f t="array" ref="BK71">IF(BK$8=-1,BL71,IF(BK$8=99,BJ71,IF(BK$8=0,INDEX($E71:$K71,0,BK$6),(INDEX($E71:$K71,0,BK$8+1)-INDEX($E71:$K71,0,BK$8))/(INDEX($D$5:$J$5,0,BK$8+1)-INDEX($D$5:$J$5,0,BK$8))+BJ71)))</f>
        <v>86.140082210951618</v>
      </c>
      <c r="BL71" s="11" cm="1">
        <f t="array" ref="BL71">IF(BL$8=-1,BM71,IF(BL$8=99,BK71,IF(BL$8=0,INDEX($E71:$K71,0,BL$6),(INDEX($E71:$K71,0,BL$8+1)-INDEX($E71:$K71,0,BL$8))/(INDEX($D$5:$J$5,0,BL$8+1)-INDEX($D$5:$J$5,0,BL$8))+BK71)))</f>
        <v>86.140082210951618</v>
      </c>
      <c r="BM71" s="11" cm="1">
        <f t="array" ref="BM71">IF(BM$8=-1,BN71,IF(BM$8=99,BL71,IF(BM$8=0,INDEX($E71:$K71,0,BM$6),(INDEX($E71:$K71,0,BM$8+1)-INDEX($E71:$K71,0,BM$8))/(INDEX($D$5:$J$5,0,BM$8+1)-INDEX($D$5:$J$5,0,BM$8))+BL71)))</f>
        <v>86.140082210951618</v>
      </c>
      <c r="BN71" s="11" cm="1">
        <f t="array" ref="BN71">IF(BN$8=-1,BO71,IF(BN$8=99,BM71,IF(BN$8=0,INDEX($E71:$K71,0,BN$6),(INDEX($E71:$K71,0,BN$8+1)-INDEX($E71:$K71,0,BN$8))/(INDEX($D$5:$J$5,0,BN$8+1)-INDEX($D$5:$J$5,0,BN$8))+BM71)))</f>
        <v>86.140082210951618</v>
      </c>
      <c r="BO71" s="11" cm="1">
        <f t="array" ref="BO71">IF(BO$8=-1,BP71,IF(BO$8=99,BN71,IF(BO$8=0,INDEX($E71:$K71,0,BO$6),(INDEX($E71:$K71,0,BO$8+1)-INDEX($E71:$K71,0,BO$8))/(INDEX($D$5:$J$5,0,BO$8+1)-INDEX($D$5:$J$5,0,BO$8))+BN71)))</f>
        <v>86.140082210951618</v>
      </c>
      <c r="BP71" s="11" cm="1">
        <f t="array" ref="BP71">IF(BP$8=-1,BQ71,IF(BP$8=99,BO71,IF(BP$8=0,INDEX($E71:$K71,0,BP$6),(INDEX($E71:$K71,0,BP$8+1)-INDEX($E71:$K71,0,BP$8))/(INDEX($D$5:$J$5,0,BP$8+1)-INDEX($D$5:$J$5,0,BP$8))+BO71)))</f>
        <v>86.140082210951618</v>
      </c>
      <c r="BQ71" s="11" cm="1">
        <f t="array" ref="BQ71">IF(BQ$8=-1,BR71,IF(BQ$8=99,BP71,IF(BQ$8=0,INDEX($E71:$K71,0,BQ$6),(INDEX($E71:$K71,0,BQ$8+1)-INDEX($E71:$K71,0,BQ$8))/(INDEX($D$5:$J$5,0,BQ$8+1)-INDEX($D$5:$J$5,0,BQ$8))+BP71)))</f>
        <v>86.140082210951618</v>
      </c>
      <c r="BR71" s="11" cm="1">
        <f t="array" ref="BR71">IF(BR$8=-1,BS71,IF(BR$8=99,BQ71,IF(BR$8=0,INDEX($E71:$K71,0,BR$6),(INDEX($E71:$K71,0,BR$8+1)-INDEX($E71:$K71,0,BR$8))/(INDEX($D$5:$J$5,0,BR$8+1)-INDEX($D$5:$J$5,0,BR$8))+BQ71)))</f>
        <v>86.140082210951618</v>
      </c>
    </row>
    <row r="72" spans="1:70" ht="15">
      <c r="A72" t="s">
        <v>16</v>
      </c>
      <c r="B72" s="5" t="s">
        <v>227</v>
      </c>
      <c r="C72" s="75" t="str">
        <f t="shared" si="136"/>
        <v>Commercial - Cooking</v>
      </c>
      <c r="D72" s="75" t="s">
        <v>66</v>
      </c>
      <c r="E72" s="84">
        <f t="shared" si="140"/>
        <v>74.498085701673489</v>
      </c>
      <c r="F72" s="92">
        <f t="shared" si="141"/>
        <v>64.377434268608681</v>
      </c>
      <c r="G72" s="92">
        <f t="shared" si="137"/>
        <v>64.377434268608681</v>
      </c>
      <c r="H72" s="92">
        <f t="shared" si="142"/>
        <v>64.377434268608681</v>
      </c>
      <c r="I72" s="134">
        <f t="shared" si="137"/>
        <v>64.377434268608681</v>
      </c>
      <c r="J72" s="134">
        <f t="shared" si="138"/>
        <v>64.377434268608681</v>
      </c>
      <c r="K72" s="134">
        <f t="shared" si="139"/>
        <v>64.377434268608681</v>
      </c>
      <c r="L72" s="11" cm="1">
        <f t="array" ref="L72">IF(L$8=-1,M72,IF(L$8=99,I72,IF(L$8=0,INDEX($E72:$I72,0,L$6),(INDEX($E72:$I72,0,L$8+1)-INDEX($E72:$I72,0,L$8))/(INDEX($D$5:$H$5,0,L$8+1)-INDEX($D$5:$H$5,0,L$8))+I72)))</f>
        <v>74.498085701673489</v>
      </c>
      <c r="M72" s="11" cm="1">
        <f t="array" ref="M72">IF(M$8=-1,N72,IF(M$8=99,L72,IF(M$8=0,INDEX($E72:$I72,0,M$6),(INDEX($E72:$I72,0,M$8+1)-INDEX($E72:$I72,0,M$8))/(INDEX($D$5:$H$5,0,M$8+1)-INDEX($D$5:$H$5,0,M$8))+L72)))</f>
        <v>72.47395541506053</v>
      </c>
      <c r="N72" s="11" cm="1">
        <f t="array" ref="N72">IF(N$8=-1,O72,IF(N$8=99,M72,IF(N$8=0,INDEX($E72:$I72,0,N$6),(INDEX($E72:$I72,0,N$8+1)-INDEX($E72:$I72,0,N$8))/(INDEX($D$5:$H$5,0,N$8+1)-INDEX($D$5:$H$5,0,N$8))+M72)))</f>
        <v>70.449825128447571</v>
      </c>
      <c r="O72" s="11" cm="1">
        <f t="array" ref="O72">IF(O$8=-1,P72,IF(O$8=99,N72,IF(O$8=0,INDEX($E72:$I72,0,O$6),(INDEX($E72:$I72,0,O$8+1)-INDEX($E72:$I72,0,O$8))/(INDEX($D$5:$H$5,0,O$8+1)-INDEX($D$5:$H$5,0,O$8))+N72)))</f>
        <v>68.425694841834613</v>
      </c>
      <c r="P72" s="11" cm="1">
        <f t="array" ref="P72">IF(P$8=-1,Q72,IF(P$8=99,O72,IF(P$8=0,INDEX($E72:$I72,0,P$6),(INDEX($E72:$I72,0,P$8+1)-INDEX($E72:$I72,0,P$8))/(INDEX($D$5:$H$5,0,P$8+1)-INDEX($D$5:$H$5,0,P$8))+O72)))</f>
        <v>66.401564555221654</v>
      </c>
      <c r="Q72" s="11" cm="1">
        <f t="array" ref="Q72">IF(Q$8=-1,R72,IF(Q$8=99,P72,IF(Q$8=0,INDEX($E72:$I72,0,Q$6),(INDEX($E72:$I72,0,Q$8+1)-INDEX($E72:$I72,0,Q$8))/(INDEX($D$5:$H$5,0,Q$8+1)-INDEX($D$5:$H$5,0,Q$8))+P72)))</f>
        <v>64.377434268608681</v>
      </c>
      <c r="R72" s="11" cm="1">
        <f t="array" ref="R72">IF(R$8=-1,S72,IF(R$8=99,Q72,IF(R$8=0,INDEX($E72:$I72,0,R$6),(INDEX($E72:$I72,0,R$8+1)-INDEX($E72:$I72,0,R$8))/(INDEX($D$5:$H$5,0,R$8+1)-INDEX($D$5:$H$5,0,R$8))+Q72)))</f>
        <v>64.377434268608681</v>
      </c>
      <c r="S72" s="11" cm="1">
        <f t="array" ref="S72">IF(S$8=-1,T72,IF(S$8=99,R72,IF(S$8=0,INDEX($E72:$I72,0,S$6),(INDEX($E72:$I72,0,S$8+1)-INDEX($E72:$I72,0,S$8))/(INDEX($D$5:$H$5,0,S$8+1)-INDEX($D$5:$H$5,0,S$8))+R72)))</f>
        <v>64.377434268608681</v>
      </c>
      <c r="T72" s="11" cm="1">
        <f t="array" ref="T72">IF(T$8=-1,U72,IF(T$8=99,S72,IF(T$8=0,INDEX($E72:$I72,0,T$6),(INDEX($E72:$I72,0,T$8+1)-INDEX($E72:$I72,0,T$8))/(INDEX($D$5:$H$5,0,T$8+1)-INDEX($D$5:$H$5,0,T$8))+S72)))</f>
        <v>64.377434268608681</v>
      </c>
      <c r="U72" s="11" cm="1">
        <f t="array" ref="U72">IF(U$8=-1,V72,IF(U$8=99,T72,IF(U$8=0,INDEX($E72:$I72,0,U$6),(INDEX($E72:$I72,0,U$8+1)-INDEX($E72:$I72,0,U$8))/(INDEX($D$5:$H$5,0,U$8+1)-INDEX($D$5:$H$5,0,U$8))+T72)))</f>
        <v>64.377434268608681</v>
      </c>
      <c r="V72" s="11" cm="1">
        <f t="array" ref="V72">IF(V$8=-1,W72,IF(V$8=99,U72,IF(V$8=0,INDEX($E72:$I72,0,V$6),(INDEX($E72:$I72,0,V$8+1)-INDEX($E72:$I72,0,V$8))/(INDEX($D$5:$H$5,0,V$8+1)-INDEX($D$5:$H$5,0,V$8))+U72)))</f>
        <v>64.377434268608681</v>
      </c>
      <c r="W72" s="11" cm="1">
        <f t="array" ref="W72">IF(W$8=-1,X72,IF(W$8=99,V72,IF(W$8=0,INDEX($E72:$I72,0,W$6),(INDEX($E72:$I72,0,W$8+1)-INDEX($E72:$I72,0,W$8))/(INDEX($D$5:$H$5,0,W$8+1)-INDEX($D$5:$H$5,0,W$8))+V72)))</f>
        <v>64.377434268608681</v>
      </c>
      <c r="X72" s="11" cm="1">
        <f t="array" ref="X72">IF(X$8=-1,Y72,IF(X$8=99,W72,IF(X$8=0,INDEX($E72:$I72,0,X$6),(INDEX($E72:$I72,0,X$8+1)-INDEX($E72:$I72,0,X$8))/(INDEX($D$5:$H$5,0,X$8+1)-INDEX($D$5:$H$5,0,X$8))+W72)))</f>
        <v>64.377434268608681</v>
      </c>
      <c r="Y72" s="11" cm="1">
        <f t="array" ref="Y72">IF(Y$8=-1,Z72,IF(Y$8=99,X72,IF(Y$8=0,INDEX($E72:$I72,0,Y$6),(INDEX($E72:$I72,0,Y$8+1)-INDEX($E72:$I72,0,Y$8))/(INDEX($D$5:$H$5,0,Y$8+1)-INDEX($D$5:$H$5,0,Y$8))+X72)))</f>
        <v>64.377434268608681</v>
      </c>
      <c r="Z72" s="11" cm="1">
        <f t="array" ref="Z72">IF(Z$8=-1,AA72,IF(Z$8=99,Y72,IF(Z$8=0,INDEX($E72:$I72,0,Z$6),(INDEX($E72:$I72,0,Z$8+1)-INDEX($E72:$I72,0,Z$8))/(INDEX($D$5:$H$5,0,Z$8+1)-INDEX($D$5:$H$5,0,Z$8))+Y72)))</f>
        <v>64.377434268608681</v>
      </c>
      <c r="AA72" s="11" cm="1">
        <f t="array" ref="AA72">IF(AA$8=-1,AB72,IF(AA$8=99,Z72,IF(AA$8=0,INDEX($E72:$I72,0,AA$6),(INDEX($E72:$I72,0,AA$8+1)-INDEX($E72:$I72,0,AA$8))/(INDEX($D$5:$H$5,0,AA$8+1)-INDEX($D$5:$H$5,0,AA$8))+Z72)))</f>
        <v>64.377434268608681</v>
      </c>
      <c r="AB72" s="11" cm="1">
        <f t="array" ref="AB72">IF(AB$8=-1,AC72,IF(AB$8=99,AA72,IF(AB$8=0,INDEX($E72:$I72,0,AB$6),(INDEX($E72:$I72,0,AB$8+1)-INDEX($E72:$I72,0,AB$8))/(INDEX($D$5:$H$5,0,AB$8+1)-INDEX($D$5:$H$5,0,AB$8))+AA72)))</f>
        <v>64.377434268608681</v>
      </c>
      <c r="AC72" s="11" cm="1">
        <f t="array" ref="AC72">IF(AC$8=-1,AD72,IF(AC$8=99,AB72,IF(AC$8=0,INDEX($E72:$I72,0,AC$6),(INDEX($E72:$I72,0,AC$8+1)-INDEX($E72:$I72,0,AC$8))/(INDEX($D$5:$H$5,0,AC$8+1)-INDEX($D$5:$H$5,0,AC$8))+AB72)))</f>
        <v>64.377434268608681</v>
      </c>
      <c r="AD72" s="11" cm="1">
        <f t="array" ref="AD72">IF(AD$8=-1,AE72,IF(AD$8=99,AC72,IF(AD$8=0,INDEX($E72:$I72,0,AD$6),(INDEX($E72:$I72,0,AD$8+1)-INDEX($E72:$I72,0,AD$8))/(INDEX($D$5:$H$5,0,AD$8+1)-INDEX($D$5:$H$5,0,AD$8))+AC72)))</f>
        <v>64.377434268608681</v>
      </c>
      <c r="AE72" s="11" cm="1">
        <f t="array" ref="AE72">IF(AE$8=-1,AF72,IF(AE$8=99,AD72,IF(AE$8=0,INDEX($E72:$I72,0,AE$6),(INDEX($E72:$I72,0,AE$8+1)-INDEX($E72:$I72,0,AE$8))/(INDEX($D$5:$H$5,0,AE$8+1)-INDEX($D$5:$H$5,0,AE$8))+AD72)))</f>
        <v>64.377434268608681</v>
      </c>
      <c r="AF72" s="11" cm="1">
        <f t="array" ref="AF72">IF(AF$8=-1,AG72,IF(AF$8=99,AE72,IF(AF$8=0,INDEX($E72:$I72,0,AF$6),(INDEX($E72:$I72,0,AF$8+1)-INDEX($E72:$I72,0,AF$8))/(INDEX($D$5:$H$5,0,AF$8+1)-INDEX($D$5:$H$5,0,AF$8))+AE72)))</f>
        <v>64.377434268608681</v>
      </c>
      <c r="AG72" s="11" cm="1">
        <f t="array" ref="AG72">IF(AG$8=-1,AH72,IF(AG$8=99,AF72,IF(AG$8=0,INDEX($E72:$I72,0,AG$6),(INDEX($E72:$I72,0,AG$8+1)-INDEX($E72:$I72,0,AG$8))/(INDEX($D$5:$H$5,0,AG$8+1)-INDEX($D$5:$H$5,0,AG$8))+AF72)))</f>
        <v>64.377434268608681</v>
      </c>
      <c r="AH72" s="11" cm="1">
        <f t="array" ref="AH72">IF(AH$8=-1,AI72,IF(AH$8=99,AG72,IF(AH$8=0,INDEX($E72:$I72,0,AH$6),(INDEX($E72:$I72,0,AH$8+1)-INDEX($E72:$I72,0,AH$8))/(INDEX($D$5:$H$5,0,AH$8+1)-INDEX($D$5:$H$5,0,AH$8))+AG72)))</f>
        <v>64.377434268608681</v>
      </c>
      <c r="AI72" s="11" cm="1">
        <f t="array" ref="AI72">IF(AI$8=-1,AJ72,IF(AI$8=99,AH72,IF(AI$8=0,INDEX($E72:$I72,0,AI$6),(INDEX($E72:$I72,0,AI$8+1)-INDEX($E72:$I72,0,AI$8))/(INDEX($D$5:$H$5,0,AI$8+1)-INDEX($D$5:$H$5,0,AI$8))+AH72)))</f>
        <v>64.377434268608681</v>
      </c>
      <c r="AJ72" s="11" cm="1">
        <f t="array" ref="AJ72">IF(AJ$8=-1,AK72,IF(AJ$8=99,AI72,IF(AJ$8=0,INDEX($E72:$I72,0,AJ$6),(INDEX($E72:$I72,0,AJ$8+1)-INDEX($E72:$I72,0,AJ$8))/(INDEX($D$5:$H$5,0,AJ$8+1)-INDEX($D$5:$H$5,0,AJ$8))+AI72)))</f>
        <v>64.377434268608681</v>
      </c>
      <c r="AK72" s="11" cm="1">
        <f t="array" ref="AK72">IF(AK$8=-1,AL72,IF(AK$8=99,AJ72,IF(AK$8=0,INDEX($E72:$I72,0,AK$6),(INDEX($E72:$I72,0,AK$8+1)-INDEX($E72:$I72,0,AK$8))/(INDEX($D$5:$H$5,0,AK$8+1)-INDEX($D$5:$H$5,0,AK$8))+AJ72)))</f>
        <v>64.377434268608681</v>
      </c>
      <c r="AL72" s="11" cm="1">
        <f t="array" ref="AL72">IF(AL$8=-1,AM72,IF(AL$8=99,AK72,IF(AL$8=0,INDEX($E72:$I72,0,AL$6),(INDEX($E72:$I72,0,AL$8+1)-INDEX($E72:$I72,0,AL$8))/(INDEX($D$5:$H$5,0,AL$8+1)-INDEX($D$5:$H$5,0,AL$8))+AK72)))</f>
        <v>64.377434268608681</v>
      </c>
      <c r="AM72" s="11" cm="1">
        <f t="array" ref="AM72">IF(AM$8=-1,AN72,IF(AM$8=99,AL72,IF(AM$8=0,INDEX($E72:$I72,0,AM$6),(INDEX($E72:$I72,0,AM$8+1)-INDEX($E72:$I72,0,AM$8))/(INDEX($D$5:$H$5,0,AM$8+1)-INDEX($D$5:$H$5,0,AM$8))+AL72)))</f>
        <v>64.377434268608681</v>
      </c>
      <c r="AN72" s="11" cm="1">
        <f t="array" ref="AN72">IF(AN$8=-1,AO72,IF(AN$8=99,AM72,IF(AN$8=0,INDEX($E72:$I72,0,AN$6),(INDEX($E72:$I72,0,AN$8+1)-INDEX($E72:$I72,0,AN$8))/(INDEX($D$5:$H$5,0,AN$8+1)-INDEX($D$5:$H$5,0,AN$8))+AM72)))</f>
        <v>64.377434268608681</v>
      </c>
      <c r="AO72" s="11" cm="1">
        <f t="array" ref="AO72">IF(AO$8=-1,AP72,IF(AO$8=99,AN72,IF(AO$8=0,INDEX($E72:$K72,0,AO$6),(INDEX($E72:$K72,0,AO$8+1)-INDEX($E72:$K72,0,AO$8))/(INDEX($D$5:$J$5,0,AO$8+1)-INDEX($D$5:$J$5,0,AO$8))+AN72)))</f>
        <v>64.377434268608681</v>
      </c>
      <c r="AP72" s="11" cm="1">
        <f t="array" ref="AP72">IF(AP$8=-1,AQ72,IF(AP$8=99,AO72,IF(AP$8=0,INDEX($E72:$K72,0,AP$6),(INDEX($E72:$K72,0,AP$8+1)-INDEX($E72:$K72,0,AP$8))/(INDEX($D$5:$J$5,0,AP$8+1)-INDEX($D$5:$J$5,0,AP$8))+AO72)))</f>
        <v>64.377434268608681</v>
      </c>
      <c r="AQ72" s="11" cm="1">
        <f t="array" ref="AQ72">IF(AQ$8=-1,AR72,IF(AQ$8=99,AP72,IF(AQ$8=0,INDEX($E72:$K72,0,AQ$6),(INDEX($E72:$K72,0,AQ$8+1)-INDEX($E72:$K72,0,AQ$8))/(INDEX($D$5:$J$5,0,AQ$8+1)-INDEX($D$5:$J$5,0,AQ$8))+AP72)))</f>
        <v>64.377434268608681</v>
      </c>
      <c r="AR72" s="11" cm="1">
        <f t="array" ref="AR72">IF(AR$8=-1,AS72,IF(AR$8=99,AQ72,IF(AR$8=0,INDEX($E72:$K72,0,AR$6),(INDEX($E72:$K72,0,AR$8+1)-INDEX($E72:$K72,0,AR$8))/(INDEX($D$5:$J$5,0,AR$8+1)-INDEX($D$5:$J$5,0,AR$8))+AQ72)))</f>
        <v>64.377434268608681</v>
      </c>
      <c r="AS72" s="11" cm="1">
        <f t="array" ref="AS72">IF(AS$8=-1,AT72,IF(AS$8=99,AR72,IF(AS$8=0,INDEX($E72:$K72,0,AS$6),(INDEX($E72:$K72,0,AS$8+1)-INDEX($E72:$K72,0,AS$8))/(INDEX($D$5:$J$5,0,AS$8+1)-INDEX($D$5:$J$5,0,AS$8))+AR72)))</f>
        <v>64.377434268608681</v>
      </c>
      <c r="AT72" s="11" cm="1">
        <f t="array" ref="AT72">IF(AT$8=-1,AU72,IF(AT$8=99,AS72,IF(AT$8=0,INDEX($E72:$K72,0,AT$6),(INDEX($E72:$K72,0,AT$8+1)-INDEX($E72:$K72,0,AT$8))/(INDEX($D$5:$J$5,0,AT$8+1)-INDEX($D$5:$J$5,0,AT$8))+AS72)))</f>
        <v>64.377434268608681</v>
      </c>
      <c r="AU72" s="11" cm="1">
        <f t="array" ref="AU72">IF(AU$8=-1,AV72,IF(AU$8=99,AT72,IF(AU$8=0,INDEX($E72:$K72,0,AU$6),(INDEX($E72:$K72,0,AU$8+1)-INDEX($E72:$K72,0,AU$8))/(INDEX($D$5:$J$5,0,AU$8+1)-INDEX($D$5:$J$5,0,AU$8))+AT72)))</f>
        <v>64.377434268608681</v>
      </c>
      <c r="AV72" s="11" cm="1">
        <f t="array" ref="AV72">IF(AV$8=-1,AW72,IF(AV$8=99,AU72,IF(AV$8=0,INDEX($E72:$K72,0,AV$6),(INDEX($E72:$K72,0,AV$8+1)-INDEX($E72:$K72,0,AV$8))/(INDEX($D$5:$J$5,0,AV$8+1)-INDEX($D$5:$J$5,0,AV$8))+AU72)))</f>
        <v>64.377434268608681</v>
      </c>
      <c r="AW72" s="11" cm="1">
        <f t="array" ref="AW72">IF(AW$8=-1,AX72,IF(AW$8=99,AV72,IF(AW$8=0,INDEX($E72:$K72,0,AW$6),(INDEX($E72:$K72,0,AW$8+1)-INDEX($E72:$K72,0,AW$8))/(INDEX($D$5:$J$5,0,AW$8+1)-INDEX($D$5:$J$5,0,AW$8))+AV72)))</f>
        <v>64.377434268608681</v>
      </c>
      <c r="AX72" s="11" cm="1">
        <f t="array" ref="AX72">IF(AX$8=-1,AY72,IF(AX$8=99,AW72,IF(AX$8=0,INDEX($E72:$K72,0,AX$6),(INDEX($E72:$K72,0,AX$8+1)-INDEX($E72:$K72,0,AX$8))/(INDEX($D$5:$J$5,0,AX$8+1)-INDEX($D$5:$J$5,0,AX$8))+AW72)))</f>
        <v>64.377434268608681</v>
      </c>
      <c r="AY72" s="11" cm="1">
        <f t="array" ref="AY72">IF(AY$8=-1,AZ72,IF(AY$8=99,AX72,IF(AY$8=0,INDEX($E72:$K72,0,AY$6),(INDEX($E72:$K72,0,AY$8+1)-INDEX($E72:$K72,0,AY$8))/(INDEX($D$5:$J$5,0,AY$8+1)-INDEX($D$5:$J$5,0,AY$8))+AX72)))</f>
        <v>64.377434268608681</v>
      </c>
      <c r="AZ72" s="11" cm="1">
        <f t="array" ref="AZ72">IF(AZ$8=-1,BA72,IF(AZ$8=99,AY72,IF(AZ$8=0,INDEX($E72:$K72,0,AZ$6),(INDEX($E72:$K72,0,AZ$8+1)-INDEX($E72:$K72,0,AZ$8))/(INDEX($D$5:$J$5,0,AZ$8+1)-INDEX($D$5:$J$5,0,AZ$8))+AY72)))</f>
        <v>64.377434268608681</v>
      </c>
      <c r="BA72" s="11" cm="1">
        <f t="array" ref="BA72">IF(BA$8=-1,BB72,IF(BA$8=99,AZ72,IF(BA$8=0,INDEX($E72:$K72,0,BA$6),(INDEX($E72:$K72,0,BA$8+1)-INDEX($E72:$K72,0,BA$8))/(INDEX($D$5:$J$5,0,BA$8+1)-INDEX($D$5:$J$5,0,BA$8))+AZ72)))</f>
        <v>64.377434268608681</v>
      </c>
      <c r="BB72" s="11" cm="1">
        <f t="array" ref="BB72">IF(BB$8=-1,BC72,IF(BB$8=99,BA72,IF(BB$8=0,INDEX($E72:$K72,0,BB$6),(INDEX($E72:$K72,0,BB$8+1)-INDEX($E72:$K72,0,BB$8))/(INDEX($D$5:$J$5,0,BB$8+1)-INDEX($D$5:$J$5,0,BB$8))+BA72)))</f>
        <v>64.377434268608681</v>
      </c>
      <c r="BC72" s="11" cm="1">
        <f t="array" ref="BC72">IF(BC$8=-1,BD72,IF(BC$8=99,BB72,IF(BC$8=0,INDEX($E72:$K72,0,BC$6),(INDEX($E72:$K72,0,BC$8+1)-INDEX($E72:$K72,0,BC$8))/(INDEX($D$5:$J$5,0,BC$8+1)-INDEX($D$5:$J$5,0,BC$8))+BB72)))</f>
        <v>64.377434268608681</v>
      </c>
      <c r="BD72" s="11" cm="1">
        <f t="array" ref="BD72">IF(BD$8=-1,BE72,IF(BD$8=99,BC72,IF(BD$8=0,INDEX($E72:$K72,0,BD$6),(INDEX($E72:$K72,0,BD$8+1)-INDEX($E72:$K72,0,BD$8))/(INDEX($D$5:$J$5,0,BD$8+1)-INDEX($D$5:$J$5,0,BD$8))+BC72)))</f>
        <v>64.377434268608681</v>
      </c>
      <c r="BE72" s="11" cm="1">
        <f t="array" ref="BE72">IF(BE$8=-1,BF72,IF(BE$8=99,BD72,IF(BE$8=0,INDEX($E72:$K72,0,BE$6),(INDEX($E72:$K72,0,BE$8+1)-INDEX($E72:$K72,0,BE$8))/(INDEX($D$5:$J$5,0,BE$8+1)-INDEX($D$5:$J$5,0,BE$8))+BD72)))</f>
        <v>64.377434268608681</v>
      </c>
      <c r="BF72" s="11" cm="1">
        <f t="array" ref="BF72">IF(BF$8=-1,BG72,IF(BF$8=99,BE72,IF(BF$8=0,INDEX($E72:$K72,0,BF$6),(INDEX($E72:$K72,0,BF$8+1)-INDEX($E72:$K72,0,BF$8))/(INDEX($D$5:$J$5,0,BF$8+1)-INDEX($D$5:$J$5,0,BF$8))+BE72)))</f>
        <v>64.377434268608681</v>
      </c>
      <c r="BG72" s="11" cm="1">
        <f t="array" ref="BG72">IF(BG$8=-1,BH72,IF(BG$8=99,BF72,IF(BG$8=0,INDEX($E72:$K72,0,BG$6),(INDEX($E72:$K72,0,BG$8+1)-INDEX($E72:$K72,0,BG$8))/(INDEX($D$5:$J$5,0,BG$8+1)-INDEX($D$5:$J$5,0,BG$8))+BF72)))</f>
        <v>64.377434268608681</v>
      </c>
      <c r="BH72" s="11" cm="1">
        <f t="array" ref="BH72">IF(BH$8=-1,BI72,IF(BH$8=99,BG72,IF(BH$8=0,INDEX($E72:$K72,0,BH$6),(INDEX($E72:$K72,0,BH$8+1)-INDEX($E72:$K72,0,BH$8))/(INDEX($D$5:$J$5,0,BH$8+1)-INDEX($D$5:$J$5,0,BH$8))+BG72)))</f>
        <v>64.377434268608681</v>
      </c>
      <c r="BI72" s="11" cm="1">
        <f t="array" ref="BI72">IF(BI$8=-1,BJ72,IF(BI$8=99,BH72,IF(BI$8=0,INDEX($E72:$K72,0,BI$6),(INDEX($E72:$K72,0,BI$8+1)-INDEX($E72:$K72,0,BI$8))/(INDEX($D$5:$J$5,0,BI$8+1)-INDEX($D$5:$J$5,0,BI$8))+BH72)))</f>
        <v>64.377434268608681</v>
      </c>
      <c r="BJ72" s="11" cm="1">
        <f t="array" ref="BJ72">IF(BJ$8=-1,BK72,IF(BJ$8=99,BI72,IF(BJ$8=0,INDEX($E72:$K72,0,BJ$6),(INDEX($E72:$K72,0,BJ$8+1)-INDEX($E72:$K72,0,BJ$8))/(INDEX($D$5:$J$5,0,BJ$8+1)-INDEX($D$5:$J$5,0,BJ$8))+BI72)))</f>
        <v>64.377434268608681</v>
      </c>
      <c r="BK72" s="11" cm="1">
        <f t="array" ref="BK72">IF(BK$8=-1,BL72,IF(BK$8=99,BJ72,IF(BK$8=0,INDEX($E72:$K72,0,BK$6),(INDEX($E72:$K72,0,BK$8+1)-INDEX($E72:$K72,0,BK$8))/(INDEX($D$5:$J$5,0,BK$8+1)-INDEX($D$5:$J$5,0,BK$8))+BJ72)))</f>
        <v>64.377434268608681</v>
      </c>
      <c r="BL72" s="11" cm="1">
        <f t="array" ref="BL72">IF(BL$8=-1,BM72,IF(BL$8=99,BK72,IF(BL$8=0,INDEX($E72:$K72,0,BL$6),(INDEX($E72:$K72,0,BL$8+1)-INDEX($E72:$K72,0,BL$8))/(INDEX($D$5:$J$5,0,BL$8+1)-INDEX($D$5:$J$5,0,BL$8))+BK72)))</f>
        <v>64.377434268608681</v>
      </c>
      <c r="BM72" s="11" cm="1">
        <f t="array" ref="BM72">IF(BM$8=-1,BN72,IF(BM$8=99,BL72,IF(BM$8=0,INDEX($E72:$K72,0,BM$6),(INDEX($E72:$K72,0,BM$8+1)-INDEX($E72:$K72,0,BM$8))/(INDEX($D$5:$J$5,0,BM$8+1)-INDEX($D$5:$J$5,0,BM$8))+BL72)))</f>
        <v>64.377434268608681</v>
      </c>
      <c r="BN72" s="11" cm="1">
        <f t="array" ref="BN72">IF(BN$8=-1,BO72,IF(BN$8=99,BM72,IF(BN$8=0,INDEX($E72:$K72,0,BN$6),(INDEX($E72:$K72,0,BN$8+1)-INDEX($E72:$K72,0,BN$8))/(INDEX($D$5:$J$5,0,BN$8+1)-INDEX($D$5:$J$5,0,BN$8))+BM72)))</f>
        <v>64.377434268608681</v>
      </c>
      <c r="BO72" s="11" cm="1">
        <f t="array" ref="BO72">IF(BO$8=-1,BP72,IF(BO$8=99,BN72,IF(BO$8=0,INDEX($E72:$K72,0,BO$6),(INDEX($E72:$K72,0,BO$8+1)-INDEX($E72:$K72,0,BO$8))/(INDEX($D$5:$J$5,0,BO$8+1)-INDEX($D$5:$J$5,0,BO$8))+BN72)))</f>
        <v>64.377434268608681</v>
      </c>
      <c r="BP72" s="11" cm="1">
        <f t="array" ref="BP72">IF(BP$8=-1,BQ72,IF(BP$8=99,BO72,IF(BP$8=0,INDEX($E72:$K72,0,BP$6),(INDEX($E72:$K72,0,BP$8+1)-INDEX($E72:$K72,0,BP$8))/(INDEX($D$5:$J$5,0,BP$8+1)-INDEX($D$5:$J$5,0,BP$8))+BO72)))</f>
        <v>64.377434268608681</v>
      </c>
      <c r="BQ72" s="11" cm="1">
        <f t="array" ref="BQ72">IF(BQ$8=-1,BR72,IF(BQ$8=99,BP72,IF(BQ$8=0,INDEX($E72:$K72,0,BQ$6),(INDEX($E72:$K72,0,BQ$8+1)-INDEX($E72:$K72,0,BQ$8))/(INDEX($D$5:$J$5,0,BQ$8+1)-INDEX($D$5:$J$5,0,BQ$8))+BP72)))</f>
        <v>64.377434268608681</v>
      </c>
      <c r="BR72" s="11" cm="1">
        <f t="array" ref="BR72">IF(BR$8=-1,BS72,IF(BR$8=99,BQ72,IF(BR$8=0,INDEX($E72:$K72,0,BR$6),(INDEX($E72:$K72,0,BR$8+1)-INDEX($E72:$K72,0,BR$8))/(INDEX($D$5:$J$5,0,BR$8+1)-INDEX($D$5:$J$5,0,BR$8))+BQ72)))</f>
        <v>64.377434268608681</v>
      </c>
    </row>
    <row r="73" spans="1:70" ht="15">
      <c r="A73" t="s">
        <v>16</v>
      </c>
      <c r="B73" s="5" t="s">
        <v>228</v>
      </c>
      <c r="C73" s="75" t="str">
        <f t="shared" si="136"/>
        <v>Commercial - Lighting</v>
      </c>
      <c r="D73" s="75" t="s">
        <v>66</v>
      </c>
      <c r="E73" s="84">
        <f t="shared" si="140"/>
        <v>915.10615144128883</v>
      </c>
      <c r="F73" s="92">
        <f t="shared" si="141"/>
        <v>802.64469417063674</v>
      </c>
      <c r="G73" s="92">
        <f t="shared" si="137"/>
        <v>802.64469417063674</v>
      </c>
      <c r="H73" s="92">
        <f t="shared" si="142"/>
        <v>802.64469417063674</v>
      </c>
      <c r="I73" s="134">
        <f t="shared" si="137"/>
        <v>802.64469417063674</v>
      </c>
      <c r="J73" s="134">
        <f t="shared" si="138"/>
        <v>802.64469417063674</v>
      </c>
      <c r="K73" s="134">
        <f t="shared" si="139"/>
        <v>802.64469417063674</v>
      </c>
      <c r="L73" s="11" cm="1">
        <f t="array" ref="L73">IF(L$8=-1,M73,IF(L$8=99,I73,IF(L$8=0,INDEX($E73:$I73,0,L$6),(INDEX($E73:$I73,0,L$8+1)-INDEX($E73:$I73,0,L$8))/(INDEX($D$5:$H$5,0,L$8+1)-INDEX($D$5:$H$5,0,L$8))+I73)))</f>
        <v>915.10615144128883</v>
      </c>
      <c r="M73" s="11" cm="1">
        <f t="array" ref="M73">IF(M$8=-1,N73,IF(M$8=99,L73,IF(M$8=0,INDEX($E73:$I73,0,M$6),(INDEX($E73:$I73,0,M$8+1)-INDEX($E73:$I73,0,M$8))/(INDEX($D$5:$H$5,0,M$8+1)-INDEX($D$5:$H$5,0,M$8))+L73)))</f>
        <v>892.61385998715843</v>
      </c>
      <c r="N73" s="11" cm="1">
        <f t="array" ref="N73">IF(N$8=-1,O73,IF(N$8=99,M73,IF(N$8=0,INDEX($E73:$I73,0,N$6),(INDEX($E73:$I73,0,N$8+1)-INDEX($E73:$I73,0,N$8))/(INDEX($D$5:$H$5,0,N$8+1)-INDEX($D$5:$H$5,0,N$8))+M73)))</f>
        <v>870.12156853302804</v>
      </c>
      <c r="O73" s="11" cm="1">
        <f t="array" ref="O73">IF(O$8=-1,P73,IF(O$8=99,N73,IF(O$8=0,INDEX($E73:$I73,0,O$6),(INDEX($E73:$I73,0,O$8+1)-INDEX($E73:$I73,0,O$8))/(INDEX($D$5:$H$5,0,O$8+1)-INDEX($D$5:$H$5,0,O$8))+N73)))</f>
        <v>847.62927707889764</v>
      </c>
      <c r="P73" s="11" cm="1">
        <f t="array" ref="P73">IF(P$8=-1,Q73,IF(P$8=99,O73,IF(P$8=0,INDEX($E73:$I73,0,P$6),(INDEX($E73:$I73,0,P$8+1)-INDEX($E73:$I73,0,P$8))/(INDEX($D$5:$H$5,0,P$8+1)-INDEX($D$5:$H$5,0,P$8))+O73)))</f>
        <v>825.13698562476725</v>
      </c>
      <c r="Q73" s="11" cm="1">
        <f t="array" ref="Q73">IF(Q$8=-1,R73,IF(Q$8=99,P73,IF(Q$8=0,INDEX($E73:$I73,0,Q$6),(INDEX($E73:$I73,0,Q$8+1)-INDEX($E73:$I73,0,Q$8))/(INDEX($D$5:$H$5,0,Q$8+1)-INDEX($D$5:$H$5,0,Q$8))+P73)))</f>
        <v>802.64469417063674</v>
      </c>
      <c r="R73" s="11" cm="1">
        <f t="array" ref="R73">IF(R$8=-1,S73,IF(R$8=99,Q73,IF(R$8=0,INDEX($E73:$I73,0,R$6),(INDEX($E73:$I73,0,R$8+1)-INDEX($E73:$I73,0,R$8))/(INDEX($D$5:$H$5,0,R$8+1)-INDEX($D$5:$H$5,0,R$8))+Q73)))</f>
        <v>802.64469417063674</v>
      </c>
      <c r="S73" s="11" cm="1">
        <f t="array" ref="S73">IF(S$8=-1,T73,IF(S$8=99,R73,IF(S$8=0,INDEX($E73:$I73,0,S$6),(INDEX($E73:$I73,0,S$8+1)-INDEX($E73:$I73,0,S$8))/(INDEX($D$5:$H$5,0,S$8+1)-INDEX($D$5:$H$5,0,S$8))+R73)))</f>
        <v>802.64469417063674</v>
      </c>
      <c r="T73" s="11" cm="1">
        <f t="array" ref="T73">IF(T$8=-1,U73,IF(T$8=99,S73,IF(T$8=0,INDEX($E73:$I73,0,T$6),(INDEX($E73:$I73,0,T$8+1)-INDEX($E73:$I73,0,T$8))/(INDEX($D$5:$H$5,0,T$8+1)-INDEX($D$5:$H$5,0,T$8))+S73)))</f>
        <v>802.64469417063674</v>
      </c>
      <c r="U73" s="11" cm="1">
        <f t="array" ref="U73">IF(U$8=-1,V73,IF(U$8=99,T73,IF(U$8=0,INDEX($E73:$I73,0,U$6),(INDEX($E73:$I73,0,U$8+1)-INDEX($E73:$I73,0,U$8))/(INDEX($D$5:$H$5,0,U$8+1)-INDEX($D$5:$H$5,0,U$8))+T73)))</f>
        <v>802.64469417063674</v>
      </c>
      <c r="V73" s="11" cm="1">
        <f t="array" ref="V73">IF(V$8=-1,W73,IF(V$8=99,U73,IF(V$8=0,INDEX($E73:$I73,0,V$6),(INDEX($E73:$I73,0,V$8+1)-INDEX($E73:$I73,0,V$8))/(INDEX($D$5:$H$5,0,V$8+1)-INDEX($D$5:$H$5,0,V$8))+U73)))</f>
        <v>802.64469417063674</v>
      </c>
      <c r="W73" s="11" cm="1">
        <f t="array" ref="W73">IF(W$8=-1,X73,IF(W$8=99,V73,IF(W$8=0,INDEX($E73:$I73,0,W$6),(INDEX($E73:$I73,0,W$8+1)-INDEX($E73:$I73,0,W$8))/(INDEX($D$5:$H$5,0,W$8+1)-INDEX($D$5:$H$5,0,W$8))+V73)))</f>
        <v>802.64469417063674</v>
      </c>
      <c r="X73" s="11" cm="1">
        <f t="array" ref="X73">IF(X$8=-1,Y73,IF(X$8=99,W73,IF(X$8=0,INDEX($E73:$I73,0,X$6),(INDEX($E73:$I73,0,X$8+1)-INDEX($E73:$I73,0,X$8))/(INDEX($D$5:$H$5,0,X$8+1)-INDEX($D$5:$H$5,0,X$8))+W73)))</f>
        <v>802.64469417063674</v>
      </c>
      <c r="Y73" s="11" cm="1">
        <f t="array" ref="Y73">IF(Y$8=-1,Z73,IF(Y$8=99,X73,IF(Y$8=0,INDEX($E73:$I73,0,Y$6),(INDEX($E73:$I73,0,Y$8+1)-INDEX($E73:$I73,0,Y$8))/(INDEX($D$5:$H$5,0,Y$8+1)-INDEX($D$5:$H$5,0,Y$8))+X73)))</f>
        <v>802.64469417063674</v>
      </c>
      <c r="Z73" s="11" cm="1">
        <f t="array" ref="Z73">IF(Z$8=-1,AA73,IF(Z$8=99,Y73,IF(Z$8=0,INDEX($E73:$I73,0,Z$6),(INDEX($E73:$I73,0,Z$8+1)-INDEX($E73:$I73,0,Z$8))/(INDEX($D$5:$H$5,0,Z$8+1)-INDEX($D$5:$H$5,0,Z$8))+Y73)))</f>
        <v>802.64469417063674</v>
      </c>
      <c r="AA73" s="11" cm="1">
        <f t="array" ref="AA73">IF(AA$8=-1,AB73,IF(AA$8=99,Z73,IF(AA$8=0,INDEX($E73:$I73,0,AA$6),(INDEX($E73:$I73,0,AA$8+1)-INDEX($E73:$I73,0,AA$8))/(INDEX($D$5:$H$5,0,AA$8+1)-INDEX($D$5:$H$5,0,AA$8))+Z73)))</f>
        <v>802.64469417063674</v>
      </c>
      <c r="AB73" s="11" cm="1">
        <f t="array" ref="AB73">IF(AB$8=-1,AC73,IF(AB$8=99,AA73,IF(AB$8=0,INDEX($E73:$I73,0,AB$6),(INDEX($E73:$I73,0,AB$8+1)-INDEX($E73:$I73,0,AB$8))/(INDEX($D$5:$H$5,0,AB$8+1)-INDEX($D$5:$H$5,0,AB$8))+AA73)))</f>
        <v>802.64469417063674</v>
      </c>
      <c r="AC73" s="11" cm="1">
        <f t="array" ref="AC73">IF(AC$8=-1,AD73,IF(AC$8=99,AB73,IF(AC$8=0,INDEX($E73:$I73,0,AC$6),(INDEX($E73:$I73,0,AC$8+1)-INDEX($E73:$I73,0,AC$8))/(INDEX($D$5:$H$5,0,AC$8+1)-INDEX($D$5:$H$5,0,AC$8))+AB73)))</f>
        <v>802.64469417063674</v>
      </c>
      <c r="AD73" s="11" cm="1">
        <f t="array" ref="AD73">IF(AD$8=-1,AE73,IF(AD$8=99,AC73,IF(AD$8=0,INDEX($E73:$I73,0,AD$6),(INDEX($E73:$I73,0,AD$8+1)-INDEX($E73:$I73,0,AD$8))/(INDEX($D$5:$H$5,0,AD$8+1)-INDEX($D$5:$H$5,0,AD$8))+AC73)))</f>
        <v>802.64469417063674</v>
      </c>
      <c r="AE73" s="11" cm="1">
        <f t="array" ref="AE73">IF(AE$8=-1,AF73,IF(AE$8=99,AD73,IF(AE$8=0,INDEX($E73:$I73,0,AE$6),(INDEX($E73:$I73,0,AE$8+1)-INDEX($E73:$I73,0,AE$8))/(INDEX($D$5:$H$5,0,AE$8+1)-INDEX($D$5:$H$5,0,AE$8))+AD73)))</f>
        <v>802.64469417063674</v>
      </c>
      <c r="AF73" s="11" cm="1">
        <f t="array" ref="AF73">IF(AF$8=-1,AG73,IF(AF$8=99,AE73,IF(AF$8=0,INDEX($E73:$I73,0,AF$6),(INDEX($E73:$I73,0,AF$8+1)-INDEX($E73:$I73,0,AF$8))/(INDEX($D$5:$H$5,0,AF$8+1)-INDEX($D$5:$H$5,0,AF$8))+AE73)))</f>
        <v>802.64469417063674</v>
      </c>
      <c r="AG73" s="11" cm="1">
        <f t="array" ref="AG73">IF(AG$8=-1,AH73,IF(AG$8=99,AF73,IF(AG$8=0,INDEX($E73:$I73,0,AG$6),(INDEX($E73:$I73,0,AG$8+1)-INDEX($E73:$I73,0,AG$8))/(INDEX($D$5:$H$5,0,AG$8+1)-INDEX($D$5:$H$5,0,AG$8))+AF73)))</f>
        <v>802.64469417063674</v>
      </c>
      <c r="AH73" s="11" cm="1">
        <f t="array" ref="AH73">IF(AH$8=-1,AI73,IF(AH$8=99,AG73,IF(AH$8=0,INDEX($E73:$I73,0,AH$6),(INDEX($E73:$I73,0,AH$8+1)-INDEX($E73:$I73,0,AH$8))/(INDEX($D$5:$H$5,0,AH$8+1)-INDEX($D$5:$H$5,0,AH$8))+AG73)))</f>
        <v>802.64469417063674</v>
      </c>
      <c r="AI73" s="11" cm="1">
        <f t="array" ref="AI73">IF(AI$8=-1,AJ73,IF(AI$8=99,AH73,IF(AI$8=0,INDEX($E73:$I73,0,AI$6),(INDEX($E73:$I73,0,AI$8+1)-INDEX($E73:$I73,0,AI$8))/(INDEX($D$5:$H$5,0,AI$8+1)-INDEX($D$5:$H$5,0,AI$8))+AH73)))</f>
        <v>802.64469417063674</v>
      </c>
      <c r="AJ73" s="11" cm="1">
        <f t="array" ref="AJ73">IF(AJ$8=-1,AK73,IF(AJ$8=99,AI73,IF(AJ$8=0,INDEX($E73:$I73,0,AJ$6),(INDEX($E73:$I73,0,AJ$8+1)-INDEX($E73:$I73,0,AJ$8))/(INDEX($D$5:$H$5,0,AJ$8+1)-INDEX($D$5:$H$5,0,AJ$8))+AI73)))</f>
        <v>802.64469417063674</v>
      </c>
      <c r="AK73" s="11" cm="1">
        <f t="array" ref="AK73">IF(AK$8=-1,AL73,IF(AK$8=99,AJ73,IF(AK$8=0,INDEX($E73:$I73,0,AK$6),(INDEX($E73:$I73,0,AK$8+1)-INDEX($E73:$I73,0,AK$8))/(INDEX($D$5:$H$5,0,AK$8+1)-INDEX($D$5:$H$5,0,AK$8))+AJ73)))</f>
        <v>802.64469417063674</v>
      </c>
      <c r="AL73" s="11" cm="1">
        <f t="array" ref="AL73">IF(AL$8=-1,AM73,IF(AL$8=99,AK73,IF(AL$8=0,INDEX($E73:$I73,0,AL$6),(INDEX($E73:$I73,0,AL$8+1)-INDEX($E73:$I73,0,AL$8))/(INDEX($D$5:$H$5,0,AL$8+1)-INDEX($D$5:$H$5,0,AL$8))+AK73)))</f>
        <v>802.64469417063674</v>
      </c>
      <c r="AM73" s="11" cm="1">
        <f t="array" ref="AM73">IF(AM$8=-1,AN73,IF(AM$8=99,AL73,IF(AM$8=0,INDEX($E73:$I73,0,AM$6),(INDEX($E73:$I73,0,AM$8+1)-INDEX($E73:$I73,0,AM$8))/(INDEX($D$5:$H$5,0,AM$8+1)-INDEX($D$5:$H$5,0,AM$8))+AL73)))</f>
        <v>802.64469417063674</v>
      </c>
      <c r="AN73" s="11" cm="1">
        <f t="array" ref="AN73">IF(AN$8=-1,AO73,IF(AN$8=99,AM73,IF(AN$8=0,INDEX($E73:$I73,0,AN$6),(INDEX($E73:$I73,0,AN$8+1)-INDEX($E73:$I73,0,AN$8))/(INDEX($D$5:$H$5,0,AN$8+1)-INDEX($D$5:$H$5,0,AN$8))+AM73)))</f>
        <v>802.64469417063674</v>
      </c>
      <c r="AO73" s="11" cm="1">
        <f t="array" ref="AO73">IF(AO$8=-1,AP73,IF(AO$8=99,AN73,IF(AO$8=0,INDEX($E73:$K73,0,AO$6),(INDEX($E73:$K73,0,AO$8+1)-INDEX($E73:$K73,0,AO$8))/(INDEX($D$5:$J$5,0,AO$8+1)-INDEX($D$5:$J$5,0,AO$8))+AN73)))</f>
        <v>802.64469417063674</v>
      </c>
      <c r="AP73" s="11" cm="1">
        <f t="array" ref="AP73">IF(AP$8=-1,AQ73,IF(AP$8=99,AO73,IF(AP$8=0,INDEX($E73:$K73,0,AP$6),(INDEX($E73:$K73,0,AP$8+1)-INDEX($E73:$K73,0,AP$8))/(INDEX($D$5:$J$5,0,AP$8+1)-INDEX($D$5:$J$5,0,AP$8))+AO73)))</f>
        <v>802.64469417063674</v>
      </c>
      <c r="AQ73" s="11" cm="1">
        <f t="array" ref="AQ73">IF(AQ$8=-1,AR73,IF(AQ$8=99,AP73,IF(AQ$8=0,INDEX($E73:$K73,0,AQ$6),(INDEX($E73:$K73,0,AQ$8+1)-INDEX($E73:$K73,0,AQ$8))/(INDEX($D$5:$J$5,0,AQ$8+1)-INDEX($D$5:$J$5,0,AQ$8))+AP73)))</f>
        <v>802.64469417063674</v>
      </c>
      <c r="AR73" s="11" cm="1">
        <f t="array" ref="AR73">IF(AR$8=-1,AS73,IF(AR$8=99,AQ73,IF(AR$8=0,INDEX($E73:$K73,0,AR$6),(INDEX($E73:$K73,0,AR$8+1)-INDEX($E73:$K73,0,AR$8))/(INDEX($D$5:$J$5,0,AR$8+1)-INDEX($D$5:$J$5,0,AR$8))+AQ73)))</f>
        <v>802.64469417063674</v>
      </c>
      <c r="AS73" s="11" cm="1">
        <f t="array" ref="AS73">IF(AS$8=-1,AT73,IF(AS$8=99,AR73,IF(AS$8=0,INDEX($E73:$K73,0,AS$6),(INDEX($E73:$K73,0,AS$8+1)-INDEX($E73:$K73,0,AS$8))/(INDEX($D$5:$J$5,0,AS$8+1)-INDEX($D$5:$J$5,0,AS$8))+AR73)))</f>
        <v>802.64469417063674</v>
      </c>
      <c r="AT73" s="11" cm="1">
        <f t="array" ref="AT73">IF(AT$8=-1,AU73,IF(AT$8=99,AS73,IF(AT$8=0,INDEX($E73:$K73,0,AT$6),(INDEX($E73:$K73,0,AT$8+1)-INDEX($E73:$K73,0,AT$8))/(INDEX($D$5:$J$5,0,AT$8+1)-INDEX($D$5:$J$5,0,AT$8))+AS73)))</f>
        <v>802.64469417063674</v>
      </c>
      <c r="AU73" s="11" cm="1">
        <f t="array" ref="AU73">IF(AU$8=-1,AV73,IF(AU$8=99,AT73,IF(AU$8=0,INDEX($E73:$K73,0,AU$6),(INDEX($E73:$K73,0,AU$8+1)-INDEX($E73:$K73,0,AU$8))/(INDEX($D$5:$J$5,0,AU$8+1)-INDEX($D$5:$J$5,0,AU$8))+AT73)))</f>
        <v>802.64469417063674</v>
      </c>
      <c r="AV73" s="11" cm="1">
        <f t="array" ref="AV73">IF(AV$8=-1,AW73,IF(AV$8=99,AU73,IF(AV$8=0,INDEX($E73:$K73,0,AV$6),(INDEX($E73:$K73,0,AV$8+1)-INDEX($E73:$K73,0,AV$8))/(INDEX($D$5:$J$5,0,AV$8+1)-INDEX($D$5:$J$5,0,AV$8))+AU73)))</f>
        <v>802.64469417063674</v>
      </c>
      <c r="AW73" s="11" cm="1">
        <f t="array" ref="AW73">IF(AW$8=-1,AX73,IF(AW$8=99,AV73,IF(AW$8=0,INDEX($E73:$K73,0,AW$6),(INDEX($E73:$K73,0,AW$8+1)-INDEX($E73:$K73,0,AW$8))/(INDEX($D$5:$J$5,0,AW$8+1)-INDEX($D$5:$J$5,0,AW$8))+AV73)))</f>
        <v>802.64469417063674</v>
      </c>
      <c r="AX73" s="11" cm="1">
        <f t="array" ref="AX73">IF(AX$8=-1,AY73,IF(AX$8=99,AW73,IF(AX$8=0,INDEX($E73:$K73,0,AX$6),(INDEX($E73:$K73,0,AX$8+1)-INDEX($E73:$K73,0,AX$8))/(INDEX($D$5:$J$5,0,AX$8+1)-INDEX($D$5:$J$5,0,AX$8))+AW73)))</f>
        <v>802.64469417063674</v>
      </c>
      <c r="AY73" s="11" cm="1">
        <f t="array" ref="AY73">IF(AY$8=-1,AZ73,IF(AY$8=99,AX73,IF(AY$8=0,INDEX($E73:$K73,0,AY$6),(INDEX($E73:$K73,0,AY$8+1)-INDEX($E73:$K73,0,AY$8))/(INDEX($D$5:$J$5,0,AY$8+1)-INDEX($D$5:$J$5,0,AY$8))+AX73)))</f>
        <v>802.64469417063674</v>
      </c>
      <c r="AZ73" s="11" cm="1">
        <f t="array" ref="AZ73">IF(AZ$8=-1,BA73,IF(AZ$8=99,AY73,IF(AZ$8=0,INDEX($E73:$K73,0,AZ$6),(INDEX($E73:$K73,0,AZ$8+1)-INDEX($E73:$K73,0,AZ$8))/(INDEX($D$5:$J$5,0,AZ$8+1)-INDEX($D$5:$J$5,0,AZ$8))+AY73)))</f>
        <v>802.64469417063674</v>
      </c>
      <c r="BA73" s="11" cm="1">
        <f t="array" ref="BA73">IF(BA$8=-1,BB73,IF(BA$8=99,AZ73,IF(BA$8=0,INDEX($E73:$K73,0,BA$6),(INDEX($E73:$K73,0,BA$8+1)-INDEX($E73:$K73,0,BA$8))/(INDEX($D$5:$J$5,0,BA$8+1)-INDEX($D$5:$J$5,0,BA$8))+AZ73)))</f>
        <v>802.64469417063674</v>
      </c>
      <c r="BB73" s="11" cm="1">
        <f t="array" ref="BB73">IF(BB$8=-1,BC73,IF(BB$8=99,BA73,IF(BB$8=0,INDEX($E73:$K73,0,BB$6),(INDEX($E73:$K73,0,BB$8+1)-INDEX($E73:$K73,0,BB$8))/(INDEX($D$5:$J$5,0,BB$8+1)-INDEX($D$5:$J$5,0,BB$8))+BA73)))</f>
        <v>802.64469417063674</v>
      </c>
      <c r="BC73" s="11" cm="1">
        <f t="array" ref="BC73">IF(BC$8=-1,BD73,IF(BC$8=99,BB73,IF(BC$8=0,INDEX($E73:$K73,0,BC$6),(INDEX($E73:$K73,0,BC$8+1)-INDEX($E73:$K73,0,BC$8))/(INDEX($D$5:$J$5,0,BC$8+1)-INDEX($D$5:$J$5,0,BC$8))+BB73)))</f>
        <v>802.64469417063674</v>
      </c>
      <c r="BD73" s="11" cm="1">
        <f t="array" ref="BD73">IF(BD$8=-1,BE73,IF(BD$8=99,BC73,IF(BD$8=0,INDEX($E73:$K73,0,BD$6),(INDEX($E73:$K73,0,BD$8+1)-INDEX($E73:$K73,0,BD$8))/(INDEX($D$5:$J$5,0,BD$8+1)-INDEX($D$5:$J$5,0,BD$8))+BC73)))</f>
        <v>802.64469417063674</v>
      </c>
      <c r="BE73" s="11" cm="1">
        <f t="array" ref="BE73">IF(BE$8=-1,BF73,IF(BE$8=99,BD73,IF(BE$8=0,INDEX($E73:$K73,0,BE$6),(INDEX($E73:$K73,0,BE$8+1)-INDEX($E73:$K73,0,BE$8))/(INDEX($D$5:$J$5,0,BE$8+1)-INDEX($D$5:$J$5,0,BE$8))+BD73)))</f>
        <v>802.64469417063674</v>
      </c>
      <c r="BF73" s="11" cm="1">
        <f t="array" ref="BF73">IF(BF$8=-1,BG73,IF(BF$8=99,BE73,IF(BF$8=0,INDEX($E73:$K73,0,BF$6),(INDEX($E73:$K73,0,BF$8+1)-INDEX($E73:$K73,0,BF$8))/(INDEX($D$5:$J$5,0,BF$8+1)-INDEX($D$5:$J$5,0,BF$8))+BE73)))</f>
        <v>802.64469417063674</v>
      </c>
      <c r="BG73" s="11" cm="1">
        <f t="array" ref="BG73">IF(BG$8=-1,BH73,IF(BG$8=99,BF73,IF(BG$8=0,INDEX($E73:$K73,0,BG$6),(INDEX($E73:$K73,0,BG$8+1)-INDEX($E73:$K73,0,BG$8))/(INDEX($D$5:$J$5,0,BG$8+1)-INDEX($D$5:$J$5,0,BG$8))+BF73)))</f>
        <v>802.64469417063674</v>
      </c>
      <c r="BH73" s="11" cm="1">
        <f t="array" ref="BH73">IF(BH$8=-1,BI73,IF(BH$8=99,BG73,IF(BH$8=0,INDEX($E73:$K73,0,BH$6),(INDEX($E73:$K73,0,BH$8+1)-INDEX($E73:$K73,0,BH$8))/(INDEX($D$5:$J$5,0,BH$8+1)-INDEX($D$5:$J$5,0,BH$8))+BG73)))</f>
        <v>802.64469417063674</v>
      </c>
      <c r="BI73" s="11" cm="1">
        <f t="array" ref="BI73">IF(BI$8=-1,BJ73,IF(BI$8=99,BH73,IF(BI$8=0,INDEX($E73:$K73,0,BI$6),(INDEX($E73:$K73,0,BI$8+1)-INDEX($E73:$K73,0,BI$8))/(INDEX($D$5:$J$5,0,BI$8+1)-INDEX($D$5:$J$5,0,BI$8))+BH73)))</f>
        <v>802.64469417063674</v>
      </c>
      <c r="BJ73" s="11" cm="1">
        <f t="array" ref="BJ73">IF(BJ$8=-1,BK73,IF(BJ$8=99,BI73,IF(BJ$8=0,INDEX($E73:$K73,0,BJ$6),(INDEX($E73:$K73,0,BJ$8+1)-INDEX($E73:$K73,0,BJ$8))/(INDEX($D$5:$J$5,0,BJ$8+1)-INDEX($D$5:$J$5,0,BJ$8))+BI73)))</f>
        <v>802.64469417063674</v>
      </c>
      <c r="BK73" s="11" cm="1">
        <f t="array" ref="BK73">IF(BK$8=-1,BL73,IF(BK$8=99,BJ73,IF(BK$8=0,INDEX($E73:$K73,0,BK$6),(INDEX($E73:$K73,0,BK$8+1)-INDEX($E73:$K73,0,BK$8))/(INDEX($D$5:$J$5,0,BK$8+1)-INDEX($D$5:$J$5,0,BK$8))+BJ73)))</f>
        <v>802.64469417063674</v>
      </c>
      <c r="BL73" s="11" cm="1">
        <f t="array" ref="BL73">IF(BL$8=-1,BM73,IF(BL$8=99,BK73,IF(BL$8=0,INDEX($E73:$K73,0,BL$6),(INDEX($E73:$K73,0,BL$8+1)-INDEX($E73:$K73,0,BL$8))/(INDEX($D$5:$J$5,0,BL$8+1)-INDEX($D$5:$J$5,0,BL$8))+BK73)))</f>
        <v>802.64469417063674</v>
      </c>
      <c r="BM73" s="11" cm="1">
        <f t="array" ref="BM73">IF(BM$8=-1,BN73,IF(BM$8=99,BL73,IF(BM$8=0,INDEX($E73:$K73,0,BM$6),(INDEX($E73:$K73,0,BM$8+1)-INDEX($E73:$K73,0,BM$8))/(INDEX($D$5:$J$5,0,BM$8+1)-INDEX($D$5:$J$5,0,BM$8))+BL73)))</f>
        <v>802.64469417063674</v>
      </c>
      <c r="BN73" s="11" cm="1">
        <f t="array" ref="BN73">IF(BN$8=-1,BO73,IF(BN$8=99,BM73,IF(BN$8=0,INDEX($E73:$K73,0,BN$6),(INDEX($E73:$K73,0,BN$8+1)-INDEX($E73:$K73,0,BN$8))/(INDEX($D$5:$J$5,0,BN$8+1)-INDEX($D$5:$J$5,0,BN$8))+BM73)))</f>
        <v>802.64469417063674</v>
      </c>
      <c r="BO73" s="11" cm="1">
        <f t="array" ref="BO73">IF(BO$8=-1,BP73,IF(BO$8=99,BN73,IF(BO$8=0,INDEX($E73:$K73,0,BO$6),(INDEX($E73:$K73,0,BO$8+1)-INDEX($E73:$K73,0,BO$8))/(INDEX($D$5:$J$5,0,BO$8+1)-INDEX($D$5:$J$5,0,BO$8))+BN73)))</f>
        <v>802.64469417063674</v>
      </c>
      <c r="BP73" s="11" cm="1">
        <f t="array" ref="BP73">IF(BP$8=-1,BQ73,IF(BP$8=99,BO73,IF(BP$8=0,INDEX($E73:$K73,0,BP$6),(INDEX($E73:$K73,0,BP$8+1)-INDEX($E73:$K73,0,BP$8))/(INDEX($D$5:$J$5,0,BP$8+1)-INDEX($D$5:$J$5,0,BP$8))+BO73)))</f>
        <v>802.64469417063674</v>
      </c>
      <c r="BQ73" s="11" cm="1">
        <f t="array" ref="BQ73">IF(BQ$8=-1,BR73,IF(BQ$8=99,BP73,IF(BQ$8=0,INDEX($E73:$K73,0,BQ$6),(INDEX($E73:$K73,0,BQ$8+1)-INDEX($E73:$K73,0,BQ$8))/(INDEX($D$5:$J$5,0,BQ$8+1)-INDEX($D$5:$J$5,0,BQ$8))+BP73)))</f>
        <v>802.64469417063674</v>
      </c>
      <c r="BR73" s="11" cm="1">
        <f t="array" ref="BR73">IF(BR$8=-1,BS73,IF(BR$8=99,BQ73,IF(BR$8=0,INDEX($E73:$K73,0,BR$6),(INDEX($E73:$K73,0,BR$8+1)-INDEX($E73:$K73,0,BR$8))/(INDEX($D$5:$J$5,0,BR$8+1)-INDEX($D$5:$J$5,0,BR$8))+BQ73)))</f>
        <v>802.64469417063674</v>
      </c>
    </row>
    <row r="74" spans="1:70" ht="15">
      <c r="A74" t="s">
        <v>16</v>
      </c>
      <c r="B74" s="5" t="s">
        <v>229</v>
      </c>
      <c r="C74" s="75" t="str">
        <f t="shared" si="136"/>
        <v>Commercial - Refrigeration</v>
      </c>
      <c r="D74" s="75" t="s">
        <v>66</v>
      </c>
      <c r="E74" s="84">
        <f t="shared" si="140"/>
        <v>222.6125158575035</v>
      </c>
      <c r="F74" s="92">
        <f t="shared" si="141"/>
        <v>195.25467556696461</v>
      </c>
      <c r="G74" s="92">
        <f t="shared" si="137"/>
        <v>195.25467556696461</v>
      </c>
      <c r="H74" s="92">
        <f t="shared" si="142"/>
        <v>195.25467556696461</v>
      </c>
      <c r="I74" s="134">
        <f t="shared" si="137"/>
        <v>195.25467556696461</v>
      </c>
      <c r="J74" s="134">
        <f t="shared" si="138"/>
        <v>195.25467556696461</v>
      </c>
      <c r="K74" s="134">
        <f t="shared" si="139"/>
        <v>195.25467556696461</v>
      </c>
      <c r="L74" s="11" cm="1">
        <f t="array" ref="L74">IF(L$8=-1,M74,IF(L$8=99,I74,IF(L$8=0,INDEX($E74:$I74,0,L$6),(INDEX($E74:$I74,0,L$8+1)-INDEX($E74:$I74,0,L$8))/(INDEX($D$5:$H$5,0,L$8+1)-INDEX($D$5:$H$5,0,L$8))+I74)))</f>
        <v>222.6125158575035</v>
      </c>
      <c r="M74" s="11" cm="1">
        <f t="array" ref="M74">IF(M$8=-1,N74,IF(M$8=99,L74,IF(M$8=0,INDEX($E74:$I74,0,M$6),(INDEX($E74:$I74,0,M$8+1)-INDEX($E74:$I74,0,M$8))/(INDEX($D$5:$H$5,0,M$8+1)-INDEX($D$5:$H$5,0,M$8))+L74)))</f>
        <v>217.14094779939572</v>
      </c>
      <c r="N74" s="11" cm="1">
        <f t="array" ref="N74">IF(N$8=-1,O74,IF(N$8=99,M74,IF(N$8=0,INDEX($E74:$I74,0,N$6),(INDEX($E74:$I74,0,N$8+1)-INDEX($E74:$I74,0,N$8))/(INDEX($D$5:$H$5,0,N$8+1)-INDEX($D$5:$H$5,0,N$8))+M74)))</f>
        <v>211.66937974128794</v>
      </c>
      <c r="O74" s="11" cm="1">
        <f t="array" ref="O74">IF(O$8=-1,P74,IF(O$8=99,N74,IF(O$8=0,INDEX($E74:$I74,0,O$6),(INDEX($E74:$I74,0,O$8+1)-INDEX($E74:$I74,0,O$8))/(INDEX($D$5:$H$5,0,O$8+1)-INDEX($D$5:$H$5,0,O$8))+N74)))</f>
        <v>206.19781168318016</v>
      </c>
      <c r="P74" s="11" cm="1">
        <f t="array" ref="P74">IF(P$8=-1,Q74,IF(P$8=99,O74,IF(P$8=0,INDEX($E74:$I74,0,P$6),(INDEX($E74:$I74,0,P$8+1)-INDEX($E74:$I74,0,P$8))/(INDEX($D$5:$H$5,0,P$8+1)-INDEX($D$5:$H$5,0,P$8))+O74)))</f>
        <v>200.72624362507239</v>
      </c>
      <c r="Q74" s="11" cm="1">
        <f t="array" ref="Q74">IF(Q$8=-1,R74,IF(Q$8=99,P74,IF(Q$8=0,INDEX($E74:$I74,0,Q$6),(INDEX($E74:$I74,0,Q$8+1)-INDEX($E74:$I74,0,Q$8))/(INDEX($D$5:$H$5,0,Q$8+1)-INDEX($D$5:$H$5,0,Q$8))+P74)))</f>
        <v>195.25467556696461</v>
      </c>
      <c r="R74" s="11" cm="1">
        <f t="array" ref="R74">IF(R$8=-1,S74,IF(R$8=99,Q74,IF(R$8=0,INDEX($E74:$I74,0,R$6),(INDEX($E74:$I74,0,R$8+1)-INDEX($E74:$I74,0,R$8))/(INDEX($D$5:$H$5,0,R$8+1)-INDEX($D$5:$H$5,0,R$8))+Q74)))</f>
        <v>195.25467556696461</v>
      </c>
      <c r="S74" s="11" cm="1">
        <f t="array" ref="S74">IF(S$8=-1,T74,IF(S$8=99,R74,IF(S$8=0,INDEX($E74:$I74,0,S$6),(INDEX($E74:$I74,0,S$8+1)-INDEX($E74:$I74,0,S$8))/(INDEX($D$5:$H$5,0,S$8+1)-INDEX($D$5:$H$5,0,S$8))+R74)))</f>
        <v>195.25467556696461</v>
      </c>
      <c r="T74" s="11" cm="1">
        <f t="array" ref="T74">IF(T$8=-1,U74,IF(T$8=99,S74,IF(T$8=0,INDEX($E74:$I74,0,T$6),(INDEX($E74:$I74,0,T$8+1)-INDEX($E74:$I74,0,T$8))/(INDEX($D$5:$H$5,0,T$8+1)-INDEX($D$5:$H$5,0,T$8))+S74)))</f>
        <v>195.25467556696461</v>
      </c>
      <c r="U74" s="11" cm="1">
        <f t="array" ref="U74">IF(U$8=-1,V74,IF(U$8=99,T74,IF(U$8=0,INDEX($E74:$I74,0,U$6),(INDEX($E74:$I74,0,U$8+1)-INDEX($E74:$I74,0,U$8))/(INDEX($D$5:$H$5,0,U$8+1)-INDEX($D$5:$H$5,0,U$8))+T74)))</f>
        <v>195.25467556696461</v>
      </c>
      <c r="V74" s="11" cm="1">
        <f t="array" ref="V74">IF(V$8=-1,W74,IF(V$8=99,U74,IF(V$8=0,INDEX($E74:$I74,0,V$6),(INDEX($E74:$I74,0,V$8+1)-INDEX($E74:$I74,0,V$8))/(INDEX($D$5:$H$5,0,V$8+1)-INDEX($D$5:$H$5,0,V$8))+U74)))</f>
        <v>195.25467556696461</v>
      </c>
      <c r="W74" s="11" cm="1">
        <f t="array" ref="W74">IF(W$8=-1,X74,IF(W$8=99,V74,IF(W$8=0,INDEX($E74:$I74,0,W$6),(INDEX($E74:$I74,0,W$8+1)-INDEX($E74:$I74,0,W$8))/(INDEX($D$5:$H$5,0,W$8+1)-INDEX($D$5:$H$5,0,W$8))+V74)))</f>
        <v>195.25467556696461</v>
      </c>
      <c r="X74" s="11" cm="1">
        <f t="array" ref="X74">IF(X$8=-1,Y74,IF(X$8=99,W74,IF(X$8=0,INDEX($E74:$I74,0,X$6),(INDEX($E74:$I74,0,X$8+1)-INDEX($E74:$I74,0,X$8))/(INDEX($D$5:$H$5,0,X$8+1)-INDEX($D$5:$H$5,0,X$8))+W74)))</f>
        <v>195.25467556696461</v>
      </c>
      <c r="Y74" s="11" cm="1">
        <f t="array" ref="Y74">IF(Y$8=-1,Z74,IF(Y$8=99,X74,IF(Y$8=0,INDEX($E74:$I74,0,Y$6),(INDEX($E74:$I74,0,Y$8+1)-INDEX($E74:$I74,0,Y$8))/(INDEX($D$5:$H$5,0,Y$8+1)-INDEX($D$5:$H$5,0,Y$8))+X74)))</f>
        <v>195.25467556696461</v>
      </c>
      <c r="Z74" s="11" cm="1">
        <f t="array" ref="Z74">IF(Z$8=-1,AA74,IF(Z$8=99,Y74,IF(Z$8=0,INDEX($E74:$I74,0,Z$6),(INDEX($E74:$I74,0,Z$8+1)-INDEX($E74:$I74,0,Z$8))/(INDEX($D$5:$H$5,0,Z$8+1)-INDEX($D$5:$H$5,0,Z$8))+Y74)))</f>
        <v>195.25467556696461</v>
      </c>
      <c r="AA74" s="11" cm="1">
        <f t="array" ref="AA74">IF(AA$8=-1,AB74,IF(AA$8=99,Z74,IF(AA$8=0,INDEX($E74:$I74,0,AA$6),(INDEX($E74:$I74,0,AA$8+1)-INDEX($E74:$I74,0,AA$8))/(INDEX($D$5:$H$5,0,AA$8+1)-INDEX($D$5:$H$5,0,AA$8))+Z74)))</f>
        <v>195.25467556696461</v>
      </c>
      <c r="AB74" s="11" cm="1">
        <f t="array" ref="AB74">IF(AB$8=-1,AC74,IF(AB$8=99,AA74,IF(AB$8=0,INDEX($E74:$I74,0,AB$6),(INDEX($E74:$I74,0,AB$8+1)-INDEX($E74:$I74,0,AB$8))/(INDEX($D$5:$H$5,0,AB$8+1)-INDEX($D$5:$H$5,0,AB$8))+AA74)))</f>
        <v>195.25467556696461</v>
      </c>
      <c r="AC74" s="11" cm="1">
        <f t="array" ref="AC74">IF(AC$8=-1,AD74,IF(AC$8=99,AB74,IF(AC$8=0,INDEX($E74:$I74,0,AC$6),(INDEX($E74:$I74,0,AC$8+1)-INDEX($E74:$I74,0,AC$8))/(INDEX($D$5:$H$5,0,AC$8+1)-INDEX($D$5:$H$5,0,AC$8))+AB74)))</f>
        <v>195.25467556696461</v>
      </c>
      <c r="AD74" s="11" cm="1">
        <f t="array" ref="AD74">IF(AD$8=-1,AE74,IF(AD$8=99,AC74,IF(AD$8=0,INDEX($E74:$I74,0,AD$6),(INDEX($E74:$I74,0,AD$8+1)-INDEX($E74:$I74,0,AD$8))/(INDEX($D$5:$H$5,0,AD$8+1)-INDEX($D$5:$H$5,0,AD$8))+AC74)))</f>
        <v>195.25467556696461</v>
      </c>
      <c r="AE74" s="11" cm="1">
        <f t="array" ref="AE74">IF(AE$8=-1,AF74,IF(AE$8=99,AD74,IF(AE$8=0,INDEX($E74:$I74,0,AE$6),(INDEX($E74:$I74,0,AE$8+1)-INDEX($E74:$I74,0,AE$8))/(INDEX($D$5:$H$5,0,AE$8+1)-INDEX($D$5:$H$5,0,AE$8))+AD74)))</f>
        <v>195.25467556696461</v>
      </c>
      <c r="AF74" s="11" cm="1">
        <f t="array" ref="AF74">IF(AF$8=-1,AG74,IF(AF$8=99,AE74,IF(AF$8=0,INDEX($E74:$I74,0,AF$6),(INDEX($E74:$I74,0,AF$8+1)-INDEX($E74:$I74,0,AF$8))/(INDEX($D$5:$H$5,0,AF$8+1)-INDEX($D$5:$H$5,0,AF$8))+AE74)))</f>
        <v>195.25467556696461</v>
      </c>
      <c r="AG74" s="11" cm="1">
        <f t="array" ref="AG74">IF(AG$8=-1,AH74,IF(AG$8=99,AF74,IF(AG$8=0,INDEX($E74:$I74,0,AG$6),(INDEX($E74:$I74,0,AG$8+1)-INDEX($E74:$I74,0,AG$8))/(INDEX($D$5:$H$5,0,AG$8+1)-INDEX($D$5:$H$5,0,AG$8))+AF74)))</f>
        <v>195.25467556696461</v>
      </c>
      <c r="AH74" s="11" cm="1">
        <f t="array" ref="AH74">IF(AH$8=-1,AI74,IF(AH$8=99,AG74,IF(AH$8=0,INDEX($E74:$I74,0,AH$6),(INDEX($E74:$I74,0,AH$8+1)-INDEX($E74:$I74,0,AH$8))/(INDEX($D$5:$H$5,0,AH$8+1)-INDEX($D$5:$H$5,0,AH$8))+AG74)))</f>
        <v>195.25467556696461</v>
      </c>
      <c r="AI74" s="11" cm="1">
        <f t="array" ref="AI74">IF(AI$8=-1,AJ74,IF(AI$8=99,AH74,IF(AI$8=0,INDEX($E74:$I74,0,AI$6),(INDEX($E74:$I74,0,AI$8+1)-INDEX($E74:$I74,0,AI$8))/(INDEX($D$5:$H$5,0,AI$8+1)-INDEX($D$5:$H$5,0,AI$8))+AH74)))</f>
        <v>195.25467556696461</v>
      </c>
      <c r="AJ74" s="11" cm="1">
        <f t="array" ref="AJ74">IF(AJ$8=-1,AK74,IF(AJ$8=99,AI74,IF(AJ$8=0,INDEX($E74:$I74,0,AJ$6),(INDEX($E74:$I74,0,AJ$8+1)-INDEX($E74:$I74,0,AJ$8))/(INDEX($D$5:$H$5,0,AJ$8+1)-INDEX($D$5:$H$5,0,AJ$8))+AI74)))</f>
        <v>195.25467556696461</v>
      </c>
      <c r="AK74" s="11" cm="1">
        <f t="array" ref="AK74">IF(AK$8=-1,AL74,IF(AK$8=99,AJ74,IF(AK$8=0,INDEX($E74:$I74,0,AK$6),(INDEX($E74:$I74,0,AK$8+1)-INDEX($E74:$I74,0,AK$8))/(INDEX($D$5:$H$5,0,AK$8+1)-INDEX($D$5:$H$5,0,AK$8))+AJ74)))</f>
        <v>195.25467556696461</v>
      </c>
      <c r="AL74" s="11" cm="1">
        <f t="array" ref="AL74">IF(AL$8=-1,AM74,IF(AL$8=99,AK74,IF(AL$8=0,INDEX($E74:$I74,0,AL$6),(INDEX($E74:$I74,0,AL$8+1)-INDEX($E74:$I74,0,AL$8))/(INDEX($D$5:$H$5,0,AL$8+1)-INDEX($D$5:$H$5,0,AL$8))+AK74)))</f>
        <v>195.25467556696461</v>
      </c>
      <c r="AM74" s="11" cm="1">
        <f t="array" ref="AM74">IF(AM$8=-1,AN74,IF(AM$8=99,AL74,IF(AM$8=0,INDEX($E74:$I74,0,AM$6),(INDEX($E74:$I74,0,AM$8+1)-INDEX($E74:$I74,0,AM$8))/(INDEX($D$5:$H$5,0,AM$8+1)-INDEX($D$5:$H$5,0,AM$8))+AL74)))</f>
        <v>195.25467556696461</v>
      </c>
      <c r="AN74" s="11" cm="1">
        <f t="array" ref="AN74">IF(AN$8=-1,AO74,IF(AN$8=99,AM74,IF(AN$8=0,INDEX($E74:$I74,0,AN$6),(INDEX($E74:$I74,0,AN$8+1)-INDEX($E74:$I74,0,AN$8))/(INDEX($D$5:$H$5,0,AN$8+1)-INDEX($D$5:$H$5,0,AN$8))+AM74)))</f>
        <v>195.25467556696461</v>
      </c>
      <c r="AO74" s="11" cm="1">
        <f t="array" ref="AO74">IF(AO$8=-1,AP74,IF(AO$8=99,AN74,IF(AO$8=0,INDEX($E74:$K74,0,AO$6),(INDEX($E74:$K74,0,AO$8+1)-INDEX($E74:$K74,0,AO$8))/(INDEX($D$5:$J$5,0,AO$8+1)-INDEX($D$5:$J$5,0,AO$8))+AN74)))</f>
        <v>195.25467556696461</v>
      </c>
      <c r="AP74" s="11" cm="1">
        <f t="array" ref="AP74">IF(AP$8=-1,AQ74,IF(AP$8=99,AO74,IF(AP$8=0,INDEX($E74:$K74,0,AP$6),(INDEX($E74:$K74,0,AP$8+1)-INDEX($E74:$K74,0,AP$8))/(INDEX($D$5:$J$5,0,AP$8+1)-INDEX($D$5:$J$5,0,AP$8))+AO74)))</f>
        <v>195.25467556696461</v>
      </c>
      <c r="AQ74" s="11" cm="1">
        <f t="array" ref="AQ74">IF(AQ$8=-1,AR74,IF(AQ$8=99,AP74,IF(AQ$8=0,INDEX($E74:$K74,0,AQ$6),(INDEX($E74:$K74,0,AQ$8+1)-INDEX($E74:$K74,0,AQ$8))/(INDEX($D$5:$J$5,0,AQ$8+1)-INDEX($D$5:$J$5,0,AQ$8))+AP74)))</f>
        <v>195.25467556696461</v>
      </c>
      <c r="AR74" s="11" cm="1">
        <f t="array" ref="AR74">IF(AR$8=-1,AS74,IF(AR$8=99,AQ74,IF(AR$8=0,INDEX($E74:$K74,0,AR$6),(INDEX($E74:$K74,0,AR$8+1)-INDEX($E74:$K74,0,AR$8))/(INDEX($D$5:$J$5,0,AR$8+1)-INDEX($D$5:$J$5,0,AR$8))+AQ74)))</f>
        <v>195.25467556696461</v>
      </c>
      <c r="AS74" s="11" cm="1">
        <f t="array" ref="AS74">IF(AS$8=-1,AT74,IF(AS$8=99,AR74,IF(AS$8=0,INDEX($E74:$K74,0,AS$6),(INDEX($E74:$K74,0,AS$8+1)-INDEX($E74:$K74,0,AS$8))/(INDEX($D$5:$J$5,0,AS$8+1)-INDEX($D$5:$J$5,0,AS$8))+AR74)))</f>
        <v>195.25467556696461</v>
      </c>
      <c r="AT74" s="11" cm="1">
        <f t="array" ref="AT74">IF(AT$8=-1,AU74,IF(AT$8=99,AS74,IF(AT$8=0,INDEX($E74:$K74,0,AT$6),(INDEX($E74:$K74,0,AT$8+1)-INDEX($E74:$K74,0,AT$8))/(INDEX($D$5:$J$5,0,AT$8+1)-INDEX($D$5:$J$5,0,AT$8))+AS74)))</f>
        <v>195.25467556696461</v>
      </c>
      <c r="AU74" s="11" cm="1">
        <f t="array" ref="AU74">IF(AU$8=-1,AV74,IF(AU$8=99,AT74,IF(AU$8=0,INDEX($E74:$K74,0,AU$6),(INDEX($E74:$K74,0,AU$8+1)-INDEX($E74:$K74,0,AU$8))/(INDEX($D$5:$J$5,0,AU$8+1)-INDEX($D$5:$J$5,0,AU$8))+AT74)))</f>
        <v>195.25467556696461</v>
      </c>
      <c r="AV74" s="11" cm="1">
        <f t="array" ref="AV74">IF(AV$8=-1,AW74,IF(AV$8=99,AU74,IF(AV$8=0,INDEX($E74:$K74,0,AV$6),(INDEX($E74:$K74,0,AV$8+1)-INDEX($E74:$K74,0,AV$8))/(INDEX($D$5:$J$5,0,AV$8+1)-INDEX($D$5:$J$5,0,AV$8))+AU74)))</f>
        <v>195.25467556696461</v>
      </c>
      <c r="AW74" s="11" cm="1">
        <f t="array" ref="AW74">IF(AW$8=-1,AX74,IF(AW$8=99,AV74,IF(AW$8=0,INDEX($E74:$K74,0,AW$6),(INDEX($E74:$K74,0,AW$8+1)-INDEX($E74:$K74,0,AW$8))/(INDEX($D$5:$J$5,0,AW$8+1)-INDEX($D$5:$J$5,0,AW$8))+AV74)))</f>
        <v>195.25467556696461</v>
      </c>
      <c r="AX74" s="11" cm="1">
        <f t="array" ref="AX74">IF(AX$8=-1,AY74,IF(AX$8=99,AW74,IF(AX$8=0,INDEX($E74:$K74,0,AX$6),(INDEX($E74:$K74,0,AX$8+1)-INDEX($E74:$K74,0,AX$8))/(INDEX($D$5:$J$5,0,AX$8+1)-INDEX($D$5:$J$5,0,AX$8))+AW74)))</f>
        <v>195.25467556696461</v>
      </c>
      <c r="AY74" s="11" cm="1">
        <f t="array" ref="AY74">IF(AY$8=-1,AZ74,IF(AY$8=99,AX74,IF(AY$8=0,INDEX($E74:$K74,0,AY$6),(INDEX($E74:$K74,0,AY$8+1)-INDEX($E74:$K74,0,AY$8))/(INDEX($D$5:$J$5,0,AY$8+1)-INDEX($D$5:$J$5,0,AY$8))+AX74)))</f>
        <v>195.25467556696461</v>
      </c>
      <c r="AZ74" s="11" cm="1">
        <f t="array" ref="AZ74">IF(AZ$8=-1,BA74,IF(AZ$8=99,AY74,IF(AZ$8=0,INDEX($E74:$K74,0,AZ$6),(INDEX($E74:$K74,0,AZ$8+1)-INDEX($E74:$K74,0,AZ$8))/(INDEX($D$5:$J$5,0,AZ$8+1)-INDEX($D$5:$J$5,0,AZ$8))+AY74)))</f>
        <v>195.25467556696461</v>
      </c>
      <c r="BA74" s="11" cm="1">
        <f t="array" ref="BA74">IF(BA$8=-1,BB74,IF(BA$8=99,AZ74,IF(BA$8=0,INDEX($E74:$K74,0,BA$6),(INDEX($E74:$K74,0,BA$8+1)-INDEX($E74:$K74,0,BA$8))/(INDEX($D$5:$J$5,0,BA$8+1)-INDEX($D$5:$J$5,0,BA$8))+AZ74)))</f>
        <v>195.25467556696461</v>
      </c>
      <c r="BB74" s="11" cm="1">
        <f t="array" ref="BB74">IF(BB$8=-1,BC74,IF(BB$8=99,BA74,IF(BB$8=0,INDEX($E74:$K74,0,BB$6),(INDEX($E74:$K74,0,BB$8+1)-INDEX($E74:$K74,0,BB$8))/(INDEX($D$5:$J$5,0,BB$8+1)-INDEX($D$5:$J$5,0,BB$8))+BA74)))</f>
        <v>195.25467556696461</v>
      </c>
      <c r="BC74" s="11" cm="1">
        <f t="array" ref="BC74">IF(BC$8=-1,BD74,IF(BC$8=99,BB74,IF(BC$8=0,INDEX($E74:$K74,0,BC$6),(INDEX($E74:$K74,0,BC$8+1)-INDEX($E74:$K74,0,BC$8))/(INDEX($D$5:$J$5,0,BC$8+1)-INDEX($D$5:$J$5,0,BC$8))+BB74)))</f>
        <v>195.25467556696461</v>
      </c>
      <c r="BD74" s="11" cm="1">
        <f t="array" ref="BD74">IF(BD$8=-1,BE74,IF(BD$8=99,BC74,IF(BD$8=0,INDEX($E74:$K74,0,BD$6),(INDEX($E74:$K74,0,BD$8+1)-INDEX($E74:$K74,0,BD$8))/(INDEX($D$5:$J$5,0,BD$8+1)-INDEX($D$5:$J$5,0,BD$8))+BC74)))</f>
        <v>195.25467556696461</v>
      </c>
      <c r="BE74" s="11" cm="1">
        <f t="array" ref="BE74">IF(BE$8=-1,BF74,IF(BE$8=99,BD74,IF(BE$8=0,INDEX($E74:$K74,0,BE$6),(INDEX($E74:$K74,0,BE$8+1)-INDEX($E74:$K74,0,BE$8))/(INDEX($D$5:$J$5,0,BE$8+1)-INDEX($D$5:$J$5,0,BE$8))+BD74)))</f>
        <v>195.25467556696461</v>
      </c>
      <c r="BF74" s="11" cm="1">
        <f t="array" ref="BF74">IF(BF$8=-1,BG74,IF(BF$8=99,BE74,IF(BF$8=0,INDEX($E74:$K74,0,BF$6),(INDEX($E74:$K74,0,BF$8+1)-INDEX($E74:$K74,0,BF$8))/(INDEX($D$5:$J$5,0,BF$8+1)-INDEX($D$5:$J$5,0,BF$8))+BE74)))</f>
        <v>195.25467556696461</v>
      </c>
      <c r="BG74" s="11" cm="1">
        <f t="array" ref="BG74">IF(BG$8=-1,BH74,IF(BG$8=99,BF74,IF(BG$8=0,INDEX($E74:$K74,0,BG$6),(INDEX($E74:$K74,0,BG$8+1)-INDEX($E74:$K74,0,BG$8))/(INDEX($D$5:$J$5,0,BG$8+1)-INDEX($D$5:$J$5,0,BG$8))+BF74)))</f>
        <v>195.25467556696461</v>
      </c>
      <c r="BH74" s="11" cm="1">
        <f t="array" ref="BH74">IF(BH$8=-1,BI74,IF(BH$8=99,BG74,IF(BH$8=0,INDEX($E74:$K74,0,BH$6),(INDEX($E74:$K74,0,BH$8+1)-INDEX($E74:$K74,0,BH$8))/(INDEX($D$5:$J$5,0,BH$8+1)-INDEX($D$5:$J$5,0,BH$8))+BG74)))</f>
        <v>195.25467556696461</v>
      </c>
      <c r="BI74" s="11" cm="1">
        <f t="array" ref="BI74">IF(BI$8=-1,BJ74,IF(BI$8=99,BH74,IF(BI$8=0,INDEX($E74:$K74,0,BI$6),(INDEX($E74:$K74,0,BI$8+1)-INDEX($E74:$K74,0,BI$8))/(INDEX($D$5:$J$5,0,BI$8+1)-INDEX($D$5:$J$5,0,BI$8))+BH74)))</f>
        <v>195.25467556696461</v>
      </c>
      <c r="BJ74" s="11" cm="1">
        <f t="array" ref="BJ74">IF(BJ$8=-1,BK74,IF(BJ$8=99,BI74,IF(BJ$8=0,INDEX($E74:$K74,0,BJ$6),(INDEX($E74:$K74,0,BJ$8+1)-INDEX($E74:$K74,0,BJ$8))/(INDEX($D$5:$J$5,0,BJ$8+1)-INDEX($D$5:$J$5,0,BJ$8))+BI74)))</f>
        <v>195.25467556696461</v>
      </c>
      <c r="BK74" s="11" cm="1">
        <f t="array" ref="BK74">IF(BK$8=-1,BL74,IF(BK$8=99,BJ74,IF(BK$8=0,INDEX($E74:$K74,0,BK$6),(INDEX($E74:$K74,0,BK$8+1)-INDEX($E74:$K74,0,BK$8))/(INDEX($D$5:$J$5,0,BK$8+1)-INDEX($D$5:$J$5,0,BK$8))+BJ74)))</f>
        <v>195.25467556696461</v>
      </c>
      <c r="BL74" s="11" cm="1">
        <f t="array" ref="BL74">IF(BL$8=-1,BM74,IF(BL$8=99,BK74,IF(BL$8=0,INDEX($E74:$K74,0,BL$6),(INDEX($E74:$K74,0,BL$8+1)-INDEX($E74:$K74,0,BL$8))/(INDEX($D$5:$J$5,0,BL$8+1)-INDEX($D$5:$J$5,0,BL$8))+BK74)))</f>
        <v>195.25467556696461</v>
      </c>
      <c r="BM74" s="11" cm="1">
        <f t="array" ref="BM74">IF(BM$8=-1,BN74,IF(BM$8=99,BL74,IF(BM$8=0,INDEX($E74:$K74,0,BM$6),(INDEX($E74:$K74,0,BM$8+1)-INDEX($E74:$K74,0,BM$8))/(INDEX($D$5:$J$5,0,BM$8+1)-INDEX($D$5:$J$5,0,BM$8))+BL74)))</f>
        <v>195.25467556696461</v>
      </c>
      <c r="BN74" s="11" cm="1">
        <f t="array" ref="BN74">IF(BN$8=-1,BO74,IF(BN$8=99,BM74,IF(BN$8=0,INDEX($E74:$K74,0,BN$6),(INDEX($E74:$K74,0,BN$8+1)-INDEX($E74:$K74,0,BN$8))/(INDEX($D$5:$J$5,0,BN$8+1)-INDEX($D$5:$J$5,0,BN$8))+BM74)))</f>
        <v>195.25467556696461</v>
      </c>
      <c r="BO74" s="11" cm="1">
        <f t="array" ref="BO74">IF(BO$8=-1,BP74,IF(BO$8=99,BN74,IF(BO$8=0,INDEX($E74:$K74,0,BO$6),(INDEX($E74:$K74,0,BO$8+1)-INDEX($E74:$K74,0,BO$8))/(INDEX($D$5:$J$5,0,BO$8+1)-INDEX($D$5:$J$5,0,BO$8))+BN74)))</f>
        <v>195.25467556696461</v>
      </c>
      <c r="BP74" s="11" cm="1">
        <f t="array" ref="BP74">IF(BP$8=-1,BQ74,IF(BP$8=99,BO74,IF(BP$8=0,INDEX($E74:$K74,0,BP$6),(INDEX($E74:$K74,0,BP$8+1)-INDEX($E74:$K74,0,BP$8))/(INDEX($D$5:$J$5,0,BP$8+1)-INDEX($D$5:$J$5,0,BP$8))+BO74)))</f>
        <v>195.25467556696461</v>
      </c>
      <c r="BQ74" s="11" cm="1">
        <f t="array" ref="BQ74">IF(BQ$8=-1,BR74,IF(BQ$8=99,BP74,IF(BQ$8=0,INDEX($E74:$K74,0,BQ$6),(INDEX($E74:$K74,0,BQ$8+1)-INDEX($E74:$K74,0,BQ$8))/(INDEX($D$5:$J$5,0,BQ$8+1)-INDEX($D$5:$J$5,0,BQ$8))+BP74)))</f>
        <v>195.25467556696461</v>
      </c>
      <c r="BR74" s="11" cm="1">
        <f t="array" ref="BR74">IF(BR$8=-1,BS74,IF(BR$8=99,BQ74,IF(BR$8=0,INDEX($E74:$K74,0,BR$6),(INDEX($E74:$K74,0,BR$8+1)-INDEX($E74:$K74,0,BR$8))/(INDEX($D$5:$J$5,0,BR$8+1)-INDEX($D$5:$J$5,0,BR$8))+BQ74)))</f>
        <v>195.25467556696461</v>
      </c>
    </row>
    <row r="75" spans="1:70" ht="15">
      <c r="A75" t="s">
        <v>16</v>
      </c>
      <c r="B75" s="5" t="s">
        <v>230</v>
      </c>
      <c r="C75" s="75" t="str">
        <f t="shared" si="136"/>
        <v>Commercial - Water Heating</v>
      </c>
      <c r="D75" s="75" t="s">
        <v>66</v>
      </c>
      <c r="E75" s="84">
        <f t="shared" si="140"/>
        <v>72.90647365811796</v>
      </c>
      <c r="F75" s="92">
        <f t="shared" si="141"/>
        <v>103.37272938194623</v>
      </c>
      <c r="G75" s="92">
        <f t="shared" si="137"/>
        <v>103.37272938194623</v>
      </c>
      <c r="H75" s="92">
        <f t="shared" si="142"/>
        <v>103.37272938194623</v>
      </c>
      <c r="I75" s="134">
        <f t="shared" si="137"/>
        <v>103.37272938194623</v>
      </c>
      <c r="J75" s="134">
        <f t="shared" si="138"/>
        <v>103.37272938194623</v>
      </c>
      <c r="K75" s="134">
        <f t="shared" si="139"/>
        <v>103.37272938194623</v>
      </c>
      <c r="L75" s="11" cm="1">
        <f t="array" ref="L75">IF(L$8=-1,M75,IF(L$8=99,I75,IF(L$8=0,INDEX($E75:$I75,0,L$6),(INDEX($E75:$I75,0,L$8+1)-INDEX($E75:$I75,0,L$8))/(INDEX($D$5:$H$5,0,L$8+1)-INDEX($D$5:$H$5,0,L$8))+I75)))</f>
        <v>72.90647365811796</v>
      </c>
      <c r="M75" s="11" cm="1">
        <f t="array" ref="M75">IF(M$8=-1,N75,IF(M$8=99,L75,IF(M$8=0,INDEX($E75:$I75,0,M$6),(INDEX($E75:$I75,0,M$8+1)-INDEX($E75:$I75,0,M$8))/(INDEX($D$5:$H$5,0,M$8+1)-INDEX($D$5:$H$5,0,M$8))+L75)))</f>
        <v>78.99972480288362</v>
      </c>
      <c r="N75" s="11" cm="1">
        <f t="array" ref="N75">IF(N$8=-1,O75,IF(N$8=99,M75,IF(N$8=0,INDEX($E75:$I75,0,N$6),(INDEX($E75:$I75,0,N$8+1)-INDEX($E75:$I75,0,N$8))/(INDEX($D$5:$H$5,0,N$8+1)-INDEX($D$5:$H$5,0,N$8))+M75)))</f>
        <v>85.092975947649279</v>
      </c>
      <c r="O75" s="11" cm="1">
        <f t="array" ref="O75">IF(O$8=-1,P75,IF(O$8=99,N75,IF(O$8=0,INDEX($E75:$I75,0,O$6),(INDEX($E75:$I75,0,O$8+1)-INDEX($E75:$I75,0,O$8))/(INDEX($D$5:$H$5,0,O$8+1)-INDEX($D$5:$H$5,0,O$8))+N75)))</f>
        <v>91.186227092414939</v>
      </c>
      <c r="P75" s="11" cm="1">
        <f t="array" ref="P75">IF(P$8=-1,Q75,IF(P$8=99,O75,IF(P$8=0,INDEX($E75:$I75,0,P$6),(INDEX($E75:$I75,0,P$8+1)-INDEX($E75:$I75,0,P$8))/(INDEX($D$5:$H$5,0,P$8+1)-INDEX($D$5:$H$5,0,P$8))+O75)))</f>
        <v>97.279478237180598</v>
      </c>
      <c r="Q75" s="11" cm="1">
        <f t="array" ref="Q75">IF(Q$8=-1,R75,IF(Q$8=99,P75,IF(Q$8=0,INDEX($E75:$I75,0,Q$6),(INDEX($E75:$I75,0,Q$8+1)-INDEX($E75:$I75,0,Q$8))/(INDEX($D$5:$H$5,0,Q$8+1)-INDEX($D$5:$H$5,0,Q$8))+P75)))</f>
        <v>103.37272938194623</v>
      </c>
      <c r="R75" s="11" cm="1">
        <f t="array" ref="R75">IF(R$8=-1,S75,IF(R$8=99,Q75,IF(R$8=0,INDEX($E75:$I75,0,R$6),(INDEX($E75:$I75,0,R$8+1)-INDEX($E75:$I75,0,R$8))/(INDEX($D$5:$H$5,0,R$8+1)-INDEX($D$5:$H$5,0,R$8))+Q75)))</f>
        <v>103.37272938194623</v>
      </c>
      <c r="S75" s="11" cm="1">
        <f t="array" ref="S75">IF(S$8=-1,T75,IF(S$8=99,R75,IF(S$8=0,INDEX($E75:$I75,0,S$6),(INDEX($E75:$I75,0,S$8+1)-INDEX($E75:$I75,0,S$8))/(INDEX($D$5:$H$5,0,S$8+1)-INDEX($D$5:$H$5,0,S$8))+R75)))</f>
        <v>103.37272938194623</v>
      </c>
      <c r="T75" s="11" cm="1">
        <f t="array" ref="T75">IF(T$8=-1,U75,IF(T$8=99,S75,IF(T$8=0,INDEX($E75:$I75,0,T$6),(INDEX($E75:$I75,0,T$8+1)-INDEX($E75:$I75,0,T$8))/(INDEX($D$5:$H$5,0,T$8+1)-INDEX($D$5:$H$5,0,T$8))+S75)))</f>
        <v>103.37272938194623</v>
      </c>
      <c r="U75" s="11" cm="1">
        <f t="array" ref="U75">IF(U$8=-1,V75,IF(U$8=99,T75,IF(U$8=0,INDEX($E75:$I75,0,U$6),(INDEX($E75:$I75,0,U$8+1)-INDEX($E75:$I75,0,U$8))/(INDEX($D$5:$H$5,0,U$8+1)-INDEX($D$5:$H$5,0,U$8))+T75)))</f>
        <v>103.37272938194623</v>
      </c>
      <c r="V75" s="11" cm="1">
        <f t="array" ref="V75">IF(V$8=-1,W75,IF(V$8=99,U75,IF(V$8=0,INDEX($E75:$I75,0,V$6),(INDEX($E75:$I75,0,V$8+1)-INDEX($E75:$I75,0,V$8))/(INDEX($D$5:$H$5,0,V$8+1)-INDEX($D$5:$H$5,0,V$8))+U75)))</f>
        <v>103.37272938194623</v>
      </c>
      <c r="W75" s="11" cm="1">
        <f t="array" ref="W75">IF(W$8=-1,X75,IF(W$8=99,V75,IF(W$8=0,INDEX($E75:$I75,0,W$6),(INDEX($E75:$I75,0,W$8+1)-INDEX($E75:$I75,0,W$8))/(INDEX($D$5:$H$5,0,W$8+1)-INDEX($D$5:$H$5,0,W$8))+V75)))</f>
        <v>103.37272938194623</v>
      </c>
      <c r="X75" s="11" cm="1">
        <f t="array" ref="X75">IF(X$8=-1,Y75,IF(X$8=99,W75,IF(X$8=0,INDEX($E75:$I75,0,X$6),(INDEX($E75:$I75,0,X$8+1)-INDEX($E75:$I75,0,X$8))/(INDEX($D$5:$H$5,0,X$8+1)-INDEX($D$5:$H$5,0,X$8))+W75)))</f>
        <v>103.37272938194623</v>
      </c>
      <c r="Y75" s="11" cm="1">
        <f t="array" ref="Y75">IF(Y$8=-1,Z75,IF(Y$8=99,X75,IF(Y$8=0,INDEX($E75:$I75,0,Y$6),(INDEX($E75:$I75,0,Y$8+1)-INDEX($E75:$I75,0,Y$8))/(INDEX($D$5:$H$5,0,Y$8+1)-INDEX($D$5:$H$5,0,Y$8))+X75)))</f>
        <v>103.37272938194623</v>
      </c>
      <c r="Z75" s="11" cm="1">
        <f t="array" ref="Z75">IF(Z$8=-1,AA75,IF(Z$8=99,Y75,IF(Z$8=0,INDEX($E75:$I75,0,Z$6),(INDEX($E75:$I75,0,Z$8+1)-INDEX($E75:$I75,0,Z$8))/(INDEX($D$5:$H$5,0,Z$8+1)-INDEX($D$5:$H$5,0,Z$8))+Y75)))</f>
        <v>103.37272938194623</v>
      </c>
      <c r="AA75" s="11" cm="1">
        <f t="array" ref="AA75">IF(AA$8=-1,AB75,IF(AA$8=99,Z75,IF(AA$8=0,INDEX($E75:$I75,0,AA$6),(INDEX($E75:$I75,0,AA$8+1)-INDEX($E75:$I75,0,AA$8))/(INDEX($D$5:$H$5,0,AA$8+1)-INDEX($D$5:$H$5,0,AA$8))+Z75)))</f>
        <v>103.37272938194623</v>
      </c>
      <c r="AB75" s="11" cm="1">
        <f t="array" ref="AB75">IF(AB$8=-1,AC75,IF(AB$8=99,AA75,IF(AB$8=0,INDEX($E75:$I75,0,AB$6),(INDEX($E75:$I75,0,AB$8+1)-INDEX($E75:$I75,0,AB$8))/(INDEX($D$5:$H$5,0,AB$8+1)-INDEX($D$5:$H$5,0,AB$8))+AA75)))</f>
        <v>103.37272938194623</v>
      </c>
      <c r="AC75" s="11" cm="1">
        <f t="array" ref="AC75">IF(AC$8=-1,AD75,IF(AC$8=99,AB75,IF(AC$8=0,INDEX($E75:$I75,0,AC$6),(INDEX($E75:$I75,0,AC$8+1)-INDEX($E75:$I75,0,AC$8))/(INDEX($D$5:$H$5,0,AC$8+1)-INDEX($D$5:$H$5,0,AC$8))+AB75)))</f>
        <v>103.37272938194623</v>
      </c>
      <c r="AD75" s="11" cm="1">
        <f t="array" ref="AD75">IF(AD$8=-1,AE75,IF(AD$8=99,AC75,IF(AD$8=0,INDEX($E75:$I75,0,AD$6),(INDEX($E75:$I75,0,AD$8+1)-INDEX($E75:$I75,0,AD$8))/(INDEX($D$5:$H$5,0,AD$8+1)-INDEX($D$5:$H$5,0,AD$8))+AC75)))</f>
        <v>103.37272938194623</v>
      </c>
      <c r="AE75" s="11" cm="1">
        <f t="array" ref="AE75">IF(AE$8=-1,AF75,IF(AE$8=99,AD75,IF(AE$8=0,INDEX($E75:$I75,0,AE$6),(INDEX($E75:$I75,0,AE$8+1)-INDEX($E75:$I75,0,AE$8))/(INDEX($D$5:$H$5,0,AE$8+1)-INDEX($D$5:$H$5,0,AE$8))+AD75)))</f>
        <v>103.37272938194623</v>
      </c>
      <c r="AF75" s="11" cm="1">
        <f t="array" ref="AF75">IF(AF$8=-1,AG75,IF(AF$8=99,AE75,IF(AF$8=0,INDEX($E75:$I75,0,AF$6),(INDEX($E75:$I75,0,AF$8+1)-INDEX($E75:$I75,0,AF$8))/(INDEX($D$5:$H$5,0,AF$8+1)-INDEX($D$5:$H$5,0,AF$8))+AE75)))</f>
        <v>103.37272938194623</v>
      </c>
      <c r="AG75" s="11" cm="1">
        <f t="array" ref="AG75">IF(AG$8=-1,AH75,IF(AG$8=99,AF75,IF(AG$8=0,INDEX($E75:$I75,0,AG$6),(INDEX($E75:$I75,0,AG$8+1)-INDEX($E75:$I75,0,AG$8))/(INDEX($D$5:$H$5,0,AG$8+1)-INDEX($D$5:$H$5,0,AG$8))+AF75)))</f>
        <v>103.37272938194623</v>
      </c>
      <c r="AH75" s="11" cm="1">
        <f t="array" ref="AH75">IF(AH$8=-1,AI75,IF(AH$8=99,AG75,IF(AH$8=0,INDEX($E75:$I75,0,AH$6),(INDEX($E75:$I75,0,AH$8+1)-INDEX($E75:$I75,0,AH$8))/(INDEX($D$5:$H$5,0,AH$8+1)-INDEX($D$5:$H$5,0,AH$8))+AG75)))</f>
        <v>103.37272938194623</v>
      </c>
      <c r="AI75" s="11" cm="1">
        <f t="array" ref="AI75">IF(AI$8=-1,AJ75,IF(AI$8=99,AH75,IF(AI$8=0,INDEX($E75:$I75,0,AI$6),(INDEX($E75:$I75,0,AI$8+1)-INDEX($E75:$I75,0,AI$8))/(INDEX($D$5:$H$5,0,AI$8+1)-INDEX($D$5:$H$5,0,AI$8))+AH75)))</f>
        <v>103.37272938194623</v>
      </c>
      <c r="AJ75" s="11" cm="1">
        <f t="array" ref="AJ75">IF(AJ$8=-1,AK75,IF(AJ$8=99,AI75,IF(AJ$8=0,INDEX($E75:$I75,0,AJ$6),(INDEX($E75:$I75,0,AJ$8+1)-INDEX($E75:$I75,0,AJ$8))/(INDEX($D$5:$H$5,0,AJ$8+1)-INDEX($D$5:$H$5,0,AJ$8))+AI75)))</f>
        <v>103.37272938194623</v>
      </c>
      <c r="AK75" s="11" cm="1">
        <f t="array" ref="AK75">IF(AK$8=-1,AL75,IF(AK$8=99,AJ75,IF(AK$8=0,INDEX($E75:$I75,0,AK$6),(INDEX($E75:$I75,0,AK$8+1)-INDEX($E75:$I75,0,AK$8))/(INDEX($D$5:$H$5,0,AK$8+1)-INDEX($D$5:$H$5,0,AK$8))+AJ75)))</f>
        <v>103.37272938194623</v>
      </c>
      <c r="AL75" s="11" cm="1">
        <f t="array" ref="AL75">IF(AL$8=-1,AM75,IF(AL$8=99,AK75,IF(AL$8=0,INDEX($E75:$I75,0,AL$6),(INDEX($E75:$I75,0,AL$8+1)-INDEX($E75:$I75,0,AL$8))/(INDEX($D$5:$H$5,0,AL$8+1)-INDEX($D$5:$H$5,0,AL$8))+AK75)))</f>
        <v>103.37272938194623</v>
      </c>
      <c r="AM75" s="11" cm="1">
        <f t="array" ref="AM75">IF(AM$8=-1,AN75,IF(AM$8=99,AL75,IF(AM$8=0,INDEX($E75:$I75,0,AM$6),(INDEX($E75:$I75,0,AM$8+1)-INDEX($E75:$I75,0,AM$8))/(INDEX($D$5:$H$5,0,AM$8+1)-INDEX($D$5:$H$5,0,AM$8))+AL75)))</f>
        <v>103.37272938194623</v>
      </c>
      <c r="AN75" s="11" cm="1">
        <f t="array" ref="AN75">IF(AN$8=-1,AO75,IF(AN$8=99,AM75,IF(AN$8=0,INDEX($E75:$I75,0,AN$6),(INDEX($E75:$I75,0,AN$8+1)-INDEX($E75:$I75,0,AN$8))/(INDEX($D$5:$H$5,0,AN$8+1)-INDEX($D$5:$H$5,0,AN$8))+AM75)))</f>
        <v>103.37272938194623</v>
      </c>
      <c r="AO75" s="11" cm="1">
        <f t="array" ref="AO75">IF(AO$8=-1,AP75,IF(AO$8=99,AN75,IF(AO$8=0,INDEX($E75:$K75,0,AO$6),(INDEX($E75:$K75,0,AO$8+1)-INDEX($E75:$K75,0,AO$8))/(INDEX($D$5:$J$5,0,AO$8+1)-INDEX($D$5:$J$5,0,AO$8))+AN75)))</f>
        <v>103.37272938194623</v>
      </c>
      <c r="AP75" s="11" cm="1">
        <f t="array" ref="AP75">IF(AP$8=-1,AQ75,IF(AP$8=99,AO75,IF(AP$8=0,INDEX($E75:$K75,0,AP$6),(INDEX($E75:$K75,0,AP$8+1)-INDEX($E75:$K75,0,AP$8))/(INDEX($D$5:$J$5,0,AP$8+1)-INDEX($D$5:$J$5,0,AP$8))+AO75)))</f>
        <v>103.37272938194623</v>
      </c>
      <c r="AQ75" s="11" cm="1">
        <f t="array" ref="AQ75">IF(AQ$8=-1,AR75,IF(AQ$8=99,AP75,IF(AQ$8=0,INDEX($E75:$K75,0,AQ$6),(INDEX($E75:$K75,0,AQ$8+1)-INDEX($E75:$K75,0,AQ$8))/(INDEX($D$5:$J$5,0,AQ$8+1)-INDEX($D$5:$J$5,0,AQ$8))+AP75)))</f>
        <v>103.37272938194623</v>
      </c>
      <c r="AR75" s="11" cm="1">
        <f t="array" ref="AR75">IF(AR$8=-1,AS75,IF(AR$8=99,AQ75,IF(AR$8=0,INDEX($E75:$K75,0,AR$6),(INDEX($E75:$K75,0,AR$8+1)-INDEX($E75:$K75,0,AR$8))/(INDEX($D$5:$J$5,0,AR$8+1)-INDEX($D$5:$J$5,0,AR$8))+AQ75)))</f>
        <v>103.37272938194623</v>
      </c>
      <c r="AS75" s="11" cm="1">
        <f t="array" ref="AS75">IF(AS$8=-1,AT75,IF(AS$8=99,AR75,IF(AS$8=0,INDEX($E75:$K75,0,AS$6),(INDEX($E75:$K75,0,AS$8+1)-INDEX($E75:$K75,0,AS$8))/(INDEX($D$5:$J$5,0,AS$8+1)-INDEX($D$5:$J$5,0,AS$8))+AR75)))</f>
        <v>103.37272938194623</v>
      </c>
      <c r="AT75" s="11" cm="1">
        <f t="array" ref="AT75">IF(AT$8=-1,AU75,IF(AT$8=99,AS75,IF(AT$8=0,INDEX($E75:$K75,0,AT$6),(INDEX($E75:$K75,0,AT$8+1)-INDEX($E75:$K75,0,AT$8))/(INDEX($D$5:$J$5,0,AT$8+1)-INDEX($D$5:$J$5,0,AT$8))+AS75)))</f>
        <v>103.37272938194623</v>
      </c>
      <c r="AU75" s="11" cm="1">
        <f t="array" ref="AU75">IF(AU$8=-1,AV75,IF(AU$8=99,AT75,IF(AU$8=0,INDEX($E75:$K75,0,AU$6),(INDEX($E75:$K75,0,AU$8+1)-INDEX($E75:$K75,0,AU$8))/(INDEX($D$5:$J$5,0,AU$8+1)-INDEX($D$5:$J$5,0,AU$8))+AT75)))</f>
        <v>103.37272938194623</v>
      </c>
      <c r="AV75" s="11" cm="1">
        <f t="array" ref="AV75">IF(AV$8=-1,AW75,IF(AV$8=99,AU75,IF(AV$8=0,INDEX($E75:$K75,0,AV$6),(INDEX($E75:$K75,0,AV$8+1)-INDEX($E75:$K75,0,AV$8))/(INDEX($D$5:$J$5,0,AV$8+1)-INDEX($D$5:$J$5,0,AV$8))+AU75)))</f>
        <v>103.37272938194623</v>
      </c>
      <c r="AW75" s="11" cm="1">
        <f t="array" ref="AW75">IF(AW$8=-1,AX75,IF(AW$8=99,AV75,IF(AW$8=0,INDEX($E75:$K75,0,AW$6),(INDEX($E75:$K75,0,AW$8+1)-INDEX($E75:$K75,0,AW$8))/(INDEX($D$5:$J$5,0,AW$8+1)-INDEX($D$5:$J$5,0,AW$8))+AV75)))</f>
        <v>103.37272938194623</v>
      </c>
      <c r="AX75" s="11" cm="1">
        <f t="array" ref="AX75">IF(AX$8=-1,AY75,IF(AX$8=99,AW75,IF(AX$8=0,INDEX($E75:$K75,0,AX$6),(INDEX($E75:$K75,0,AX$8+1)-INDEX($E75:$K75,0,AX$8))/(INDEX($D$5:$J$5,0,AX$8+1)-INDEX($D$5:$J$5,0,AX$8))+AW75)))</f>
        <v>103.37272938194623</v>
      </c>
      <c r="AY75" s="11" cm="1">
        <f t="array" ref="AY75">IF(AY$8=-1,AZ75,IF(AY$8=99,AX75,IF(AY$8=0,INDEX($E75:$K75,0,AY$6),(INDEX($E75:$K75,0,AY$8+1)-INDEX($E75:$K75,0,AY$8))/(INDEX($D$5:$J$5,0,AY$8+1)-INDEX($D$5:$J$5,0,AY$8))+AX75)))</f>
        <v>103.37272938194623</v>
      </c>
      <c r="AZ75" s="11" cm="1">
        <f t="array" ref="AZ75">IF(AZ$8=-1,BA75,IF(AZ$8=99,AY75,IF(AZ$8=0,INDEX($E75:$K75,0,AZ$6),(INDEX($E75:$K75,0,AZ$8+1)-INDEX($E75:$K75,0,AZ$8))/(INDEX($D$5:$J$5,0,AZ$8+1)-INDEX($D$5:$J$5,0,AZ$8))+AY75)))</f>
        <v>103.37272938194623</v>
      </c>
      <c r="BA75" s="11" cm="1">
        <f t="array" ref="BA75">IF(BA$8=-1,BB75,IF(BA$8=99,AZ75,IF(BA$8=0,INDEX($E75:$K75,0,BA$6),(INDEX($E75:$K75,0,BA$8+1)-INDEX($E75:$K75,0,BA$8))/(INDEX($D$5:$J$5,0,BA$8+1)-INDEX($D$5:$J$5,0,BA$8))+AZ75)))</f>
        <v>103.37272938194623</v>
      </c>
      <c r="BB75" s="11" cm="1">
        <f t="array" ref="BB75">IF(BB$8=-1,BC75,IF(BB$8=99,BA75,IF(BB$8=0,INDEX($E75:$K75,0,BB$6),(INDEX($E75:$K75,0,BB$8+1)-INDEX($E75:$K75,0,BB$8))/(INDEX($D$5:$J$5,0,BB$8+1)-INDEX($D$5:$J$5,0,BB$8))+BA75)))</f>
        <v>103.37272938194623</v>
      </c>
      <c r="BC75" s="11" cm="1">
        <f t="array" ref="BC75">IF(BC$8=-1,BD75,IF(BC$8=99,BB75,IF(BC$8=0,INDEX($E75:$K75,0,BC$6),(INDEX($E75:$K75,0,BC$8+1)-INDEX($E75:$K75,0,BC$8))/(INDEX($D$5:$J$5,0,BC$8+1)-INDEX($D$5:$J$5,0,BC$8))+BB75)))</f>
        <v>103.37272938194623</v>
      </c>
      <c r="BD75" s="11" cm="1">
        <f t="array" ref="BD75">IF(BD$8=-1,BE75,IF(BD$8=99,BC75,IF(BD$8=0,INDEX($E75:$K75,0,BD$6),(INDEX($E75:$K75,0,BD$8+1)-INDEX($E75:$K75,0,BD$8))/(INDEX($D$5:$J$5,0,BD$8+1)-INDEX($D$5:$J$5,0,BD$8))+BC75)))</f>
        <v>103.37272938194623</v>
      </c>
      <c r="BE75" s="11" cm="1">
        <f t="array" ref="BE75">IF(BE$8=-1,BF75,IF(BE$8=99,BD75,IF(BE$8=0,INDEX($E75:$K75,0,BE$6),(INDEX($E75:$K75,0,BE$8+1)-INDEX($E75:$K75,0,BE$8))/(INDEX($D$5:$J$5,0,BE$8+1)-INDEX($D$5:$J$5,0,BE$8))+BD75)))</f>
        <v>103.37272938194623</v>
      </c>
      <c r="BF75" s="11" cm="1">
        <f t="array" ref="BF75">IF(BF$8=-1,BG75,IF(BF$8=99,BE75,IF(BF$8=0,INDEX($E75:$K75,0,BF$6),(INDEX($E75:$K75,0,BF$8+1)-INDEX($E75:$K75,0,BF$8))/(INDEX($D$5:$J$5,0,BF$8+1)-INDEX($D$5:$J$5,0,BF$8))+BE75)))</f>
        <v>103.37272938194623</v>
      </c>
      <c r="BG75" s="11" cm="1">
        <f t="array" ref="BG75">IF(BG$8=-1,BH75,IF(BG$8=99,BF75,IF(BG$8=0,INDEX($E75:$K75,0,BG$6),(INDEX($E75:$K75,0,BG$8+1)-INDEX($E75:$K75,0,BG$8))/(INDEX($D$5:$J$5,0,BG$8+1)-INDEX($D$5:$J$5,0,BG$8))+BF75)))</f>
        <v>103.37272938194623</v>
      </c>
      <c r="BH75" s="11" cm="1">
        <f t="array" ref="BH75">IF(BH$8=-1,BI75,IF(BH$8=99,BG75,IF(BH$8=0,INDEX($E75:$K75,0,BH$6),(INDEX($E75:$K75,0,BH$8+1)-INDEX($E75:$K75,0,BH$8))/(INDEX($D$5:$J$5,0,BH$8+1)-INDEX($D$5:$J$5,0,BH$8))+BG75)))</f>
        <v>103.37272938194623</v>
      </c>
      <c r="BI75" s="11" cm="1">
        <f t="array" ref="BI75">IF(BI$8=-1,BJ75,IF(BI$8=99,BH75,IF(BI$8=0,INDEX($E75:$K75,0,BI$6),(INDEX($E75:$K75,0,BI$8+1)-INDEX($E75:$K75,0,BI$8))/(INDEX($D$5:$J$5,0,BI$8+1)-INDEX($D$5:$J$5,0,BI$8))+BH75)))</f>
        <v>103.37272938194623</v>
      </c>
      <c r="BJ75" s="11" cm="1">
        <f t="array" ref="BJ75">IF(BJ$8=-1,BK75,IF(BJ$8=99,BI75,IF(BJ$8=0,INDEX($E75:$K75,0,BJ$6),(INDEX($E75:$K75,0,BJ$8+1)-INDEX($E75:$K75,0,BJ$8))/(INDEX($D$5:$J$5,0,BJ$8+1)-INDEX($D$5:$J$5,0,BJ$8))+BI75)))</f>
        <v>103.37272938194623</v>
      </c>
      <c r="BK75" s="11" cm="1">
        <f t="array" ref="BK75">IF(BK$8=-1,BL75,IF(BK$8=99,BJ75,IF(BK$8=0,INDEX($E75:$K75,0,BK$6),(INDEX($E75:$K75,0,BK$8+1)-INDEX($E75:$K75,0,BK$8))/(INDEX($D$5:$J$5,0,BK$8+1)-INDEX($D$5:$J$5,0,BK$8))+BJ75)))</f>
        <v>103.37272938194623</v>
      </c>
      <c r="BL75" s="11" cm="1">
        <f t="array" ref="BL75">IF(BL$8=-1,BM75,IF(BL$8=99,BK75,IF(BL$8=0,INDEX($E75:$K75,0,BL$6),(INDEX($E75:$K75,0,BL$8+1)-INDEX($E75:$K75,0,BL$8))/(INDEX($D$5:$J$5,0,BL$8+1)-INDEX($D$5:$J$5,0,BL$8))+BK75)))</f>
        <v>103.37272938194623</v>
      </c>
      <c r="BM75" s="11" cm="1">
        <f t="array" ref="BM75">IF(BM$8=-1,BN75,IF(BM$8=99,BL75,IF(BM$8=0,INDEX($E75:$K75,0,BM$6),(INDEX($E75:$K75,0,BM$8+1)-INDEX($E75:$K75,0,BM$8))/(INDEX($D$5:$J$5,0,BM$8+1)-INDEX($D$5:$J$5,0,BM$8))+BL75)))</f>
        <v>103.37272938194623</v>
      </c>
      <c r="BN75" s="11" cm="1">
        <f t="array" ref="BN75">IF(BN$8=-1,BO75,IF(BN$8=99,BM75,IF(BN$8=0,INDEX($E75:$K75,0,BN$6),(INDEX($E75:$K75,0,BN$8+1)-INDEX($E75:$K75,0,BN$8))/(INDEX($D$5:$J$5,0,BN$8+1)-INDEX($D$5:$J$5,0,BN$8))+BM75)))</f>
        <v>103.37272938194623</v>
      </c>
      <c r="BO75" s="11" cm="1">
        <f t="array" ref="BO75">IF(BO$8=-1,BP75,IF(BO$8=99,BN75,IF(BO$8=0,INDEX($E75:$K75,0,BO$6),(INDEX($E75:$K75,0,BO$8+1)-INDEX($E75:$K75,0,BO$8))/(INDEX($D$5:$J$5,0,BO$8+1)-INDEX($D$5:$J$5,0,BO$8))+BN75)))</f>
        <v>103.37272938194623</v>
      </c>
      <c r="BP75" s="11" cm="1">
        <f t="array" ref="BP75">IF(BP$8=-1,BQ75,IF(BP$8=99,BO75,IF(BP$8=0,INDEX($E75:$K75,0,BP$6),(INDEX($E75:$K75,0,BP$8+1)-INDEX($E75:$K75,0,BP$8))/(INDEX($D$5:$J$5,0,BP$8+1)-INDEX($D$5:$J$5,0,BP$8))+BO75)))</f>
        <v>103.37272938194623</v>
      </c>
      <c r="BQ75" s="11" cm="1">
        <f t="array" ref="BQ75">IF(BQ$8=-1,BR75,IF(BQ$8=99,BP75,IF(BQ$8=0,INDEX($E75:$K75,0,BQ$6),(INDEX($E75:$K75,0,BQ$8+1)-INDEX($E75:$K75,0,BQ$8))/(INDEX($D$5:$J$5,0,BQ$8+1)-INDEX($D$5:$J$5,0,BQ$8))+BP75)))</f>
        <v>103.37272938194623</v>
      </c>
      <c r="BR75" s="11" cm="1">
        <f t="array" ref="BR75">IF(BR$8=-1,BS75,IF(BR$8=99,BQ75,IF(BR$8=0,INDEX($E75:$K75,0,BR$6),(INDEX($E75:$K75,0,BR$8+1)-INDEX($E75:$K75,0,BR$8))/(INDEX($D$5:$J$5,0,BR$8+1)-INDEX($D$5:$J$5,0,BR$8))+BQ75)))</f>
        <v>103.37272938194623</v>
      </c>
    </row>
    <row r="76" spans="1:70" ht="15">
      <c r="A76" t="s">
        <v>16</v>
      </c>
      <c r="B76" s="5" t="s">
        <v>231</v>
      </c>
      <c r="C76" s="95" t="str">
        <f t="shared" si="136"/>
        <v>Commercial - Public lights</v>
      </c>
      <c r="D76" s="95" t="s">
        <v>66</v>
      </c>
      <c r="E76" s="150">
        <v>0</v>
      </c>
      <c r="F76" s="92">
        <v>0</v>
      </c>
      <c r="G76" s="151">
        <f t="shared" si="137"/>
        <v>0</v>
      </c>
      <c r="H76" s="92">
        <f t="shared" si="142"/>
        <v>0</v>
      </c>
      <c r="I76" s="152">
        <f t="shared" si="137"/>
        <v>0</v>
      </c>
      <c r="J76" s="152">
        <f t="shared" si="138"/>
        <v>0</v>
      </c>
      <c r="K76" s="152">
        <f t="shared" si="139"/>
        <v>0</v>
      </c>
      <c r="L76" s="11" cm="1">
        <f t="array" ref="L76">IF(L$8=-1,M76,IF(L$8=99,I76,IF(L$8=0,INDEX($E76:$I76,0,L$6),(INDEX($E76:$I76,0,L$8+1)-INDEX($E76:$I76,0,L$8))/(INDEX($D$5:$H$5,0,L$8+1)-INDEX($D$5:$H$5,0,L$8))+I76)))</f>
        <v>0</v>
      </c>
      <c r="M76" s="11" cm="1">
        <f t="array" ref="M76">IF(M$8=-1,N76,IF(M$8=99,L76,IF(M$8=0,INDEX($E76:$I76,0,M$6),(INDEX($E76:$I76,0,M$8+1)-INDEX($E76:$I76,0,M$8))/(INDEX($D$5:$H$5,0,M$8+1)-INDEX($D$5:$H$5,0,M$8))+L76)))</f>
        <v>0</v>
      </c>
      <c r="N76" s="11" cm="1">
        <f t="array" ref="N76">IF(N$8=-1,O76,IF(N$8=99,M76,IF(N$8=0,INDEX($E76:$I76,0,N$6),(INDEX($E76:$I76,0,N$8+1)-INDEX($E76:$I76,0,N$8))/(INDEX($D$5:$H$5,0,N$8+1)-INDEX($D$5:$H$5,0,N$8))+M76)))</f>
        <v>0</v>
      </c>
      <c r="O76" s="11" cm="1">
        <f t="array" ref="O76">IF(O$8=-1,P76,IF(O$8=99,N76,IF(O$8=0,INDEX($E76:$I76,0,O$6),(INDEX($E76:$I76,0,O$8+1)-INDEX($E76:$I76,0,O$8))/(INDEX($D$5:$H$5,0,O$8+1)-INDEX($D$5:$H$5,0,O$8))+N76)))</f>
        <v>0</v>
      </c>
      <c r="P76" s="11" cm="1">
        <f t="array" ref="P76">IF(P$8=-1,Q76,IF(P$8=99,O76,IF(P$8=0,INDEX($E76:$I76,0,P$6),(INDEX($E76:$I76,0,P$8+1)-INDEX($E76:$I76,0,P$8))/(INDEX($D$5:$H$5,0,P$8+1)-INDEX($D$5:$H$5,0,P$8))+O76)))</f>
        <v>0</v>
      </c>
      <c r="Q76" s="11" cm="1">
        <f t="array" ref="Q76">IF(Q$8=-1,R76,IF(Q$8=99,P76,IF(Q$8=0,INDEX($E76:$I76,0,Q$6),(INDEX($E76:$I76,0,Q$8+1)-INDEX($E76:$I76,0,Q$8))/(INDEX($D$5:$H$5,0,Q$8+1)-INDEX($D$5:$H$5,0,Q$8))+P76)))</f>
        <v>0</v>
      </c>
      <c r="R76" s="11" cm="1">
        <f t="array" ref="R76">IF(R$8=-1,S76,IF(R$8=99,Q76,IF(R$8=0,INDEX($E76:$I76,0,R$6),(INDEX($E76:$I76,0,R$8+1)-INDEX($E76:$I76,0,R$8))/(INDEX($D$5:$H$5,0,R$8+1)-INDEX($D$5:$H$5,0,R$8))+Q76)))</f>
        <v>0</v>
      </c>
      <c r="S76" s="11" cm="1">
        <f t="array" ref="S76">IF(S$8=-1,T76,IF(S$8=99,R76,IF(S$8=0,INDEX($E76:$I76,0,S$6),(INDEX($E76:$I76,0,S$8+1)-INDEX($E76:$I76,0,S$8))/(INDEX($D$5:$H$5,0,S$8+1)-INDEX($D$5:$H$5,0,S$8))+R76)))</f>
        <v>0</v>
      </c>
      <c r="T76" s="11" cm="1">
        <f t="array" ref="T76">IF(T$8=-1,U76,IF(T$8=99,S76,IF(T$8=0,INDEX($E76:$I76,0,T$6),(INDEX($E76:$I76,0,T$8+1)-INDEX($E76:$I76,0,T$8))/(INDEX($D$5:$H$5,0,T$8+1)-INDEX($D$5:$H$5,0,T$8))+S76)))</f>
        <v>0</v>
      </c>
      <c r="U76" s="11" cm="1">
        <f t="array" ref="U76">IF(U$8=-1,V76,IF(U$8=99,T76,IF(U$8=0,INDEX($E76:$I76,0,U$6),(INDEX($E76:$I76,0,U$8+1)-INDEX($E76:$I76,0,U$8))/(INDEX($D$5:$H$5,0,U$8+1)-INDEX($D$5:$H$5,0,U$8))+T76)))</f>
        <v>0</v>
      </c>
      <c r="V76" s="11" cm="1">
        <f t="array" ref="V76">IF(V$8=-1,W76,IF(V$8=99,U76,IF(V$8=0,INDEX($E76:$I76,0,V$6),(INDEX($E76:$I76,0,V$8+1)-INDEX($E76:$I76,0,V$8))/(INDEX($D$5:$H$5,0,V$8+1)-INDEX($D$5:$H$5,0,V$8))+U76)))</f>
        <v>0</v>
      </c>
      <c r="W76" s="11" cm="1">
        <f t="array" ref="W76">IF(W$8=-1,X76,IF(W$8=99,V76,IF(W$8=0,INDEX($E76:$I76,0,W$6),(INDEX($E76:$I76,0,W$8+1)-INDEX($E76:$I76,0,W$8))/(INDEX($D$5:$H$5,0,W$8+1)-INDEX($D$5:$H$5,0,W$8))+V76)))</f>
        <v>0</v>
      </c>
      <c r="X76" s="11" cm="1">
        <f t="array" ref="X76">IF(X$8=-1,Y76,IF(X$8=99,W76,IF(X$8=0,INDEX($E76:$I76,0,X$6),(INDEX($E76:$I76,0,X$8+1)-INDEX($E76:$I76,0,X$8))/(INDEX($D$5:$H$5,0,X$8+1)-INDEX($D$5:$H$5,0,X$8))+W76)))</f>
        <v>0</v>
      </c>
      <c r="Y76" s="11" cm="1">
        <f t="array" ref="Y76">IF(Y$8=-1,Z76,IF(Y$8=99,X76,IF(Y$8=0,INDEX($E76:$I76,0,Y$6),(INDEX($E76:$I76,0,Y$8+1)-INDEX($E76:$I76,0,Y$8))/(INDEX($D$5:$H$5,0,Y$8+1)-INDEX($D$5:$H$5,0,Y$8))+X76)))</f>
        <v>0</v>
      </c>
      <c r="Z76" s="11" cm="1">
        <f t="array" ref="Z76">IF(Z$8=-1,AA76,IF(Z$8=99,Y76,IF(Z$8=0,INDEX($E76:$I76,0,Z$6),(INDEX($E76:$I76,0,Z$8+1)-INDEX($E76:$I76,0,Z$8))/(INDEX($D$5:$H$5,0,Z$8+1)-INDEX($D$5:$H$5,0,Z$8))+Y76)))</f>
        <v>0</v>
      </c>
      <c r="AA76" s="11" cm="1">
        <f t="array" ref="AA76">IF(AA$8=-1,AB76,IF(AA$8=99,Z76,IF(AA$8=0,INDEX($E76:$I76,0,AA$6),(INDEX($E76:$I76,0,AA$8+1)-INDEX($E76:$I76,0,AA$8))/(INDEX($D$5:$H$5,0,AA$8+1)-INDEX($D$5:$H$5,0,AA$8))+Z76)))</f>
        <v>0</v>
      </c>
      <c r="AB76" s="11" cm="1">
        <f t="array" ref="AB76">IF(AB$8=-1,AC76,IF(AB$8=99,AA76,IF(AB$8=0,INDEX($E76:$I76,0,AB$6),(INDEX($E76:$I76,0,AB$8+1)-INDEX($E76:$I76,0,AB$8))/(INDEX($D$5:$H$5,0,AB$8+1)-INDEX($D$5:$H$5,0,AB$8))+AA76)))</f>
        <v>0</v>
      </c>
      <c r="AC76" s="11" cm="1">
        <f t="array" ref="AC76">IF(AC$8=-1,AD76,IF(AC$8=99,AB76,IF(AC$8=0,INDEX($E76:$I76,0,AC$6),(INDEX($E76:$I76,0,AC$8+1)-INDEX($E76:$I76,0,AC$8))/(INDEX($D$5:$H$5,0,AC$8+1)-INDEX($D$5:$H$5,0,AC$8))+AB76)))</f>
        <v>0</v>
      </c>
      <c r="AD76" s="11" cm="1">
        <f t="array" ref="AD76">IF(AD$8=-1,AE76,IF(AD$8=99,AC76,IF(AD$8=0,INDEX($E76:$I76,0,AD$6),(INDEX($E76:$I76,0,AD$8+1)-INDEX($E76:$I76,0,AD$8))/(INDEX($D$5:$H$5,0,AD$8+1)-INDEX($D$5:$H$5,0,AD$8))+AC76)))</f>
        <v>0</v>
      </c>
      <c r="AE76" s="11" cm="1">
        <f t="array" ref="AE76">IF(AE$8=-1,AF76,IF(AE$8=99,AD76,IF(AE$8=0,INDEX($E76:$I76,0,AE$6),(INDEX($E76:$I76,0,AE$8+1)-INDEX($E76:$I76,0,AE$8))/(INDEX($D$5:$H$5,0,AE$8+1)-INDEX($D$5:$H$5,0,AE$8))+AD76)))</f>
        <v>0</v>
      </c>
      <c r="AF76" s="11" cm="1">
        <f t="array" ref="AF76">IF(AF$8=-1,AG76,IF(AF$8=99,AE76,IF(AF$8=0,INDEX($E76:$I76,0,AF$6),(INDEX($E76:$I76,0,AF$8+1)-INDEX($E76:$I76,0,AF$8))/(INDEX($D$5:$H$5,0,AF$8+1)-INDEX($D$5:$H$5,0,AF$8))+AE76)))</f>
        <v>0</v>
      </c>
      <c r="AG76" s="11" cm="1">
        <f t="array" ref="AG76">IF(AG$8=-1,AH76,IF(AG$8=99,AF76,IF(AG$8=0,INDEX($E76:$I76,0,AG$6),(INDEX($E76:$I76,0,AG$8+1)-INDEX($E76:$I76,0,AG$8))/(INDEX($D$5:$H$5,0,AG$8+1)-INDEX($D$5:$H$5,0,AG$8))+AF76)))</f>
        <v>0</v>
      </c>
      <c r="AH76" s="11" cm="1">
        <f t="array" ref="AH76">IF(AH$8=-1,AI76,IF(AH$8=99,AG76,IF(AH$8=0,INDEX($E76:$I76,0,AH$6),(INDEX($E76:$I76,0,AH$8+1)-INDEX($E76:$I76,0,AH$8))/(INDEX($D$5:$H$5,0,AH$8+1)-INDEX($D$5:$H$5,0,AH$8))+AG76)))</f>
        <v>0</v>
      </c>
      <c r="AI76" s="11" cm="1">
        <f t="array" ref="AI76">IF(AI$8=-1,AJ76,IF(AI$8=99,AH76,IF(AI$8=0,INDEX($E76:$I76,0,AI$6),(INDEX($E76:$I76,0,AI$8+1)-INDEX($E76:$I76,0,AI$8))/(INDEX($D$5:$H$5,0,AI$8+1)-INDEX($D$5:$H$5,0,AI$8))+AH76)))</f>
        <v>0</v>
      </c>
      <c r="AJ76" s="11" cm="1">
        <f t="array" ref="AJ76">IF(AJ$8=-1,AK76,IF(AJ$8=99,AI76,IF(AJ$8=0,INDEX($E76:$I76,0,AJ$6),(INDEX($E76:$I76,0,AJ$8+1)-INDEX($E76:$I76,0,AJ$8))/(INDEX($D$5:$H$5,0,AJ$8+1)-INDEX($D$5:$H$5,0,AJ$8))+AI76)))</f>
        <v>0</v>
      </c>
      <c r="AK76" s="11" cm="1">
        <f t="array" ref="AK76">IF(AK$8=-1,AL76,IF(AK$8=99,AJ76,IF(AK$8=0,INDEX($E76:$I76,0,AK$6),(INDEX($E76:$I76,0,AK$8+1)-INDEX($E76:$I76,0,AK$8))/(INDEX($D$5:$H$5,0,AK$8+1)-INDEX($D$5:$H$5,0,AK$8))+AJ76)))</f>
        <v>0</v>
      </c>
      <c r="AL76" s="11" cm="1">
        <f t="array" ref="AL76">IF(AL$8=-1,AM76,IF(AL$8=99,AK76,IF(AL$8=0,INDEX($E76:$I76,0,AL$6),(INDEX($E76:$I76,0,AL$8+1)-INDEX($E76:$I76,0,AL$8))/(INDEX($D$5:$H$5,0,AL$8+1)-INDEX($D$5:$H$5,0,AL$8))+AK76)))</f>
        <v>0</v>
      </c>
      <c r="AM76" s="11" cm="1">
        <f t="array" ref="AM76">IF(AM$8=-1,AN76,IF(AM$8=99,AL76,IF(AM$8=0,INDEX($E76:$I76,0,AM$6),(INDEX($E76:$I76,0,AM$8+1)-INDEX($E76:$I76,0,AM$8))/(INDEX($D$5:$H$5,0,AM$8+1)-INDEX($D$5:$H$5,0,AM$8))+AL76)))</f>
        <v>0</v>
      </c>
      <c r="AN76" s="11" cm="1">
        <f t="array" ref="AN76">IF(AN$8=-1,AO76,IF(AN$8=99,AM76,IF(AN$8=0,INDEX($E76:$I76,0,AN$6),(INDEX($E76:$I76,0,AN$8+1)-INDEX($E76:$I76,0,AN$8))/(INDEX($D$5:$H$5,0,AN$8+1)-INDEX($D$5:$H$5,0,AN$8))+AM76)))</f>
        <v>0</v>
      </c>
      <c r="AO76" s="11" cm="1">
        <f t="array" ref="AO76">IF(AO$8=-1,AP76,IF(AO$8=99,AN76,IF(AO$8=0,INDEX($E76:$K76,0,AO$6),(INDEX($E76:$K76,0,AO$8+1)-INDEX($E76:$K76,0,AO$8))/(INDEX($D$5:$J$5,0,AO$8+1)-INDEX($D$5:$J$5,0,AO$8))+AN76)))</f>
        <v>0</v>
      </c>
      <c r="AP76" s="11" cm="1">
        <f t="array" ref="AP76">IF(AP$8=-1,AQ76,IF(AP$8=99,AO76,IF(AP$8=0,INDEX($E76:$K76,0,AP$6),(INDEX($E76:$K76,0,AP$8+1)-INDEX($E76:$K76,0,AP$8))/(INDEX($D$5:$J$5,0,AP$8+1)-INDEX($D$5:$J$5,0,AP$8))+AO76)))</f>
        <v>0</v>
      </c>
      <c r="AQ76" s="11" cm="1">
        <f t="array" ref="AQ76">IF(AQ$8=-1,AR76,IF(AQ$8=99,AP76,IF(AQ$8=0,INDEX($E76:$K76,0,AQ$6),(INDEX($E76:$K76,0,AQ$8+1)-INDEX($E76:$K76,0,AQ$8))/(INDEX($D$5:$J$5,0,AQ$8+1)-INDEX($D$5:$J$5,0,AQ$8))+AP76)))</f>
        <v>0</v>
      </c>
      <c r="AR76" s="11" cm="1">
        <f t="array" ref="AR76">IF(AR$8=-1,AS76,IF(AR$8=99,AQ76,IF(AR$8=0,INDEX($E76:$K76,0,AR$6),(INDEX($E76:$K76,0,AR$8+1)-INDEX($E76:$K76,0,AR$8))/(INDEX($D$5:$J$5,0,AR$8+1)-INDEX($D$5:$J$5,0,AR$8))+AQ76)))</f>
        <v>0</v>
      </c>
      <c r="AS76" s="11" cm="1">
        <f t="array" ref="AS76">IF(AS$8=-1,AT76,IF(AS$8=99,AR76,IF(AS$8=0,INDEX($E76:$K76,0,AS$6),(INDEX($E76:$K76,0,AS$8+1)-INDEX($E76:$K76,0,AS$8))/(INDEX($D$5:$J$5,0,AS$8+1)-INDEX($D$5:$J$5,0,AS$8))+AR76)))</f>
        <v>0</v>
      </c>
      <c r="AT76" s="11" cm="1">
        <f t="array" ref="AT76">IF(AT$8=-1,AU76,IF(AT$8=99,AS76,IF(AT$8=0,INDEX($E76:$K76,0,AT$6),(INDEX($E76:$K76,0,AT$8+1)-INDEX($E76:$K76,0,AT$8))/(INDEX($D$5:$J$5,0,AT$8+1)-INDEX($D$5:$J$5,0,AT$8))+AS76)))</f>
        <v>0</v>
      </c>
      <c r="AU76" s="11" cm="1">
        <f t="array" ref="AU76">IF(AU$8=-1,AV76,IF(AU$8=99,AT76,IF(AU$8=0,INDEX($E76:$K76,0,AU$6),(INDEX($E76:$K76,0,AU$8+1)-INDEX($E76:$K76,0,AU$8))/(INDEX($D$5:$J$5,0,AU$8+1)-INDEX($D$5:$J$5,0,AU$8))+AT76)))</f>
        <v>0</v>
      </c>
      <c r="AV76" s="11" cm="1">
        <f t="array" ref="AV76">IF(AV$8=-1,AW76,IF(AV$8=99,AU76,IF(AV$8=0,INDEX($E76:$K76,0,AV$6),(INDEX($E76:$K76,0,AV$8+1)-INDEX($E76:$K76,0,AV$8))/(INDEX($D$5:$J$5,0,AV$8+1)-INDEX($D$5:$J$5,0,AV$8))+AU76)))</f>
        <v>0</v>
      </c>
      <c r="AW76" s="11" cm="1">
        <f t="array" ref="AW76">IF(AW$8=-1,AX76,IF(AW$8=99,AV76,IF(AW$8=0,INDEX($E76:$K76,0,AW$6),(INDEX($E76:$K76,0,AW$8+1)-INDEX($E76:$K76,0,AW$8))/(INDEX($D$5:$J$5,0,AW$8+1)-INDEX($D$5:$J$5,0,AW$8))+AV76)))</f>
        <v>0</v>
      </c>
      <c r="AX76" s="11" cm="1">
        <f t="array" ref="AX76">IF(AX$8=-1,AY76,IF(AX$8=99,AW76,IF(AX$8=0,INDEX($E76:$K76,0,AX$6),(INDEX($E76:$K76,0,AX$8+1)-INDEX($E76:$K76,0,AX$8))/(INDEX($D$5:$J$5,0,AX$8+1)-INDEX($D$5:$J$5,0,AX$8))+AW76)))</f>
        <v>0</v>
      </c>
      <c r="AY76" s="11" cm="1">
        <f t="array" ref="AY76">IF(AY$8=-1,AZ76,IF(AY$8=99,AX76,IF(AY$8=0,INDEX($E76:$K76,0,AY$6),(INDEX($E76:$K76,0,AY$8+1)-INDEX($E76:$K76,0,AY$8))/(INDEX($D$5:$J$5,0,AY$8+1)-INDEX($D$5:$J$5,0,AY$8))+AX76)))</f>
        <v>0</v>
      </c>
      <c r="AZ76" s="11" cm="1">
        <f t="array" ref="AZ76">IF(AZ$8=-1,BA76,IF(AZ$8=99,AY76,IF(AZ$8=0,INDEX($E76:$K76,0,AZ$6),(INDEX($E76:$K76,0,AZ$8+1)-INDEX($E76:$K76,0,AZ$8))/(INDEX($D$5:$J$5,0,AZ$8+1)-INDEX($D$5:$J$5,0,AZ$8))+AY76)))</f>
        <v>0</v>
      </c>
      <c r="BA76" s="11" cm="1">
        <f t="array" ref="BA76">IF(BA$8=-1,BB76,IF(BA$8=99,AZ76,IF(BA$8=0,INDEX($E76:$K76,0,BA$6),(INDEX($E76:$K76,0,BA$8+1)-INDEX($E76:$K76,0,BA$8))/(INDEX($D$5:$J$5,0,BA$8+1)-INDEX($D$5:$J$5,0,BA$8))+AZ76)))</f>
        <v>0</v>
      </c>
      <c r="BB76" s="11" cm="1">
        <f t="array" ref="BB76">IF(BB$8=-1,BC76,IF(BB$8=99,BA76,IF(BB$8=0,INDEX($E76:$K76,0,BB$6),(INDEX($E76:$K76,0,BB$8+1)-INDEX($E76:$K76,0,BB$8))/(INDEX($D$5:$J$5,0,BB$8+1)-INDEX($D$5:$J$5,0,BB$8))+BA76)))</f>
        <v>0</v>
      </c>
      <c r="BC76" s="11" cm="1">
        <f t="array" ref="BC76">IF(BC$8=-1,BD76,IF(BC$8=99,BB76,IF(BC$8=0,INDEX($E76:$K76,0,BC$6),(INDEX($E76:$K76,0,BC$8+1)-INDEX($E76:$K76,0,BC$8))/(INDEX($D$5:$J$5,0,BC$8+1)-INDEX($D$5:$J$5,0,BC$8))+BB76)))</f>
        <v>0</v>
      </c>
      <c r="BD76" s="11" cm="1">
        <f t="array" ref="BD76">IF(BD$8=-1,BE76,IF(BD$8=99,BC76,IF(BD$8=0,INDEX($E76:$K76,0,BD$6),(INDEX($E76:$K76,0,BD$8+1)-INDEX($E76:$K76,0,BD$8))/(INDEX($D$5:$J$5,0,BD$8+1)-INDEX($D$5:$J$5,0,BD$8))+BC76)))</f>
        <v>0</v>
      </c>
      <c r="BE76" s="11" cm="1">
        <f t="array" ref="BE76">IF(BE$8=-1,BF76,IF(BE$8=99,BD76,IF(BE$8=0,INDEX($E76:$K76,0,BE$6),(INDEX($E76:$K76,0,BE$8+1)-INDEX($E76:$K76,0,BE$8))/(INDEX($D$5:$J$5,0,BE$8+1)-INDEX($D$5:$J$5,0,BE$8))+BD76)))</f>
        <v>0</v>
      </c>
      <c r="BF76" s="11" cm="1">
        <f t="array" ref="BF76">IF(BF$8=-1,BG76,IF(BF$8=99,BE76,IF(BF$8=0,INDEX($E76:$K76,0,BF$6),(INDEX($E76:$K76,0,BF$8+1)-INDEX($E76:$K76,0,BF$8))/(INDEX($D$5:$J$5,0,BF$8+1)-INDEX($D$5:$J$5,0,BF$8))+BE76)))</f>
        <v>0</v>
      </c>
      <c r="BG76" s="11" cm="1">
        <f t="array" ref="BG76">IF(BG$8=-1,BH76,IF(BG$8=99,BF76,IF(BG$8=0,INDEX($E76:$K76,0,BG$6),(INDEX($E76:$K76,0,BG$8+1)-INDEX($E76:$K76,0,BG$8))/(INDEX($D$5:$J$5,0,BG$8+1)-INDEX($D$5:$J$5,0,BG$8))+BF76)))</f>
        <v>0</v>
      </c>
      <c r="BH76" s="11" cm="1">
        <f t="array" ref="BH76">IF(BH$8=-1,BI76,IF(BH$8=99,BG76,IF(BH$8=0,INDEX($E76:$K76,0,BH$6),(INDEX($E76:$K76,0,BH$8+1)-INDEX($E76:$K76,0,BH$8))/(INDEX($D$5:$J$5,0,BH$8+1)-INDEX($D$5:$J$5,0,BH$8))+BG76)))</f>
        <v>0</v>
      </c>
      <c r="BI76" s="11" cm="1">
        <f t="array" ref="BI76">IF(BI$8=-1,BJ76,IF(BI$8=99,BH76,IF(BI$8=0,INDEX($E76:$K76,0,BI$6),(INDEX($E76:$K76,0,BI$8+1)-INDEX($E76:$K76,0,BI$8))/(INDEX($D$5:$J$5,0,BI$8+1)-INDEX($D$5:$J$5,0,BI$8))+BH76)))</f>
        <v>0</v>
      </c>
      <c r="BJ76" s="11" cm="1">
        <f t="array" ref="BJ76">IF(BJ$8=-1,BK76,IF(BJ$8=99,BI76,IF(BJ$8=0,INDEX($E76:$K76,0,BJ$6),(INDEX($E76:$K76,0,BJ$8+1)-INDEX($E76:$K76,0,BJ$8))/(INDEX($D$5:$J$5,0,BJ$8+1)-INDEX($D$5:$J$5,0,BJ$8))+BI76)))</f>
        <v>0</v>
      </c>
      <c r="BK76" s="11" cm="1">
        <f t="array" ref="BK76">IF(BK$8=-1,BL76,IF(BK$8=99,BJ76,IF(BK$8=0,INDEX($E76:$K76,0,BK$6),(INDEX($E76:$K76,0,BK$8+1)-INDEX($E76:$K76,0,BK$8))/(INDEX($D$5:$J$5,0,BK$8+1)-INDEX($D$5:$J$5,0,BK$8))+BJ76)))</f>
        <v>0</v>
      </c>
      <c r="BL76" s="11" cm="1">
        <f t="array" ref="BL76">IF(BL$8=-1,BM76,IF(BL$8=99,BK76,IF(BL$8=0,INDEX($E76:$K76,0,BL$6),(INDEX($E76:$K76,0,BL$8+1)-INDEX($E76:$K76,0,BL$8))/(INDEX($D$5:$J$5,0,BL$8+1)-INDEX($D$5:$J$5,0,BL$8))+BK76)))</f>
        <v>0</v>
      </c>
      <c r="BM76" s="11" cm="1">
        <f t="array" ref="BM76">IF(BM$8=-1,BN76,IF(BM$8=99,BL76,IF(BM$8=0,INDEX($E76:$K76,0,BM$6),(INDEX($E76:$K76,0,BM$8+1)-INDEX($E76:$K76,0,BM$8))/(INDEX($D$5:$J$5,0,BM$8+1)-INDEX($D$5:$J$5,0,BM$8))+BL76)))</f>
        <v>0</v>
      </c>
      <c r="BN76" s="11" cm="1">
        <f t="array" ref="BN76">IF(BN$8=-1,BO76,IF(BN$8=99,BM76,IF(BN$8=0,INDEX($E76:$K76,0,BN$6),(INDEX($E76:$K76,0,BN$8+1)-INDEX($E76:$K76,0,BN$8))/(INDEX($D$5:$J$5,0,BN$8+1)-INDEX($D$5:$J$5,0,BN$8))+BM76)))</f>
        <v>0</v>
      </c>
      <c r="BO76" s="11" cm="1">
        <f t="array" ref="BO76">IF(BO$8=-1,BP76,IF(BO$8=99,BN76,IF(BO$8=0,INDEX($E76:$K76,0,BO$6),(INDEX($E76:$K76,0,BO$8+1)-INDEX($E76:$K76,0,BO$8))/(INDEX($D$5:$J$5,0,BO$8+1)-INDEX($D$5:$J$5,0,BO$8))+BN76)))</f>
        <v>0</v>
      </c>
      <c r="BP76" s="11" cm="1">
        <f t="array" ref="BP76">IF(BP$8=-1,BQ76,IF(BP$8=99,BO76,IF(BP$8=0,INDEX($E76:$K76,0,BP$6),(INDEX($E76:$K76,0,BP$8+1)-INDEX($E76:$K76,0,BP$8))/(INDEX($D$5:$J$5,0,BP$8+1)-INDEX($D$5:$J$5,0,BP$8))+BO76)))</f>
        <v>0</v>
      </c>
      <c r="BQ76" s="11" cm="1">
        <f t="array" ref="BQ76">IF(BQ$8=-1,BR76,IF(BQ$8=99,BP76,IF(BQ$8=0,INDEX($E76:$K76,0,BQ$6),(INDEX($E76:$K76,0,BQ$8+1)-INDEX($E76:$K76,0,BQ$8))/(INDEX($D$5:$J$5,0,BQ$8+1)-INDEX($D$5:$J$5,0,BQ$8))+BP76)))</f>
        <v>0</v>
      </c>
      <c r="BR76" s="11" cm="1">
        <f t="array" ref="BR76">IF(BR$8=-1,BS76,IF(BR$8=99,BQ76,IF(BR$8=0,INDEX($E76:$K76,0,BR$6),(INDEX($E76:$K76,0,BR$8+1)-INDEX($E76:$K76,0,BR$8))/(INDEX($D$5:$J$5,0,BR$8+1)-INDEX($D$5:$J$5,0,BR$8))+BQ76)))</f>
        <v>0</v>
      </c>
    </row>
    <row r="77" spans="1:70" ht="15">
      <c r="A77" t="s">
        <v>16</v>
      </c>
      <c r="B77" s="5" t="s">
        <v>232</v>
      </c>
      <c r="C77" s="95" t="str">
        <f t="shared" si="136"/>
        <v>Commercial - Public Water</v>
      </c>
      <c r="D77" s="95" t="s">
        <v>66</v>
      </c>
      <c r="E77" s="150">
        <v>0</v>
      </c>
      <c r="F77" s="92">
        <v>0</v>
      </c>
      <c r="G77" s="151">
        <f t="shared" si="137"/>
        <v>0</v>
      </c>
      <c r="H77" s="92">
        <f t="shared" si="142"/>
        <v>0</v>
      </c>
      <c r="I77" s="152">
        <f t="shared" si="137"/>
        <v>0</v>
      </c>
      <c r="J77" s="152">
        <f t="shared" si="138"/>
        <v>0</v>
      </c>
      <c r="K77" s="152">
        <f t="shared" si="139"/>
        <v>0</v>
      </c>
      <c r="L77" s="11" cm="1">
        <f t="array" ref="L77">IF(L$8=-1,M77,IF(L$8=99,I77,IF(L$8=0,INDEX($E77:$I77,0,L$6),(INDEX($E77:$I77,0,L$8+1)-INDEX($E77:$I77,0,L$8))/(INDEX($D$5:$H$5,0,L$8+1)-INDEX($D$5:$H$5,0,L$8))+I77)))</f>
        <v>0</v>
      </c>
      <c r="M77" s="11" cm="1">
        <f t="array" ref="M77">IF(M$8=-1,N77,IF(M$8=99,L77,IF(M$8=0,INDEX($E77:$I77,0,M$6),(INDEX($E77:$I77,0,M$8+1)-INDEX($E77:$I77,0,M$8))/(INDEX($D$5:$H$5,0,M$8+1)-INDEX($D$5:$H$5,0,M$8))+L77)))</f>
        <v>0</v>
      </c>
      <c r="N77" s="11" cm="1">
        <f t="array" ref="N77">IF(N$8=-1,O77,IF(N$8=99,M77,IF(N$8=0,INDEX($E77:$I77,0,N$6),(INDEX($E77:$I77,0,N$8+1)-INDEX($E77:$I77,0,N$8))/(INDEX($D$5:$H$5,0,N$8+1)-INDEX($D$5:$H$5,0,N$8))+M77)))</f>
        <v>0</v>
      </c>
      <c r="O77" s="11" cm="1">
        <f t="array" ref="O77">IF(O$8=-1,P77,IF(O$8=99,N77,IF(O$8=0,INDEX($E77:$I77,0,O$6),(INDEX($E77:$I77,0,O$8+1)-INDEX($E77:$I77,0,O$8))/(INDEX($D$5:$H$5,0,O$8+1)-INDEX($D$5:$H$5,0,O$8))+N77)))</f>
        <v>0</v>
      </c>
      <c r="P77" s="11" cm="1">
        <f t="array" ref="P77">IF(P$8=-1,Q77,IF(P$8=99,O77,IF(P$8=0,INDEX($E77:$I77,0,P$6),(INDEX($E77:$I77,0,P$8+1)-INDEX($E77:$I77,0,P$8))/(INDEX($D$5:$H$5,0,P$8+1)-INDEX($D$5:$H$5,0,P$8))+O77)))</f>
        <v>0</v>
      </c>
      <c r="Q77" s="11" cm="1">
        <f t="array" ref="Q77">IF(Q$8=-1,R77,IF(Q$8=99,P77,IF(Q$8=0,INDEX($E77:$I77,0,Q$6),(INDEX($E77:$I77,0,Q$8+1)-INDEX($E77:$I77,0,Q$8))/(INDEX($D$5:$H$5,0,Q$8+1)-INDEX($D$5:$H$5,0,Q$8))+P77)))</f>
        <v>0</v>
      </c>
      <c r="R77" s="11" cm="1">
        <f t="array" ref="R77">IF(R$8=-1,S77,IF(R$8=99,Q77,IF(R$8=0,INDEX($E77:$I77,0,R$6),(INDEX($E77:$I77,0,R$8+1)-INDEX($E77:$I77,0,R$8))/(INDEX($D$5:$H$5,0,R$8+1)-INDEX($D$5:$H$5,0,R$8))+Q77)))</f>
        <v>0</v>
      </c>
      <c r="S77" s="11" cm="1">
        <f t="array" ref="S77">IF(S$8=-1,T77,IF(S$8=99,R77,IF(S$8=0,INDEX($E77:$I77,0,S$6),(INDEX($E77:$I77,0,S$8+1)-INDEX($E77:$I77,0,S$8))/(INDEX($D$5:$H$5,0,S$8+1)-INDEX($D$5:$H$5,0,S$8))+R77)))</f>
        <v>0</v>
      </c>
      <c r="T77" s="11" cm="1">
        <f t="array" ref="T77">IF(T$8=-1,U77,IF(T$8=99,S77,IF(T$8=0,INDEX($E77:$I77,0,T$6),(INDEX($E77:$I77,0,T$8+1)-INDEX($E77:$I77,0,T$8))/(INDEX($D$5:$H$5,0,T$8+1)-INDEX($D$5:$H$5,0,T$8))+S77)))</f>
        <v>0</v>
      </c>
      <c r="U77" s="11" cm="1">
        <f t="array" ref="U77">IF(U$8=-1,V77,IF(U$8=99,T77,IF(U$8=0,INDEX($E77:$I77,0,U$6),(INDEX($E77:$I77,0,U$8+1)-INDEX($E77:$I77,0,U$8))/(INDEX($D$5:$H$5,0,U$8+1)-INDEX($D$5:$H$5,0,U$8))+T77)))</f>
        <v>0</v>
      </c>
      <c r="V77" s="11" cm="1">
        <f t="array" ref="V77">IF(V$8=-1,W77,IF(V$8=99,U77,IF(V$8=0,INDEX($E77:$I77,0,V$6),(INDEX($E77:$I77,0,V$8+1)-INDEX($E77:$I77,0,V$8))/(INDEX($D$5:$H$5,0,V$8+1)-INDEX($D$5:$H$5,0,V$8))+U77)))</f>
        <v>0</v>
      </c>
      <c r="W77" s="11" cm="1">
        <f t="array" ref="W77">IF(W$8=-1,X77,IF(W$8=99,V77,IF(W$8=0,INDEX($E77:$I77,0,W$6),(INDEX($E77:$I77,0,W$8+1)-INDEX($E77:$I77,0,W$8))/(INDEX($D$5:$H$5,0,W$8+1)-INDEX($D$5:$H$5,0,W$8))+V77)))</f>
        <v>0</v>
      </c>
      <c r="X77" s="11" cm="1">
        <f t="array" ref="X77">IF(X$8=-1,Y77,IF(X$8=99,W77,IF(X$8=0,INDEX($E77:$I77,0,X$6),(INDEX($E77:$I77,0,X$8+1)-INDEX($E77:$I77,0,X$8))/(INDEX($D$5:$H$5,0,X$8+1)-INDEX($D$5:$H$5,0,X$8))+W77)))</f>
        <v>0</v>
      </c>
      <c r="Y77" s="11" cm="1">
        <f t="array" ref="Y77">IF(Y$8=-1,Z77,IF(Y$8=99,X77,IF(Y$8=0,INDEX($E77:$I77,0,Y$6),(INDEX($E77:$I77,0,Y$8+1)-INDEX($E77:$I77,0,Y$8))/(INDEX($D$5:$H$5,0,Y$8+1)-INDEX($D$5:$H$5,0,Y$8))+X77)))</f>
        <v>0</v>
      </c>
      <c r="Z77" s="11" cm="1">
        <f t="array" ref="Z77">IF(Z$8=-1,AA77,IF(Z$8=99,Y77,IF(Z$8=0,INDEX($E77:$I77,0,Z$6),(INDEX($E77:$I77,0,Z$8+1)-INDEX($E77:$I77,0,Z$8))/(INDEX($D$5:$H$5,0,Z$8+1)-INDEX($D$5:$H$5,0,Z$8))+Y77)))</f>
        <v>0</v>
      </c>
      <c r="AA77" s="11" cm="1">
        <f t="array" ref="AA77">IF(AA$8=-1,AB77,IF(AA$8=99,Z77,IF(AA$8=0,INDEX($E77:$I77,0,AA$6),(INDEX($E77:$I77,0,AA$8+1)-INDEX($E77:$I77,0,AA$8))/(INDEX($D$5:$H$5,0,AA$8+1)-INDEX($D$5:$H$5,0,AA$8))+Z77)))</f>
        <v>0</v>
      </c>
      <c r="AB77" s="11" cm="1">
        <f t="array" ref="AB77">IF(AB$8=-1,AC77,IF(AB$8=99,AA77,IF(AB$8=0,INDEX($E77:$I77,0,AB$6),(INDEX($E77:$I77,0,AB$8+1)-INDEX($E77:$I77,0,AB$8))/(INDEX($D$5:$H$5,0,AB$8+1)-INDEX($D$5:$H$5,0,AB$8))+AA77)))</f>
        <v>0</v>
      </c>
      <c r="AC77" s="11" cm="1">
        <f t="array" ref="AC77">IF(AC$8=-1,AD77,IF(AC$8=99,AB77,IF(AC$8=0,INDEX($E77:$I77,0,AC$6),(INDEX($E77:$I77,0,AC$8+1)-INDEX($E77:$I77,0,AC$8))/(INDEX($D$5:$H$5,0,AC$8+1)-INDEX($D$5:$H$5,0,AC$8))+AB77)))</f>
        <v>0</v>
      </c>
      <c r="AD77" s="11" cm="1">
        <f t="array" ref="AD77">IF(AD$8=-1,AE77,IF(AD$8=99,AC77,IF(AD$8=0,INDEX($E77:$I77,0,AD$6),(INDEX($E77:$I77,0,AD$8+1)-INDEX($E77:$I77,0,AD$8))/(INDEX($D$5:$H$5,0,AD$8+1)-INDEX($D$5:$H$5,0,AD$8))+AC77)))</f>
        <v>0</v>
      </c>
      <c r="AE77" s="11" cm="1">
        <f t="array" ref="AE77">IF(AE$8=-1,AF77,IF(AE$8=99,AD77,IF(AE$8=0,INDEX($E77:$I77,0,AE$6),(INDEX($E77:$I77,0,AE$8+1)-INDEX($E77:$I77,0,AE$8))/(INDEX($D$5:$H$5,0,AE$8+1)-INDEX($D$5:$H$5,0,AE$8))+AD77)))</f>
        <v>0</v>
      </c>
      <c r="AF77" s="11" cm="1">
        <f t="array" ref="AF77">IF(AF$8=-1,AG77,IF(AF$8=99,AE77,IF(AF$8=0,INDEX($E77:$I77,0,AF$6),(INDEX($E77:$I77,0,AF$8+1)-INDEX($E77:$I77,0,AF$8))/(INDEX($D$5:$H$5,0,AF$8+1)-INDEX($D$5:$H$5,0,AF$8))+AE77)))</f>
        <v>0</v>
      </c>
      <c r="AG77" s="11" cm="1">
        <f t="array" ref="AG77">IF(AG$8=-1,AH77,IF(AG$8=99,AF77,IF(AG$8=0,INDEX($E77:$I77,0,AG$6),(INDEX($E77:$I77,0,AG$8+1)-INDEX($E77:$I77,0,AG$8))/(INDEX($D$5:$H$5,0,AG$8+1)-INDEX($D$5:$H$5,0,AG$8))+AF77)))</f>
        <v>0</v>
      </c>
      <c r="AH77" s="11" cm="1">
        <f t="array" ref="AH77">IF(AH$8=-1,AI77,IF(AH$8=99,AG77,IF(AH$8=0,INDEX($E77:$I77,0,AH$6),(INDEX($E77:$I77,0,AH$8+1)-INDEX($E77:$I77,0,AH$8))/(INDEX($D$5:$H$5,0,AH$8+1)-INDEX($D$5:$H$5,0,AH$8))+AG77)))</f>
        <v>0</v>
      </c>
      <c r="AI77" s="11" cm="1">
        <f t="array" ref="AI77">IF(AI$8=-1,AJ77,IF(AI$8=99,AH77,IF(AI$8=0,INDEX($E77:$I77,0,AI$6),(INDEX($E77:$I77,0,AI$8+1)-INDEX($E77:$I77,0,AI$8))/(INDEX($D$5:$H$5,0,AI$8+1)-INDEX($D$5:$H$5,0,AI$8))+AH77)))</f>
        <v>0</v>
      </c>
      <c r="AJ77" s="11" cm="1">
        <f t="array" ref="AJ77">IF(AJ$8=-1,AK77,IF(AJ$8=99,AI77,IF(AJ$8=0,INDEX($E77:$I77,0,AJ$6),(INDEX($E77:$I77,0,AJ$8+1)-INDEX($E77:$I77,0,AJ$8))/(INDEX($D$5:$H$5,0,AJ$8+1)-INDEX($D$5:$H$5,0,AJ$8))+AI77)))</f>
        <v>0</v>
      </c>
      <c r="AK77" s="11" cm="1">
        <f t="array" ref="AK77">IF(AK$8=-1,AL77,IF(AK$8=99,AJ77,IF(AK$8=0,INDEX($E77:$I77,0,AK$6),(INDEX($E77:$I77,0,AK$8+1)-INDEX($E77:$I77,0,AK$8))/(INDEX($D$5:$H$5,0,AK$8+1)-INDEX($D$5:$H$5,0,AK$8))+AJ77)))</f>
        <v>0</v>
      </c>
      <c r="AL77" s="11" cm="1">
        <f t="array" ref="AL77">IF(AL$8=-1,AM77,IF(AL$8=99,AK77,IF(AL$8=0,INDEX($E77:$I77,0,AL$6),(INDEX($E77:$I77,0,AL$8+1)-INDEX($E77:$I77,0,AL$8))/(INDEX($D$5:$H$5,0,AL$8+1)-INDEX($D$5:$H$5,0,AL$8))+AK77)))</f>
        <v>0</v>
      </c>
      <c r="AM77" s="11" cm="1">
        <f t="array" ref="AM77">IF(AM$8=-1,AN77,IF(AM$8=99,AL77,IF(AM$8=0,INDEX($E77:$I77,0,AM$6),(INDEX($E77:$I77,0,AM$8+1)-INDEX($E77:$I77,0,AM$8))/(INDEX($D$5:$H$5,0,AM$8+1)-INDEX($D$5:$H$5,0,AM$8))+AL77)))</f>
        <v>0</v>
      </c>
      <c r="AN77" s="11" cm="1">
        <f t="array" ref="AN77">IF(AN$8=-1,AO77,IF(AN$8=99,AM77,IF(AN$8=0,INDEX($E77:$I77,0,AN$6),(INDEX($E77:$I77,0,AN$8+1)-INDEX($E77:$I77,0,AN$8))/(INDEX($D$5:$H$5,0,AN$8+1)-INDEX($D$5:$H$5,0,AN$8))+AM77)))</f>
        <v>0</v>
      </c>
      <c r="AO77" s="11" cm="1">
        <f t="array" ref="AO77">IF(AO$8=-1,AP77,IF(AO$8=99,AN77,IF(AO$8=0,INDEX($E77:$K77,0,AO$6),(INDEX($E77:$K77,0,AO$8+1)-INDEX($E77:$K77,0,AO$8))/(INDEX($D$5:$J$5,0,AO$8+1)-INDEX($D$5:$J$5,0,AO$8))+AN77)))</f>
        <v>0</v>
      </c>
      <c r="AP77" s="11" cm="1">
        <f t="array" ref="AP77">IF(AP$8=-1,AQ77,IF(AP$8=99,AO77,IF(AP$8=0,INDEX($E77:$K77,0,AP$6),(INDEX($E77:$K77,0,AP$8+1)-INDEX($E77:$K77,0,AP$8))/(INDEX($D$5:$J$5,0,AP$8+1)-INDEX($D$5:$J$5,0,AP$8))+AO77)))</f>
        <v>0</v>
      </c>
      <c r="AQ77" s="11" cm="1">
        <f t="array" ref="AQ77">IF(AQ$8=-1,AR77,IF(AQ$8=99,AP77,IF(AQ$8=0,INDEX($E77:$K77,0,AQ$6),(INDEX($E77:$K77,0,AQ$8+1)-INDEX($E77:$K77,0,AQ$8))/(INDEX($D$5:$J$5,0,AQ$8+1)-INDEX($D$5:$J$5,0,AQ$8))+AP77)))</f>
        <v>0</v>
      </c>
      <c r="AR77" s="11" cm="1">
        <f t="array" ref="AR77">IF(AR$8=-1,AS77,IF(AR$8=99,AQ77,IF(AR$8=0,INDEX($E77:$K77,0,AR$6),(INDEX($E77:$K77,0,AR$8+1)-INDEX($E77:$K77,0,AR$8))/(INDEX($D$5:$J$5,0,AR$8+1)-INDEX($D$5:$J$5,0,AR$8))+AQ77)))</f>
        <v>0</v>
      </c>
      <c r="AS77" s="11" cm="1">
        <f t="array" ref="AS77">IF(AS$8=-1,AT77,IF(AS$8=99,AR77,IF(AS$8=0,INDEX($E77:$K77,0,AS$6),(INDEX($E77:$K77,0,AS$8+1)-INDEX($E77:$K77,0,AS$8))/(INDEX($D$5:$J$5,0,AS$8+1)-INDEX($D$5:$J$5,0,AS$8))+AR77)))</f>
        <v>0</v>
      </c>
      <c r="AT77" s="11" cm="1">
        <f t="array" ref="AT77">IF(AT$8=-1,AU77,IF(AT$8=99,AS77,IF(AT$8=0,INDEX($E77:$K77,0,AT$6),(INDEX($E77:$K77,0,AT$8+1)-INDEX($E77:$K77,0,AT$8))/(INDEX($D$5:$J$5,0,AT$8+1)-INDEX($D$5:$J$5,0,AT$8))+AS77)))</f>
        <v>0</v>
      </c>
      <c r="AU77" s="11" cm="1">
        <f t="array" ref="AU77">IF(AU$8=-1,AV77,IF(AU$8=99,AT77,IF(AU$8=0,INDEX($E77:$K77,0,AU$6),(INDEX($E77:$K77,0,AU$8+1)-INDEX($E77:$K77,0,AU$8))/(INDEX($D$5:$J$5,0,AU$8+1)-INDEX($D$5:$J$5,0,AU$8))+AT77)))</f>
        <v>0</v>
      </c>
      <c r="AV77" s="11" cm="1">
        <f t="array" ref="AV77">IF(AV$8=-1,AW77,IF(AV$8=99,AU77,IF(AV$8=0,INDEX($E77:$K77,0,AV$6),(INDEX($E77:$K77,0,AV$8+1)-INDEX($E77:$K77,0,AV$8))/(INDEX($D$5:$J$5,0,AV$8+1)-INDEX($D$5:$J$5,0,AV$8))+AU77)))</f>
        <v>0</v>
      </c>
      <c r="AW77" s="11" cm="1">
        <f t="array" ref="AW77">IF(AW$8=-1,AX77,IF(AW$8=99,AV77,IF(AW$8=0,INDEX($E77:$K77,0,AW$6),(INDEX($E77:$K77,0,AW$8+1)-INDEX($E77:$K77,0,AW$8))/(INDEX($D$5:$J$5,0,AW$8+1)-INDEX($D$5:$J$5,0,AW$8))+AV77)))</f>
        <v>0</v>
      </c>
      <c r="AX77" s="11" cm="1">
        <f t="array" ref="AX77">IF(AX$8=-1,AY77,IF(AX$8=99,AW77,IF(AX$8=0,INDEX($E77:$K77,0,AX$6),(INDEX($E77:$K77,0,AX$8+1)-INDEX($E77:$K77,0,AX$8))/(INDEX($D$5:$J$5,0,AX$8+1)-INDEX($D$5:$J$5,0,AX$8))+AW77)))</f>
        <v>0</v>
      </c>
      <c r="AY77" s="11" cm="1">
        <f t="array" ref="AY77">IF(AY$8=-1,AZ77,IF(AY$8=99,AX77,IF(AY$8=0,INDEX($E77:$K77,0,AY$6),(INDEX($E77:$K77,0,AY$8+1)-INDEX($E77:$K77,0,AY$8))/(INDEX($D$5:$J$5,0,AY$8+1)-INDEX($D$5:$J$5,0,AY$8))+AX77)))</f>
        <v>0</v>
      </c>
      <c r="AZ77" s="11" cm="1">
        <f t="array" ref="AZ77">IF(AZ$8=-1,BA77,IF(AZ$8=99,AY77,IF(AZ$8=0,INDEX($E77:$K77,0,AZ$6),(INDEX($E77:$K77,0,AZ$8+1)-INDEX($E77:$K77,0,AZ$8))/(INDEX($D$5:$J$5,0,AZ$8+1)-INDEX($D$5:$J$5,0,AZ$8))+AY77)))</f>
        <v>0</v>
      </c>
      <c r="BA77" s="11" cm="1">
        <f t="array" ref="BA77">IF(BA$8=-1,BB77,IF(BA$8=99,AZ77,IF(BA$8=0,INDEX($E77:$K77,0,BA$6),(INDEX($E77:$K77,0,BA$8+1)-INDEX($E77:$K77,0,BA$8))/(INDEX($D$5:$J$5,0,BA$8+1)-INDEX($D$5:$J$5,0,BA$8))+AZ77)))</f>
        <v>0</v>
      </c>
      <c r="BB77" s="11" cm="1">
        <f t="array" ref="BB77">IF(BB$8=-1,BC77,IF(BB$8=99,BA77,IF(BB$8=0,INDEX($E77:$K77,0,BB$6),(INDEX($E77:$K77,0,BB$8+1)-INDEX($E77:$K77,0,BB$8))/(INDEX($D$5:$J$5,0,BB$8+1)-INDEX($D$5:$J$5,0,BB$8))+BA77)))</f>
        <v>0</v>
      </c>
      <c r="BC77" s="11" cm="1">
        <f t="array" ref="BC77">IF(BC$8=-1,BD77,IF(BC$8=99,BB77,IF(BC$8=0,INDEX($E77:$K77,0,BC$6),(INDEX($E77:$K77,0,BC$8+1)-INDEX($E77:$K77,0,BC$8))/(INDEX($D$5:$J$5,0,BC$8+1)-INDEX($D$5:$J$5,0,BC$8))+BB77)))</f>
        <v>0</v>
      </c>
      <c r="BD77" s="11" cm="1">
        <f t="array" ref="BD77">IF(BD$8=-1,BE77,IF(BD$8=99,BC77,IF(BD$8=0,INDEX($E77:$K77,0,BD$6),(INDEX($E77:$K77,0,BD$8+1)-INDEX($E77:$K77,0,BD$8))/(INDEX($D$5:$J$5,0,BD$8+1)-INDEX($D$5:$J$5,0,BD$8))+BC77)))</f>
        <v>0</v>
      </c>
      <c r="BE77" s="11" cm="1">
        <f t="array" ref="BE77">IF(BE$8=-1,BF77,IF(BE$8=99,BD77,IF(BE$8=0,INDEX($E77:$K77,0,BE$6),(INDEX($E77:$K77,0,BE$8+1)-INDEX($E77:$K77,0,BE$8))/(INDEX($D$5:$J$5,0,BE$8+1)-INDEX($D$5:$J$5,0,BE$8))+BD77)))</f>
        <v>0</v>
      </c>
      <c r="BF77" s="11" cm="1">
        <f t="array" ref="BF77">IF(BF$8=-1,BG77,IF(BF$8=99,BE77,IF(BF$8=0,INDEX($E77:$K77,0,BF$6),(INDEX($E77:$K77,0,BF$8+1)-INDEX($E77:$K77,0,BF$8))/(INDEX($D$5:$J$5,0,BF$8+1)-INDEX($D$5:$J$5,0,BF$8))+BE77)))</f>
        <v>0</v>
      </c>
      <c r="BG77" s="11" cm="1">
        <f t="array" ref="BG77">IF(BG$8=-1,BH77,IF(BG$8=99,BF77,IF(BG$8=0,INDEX($E77:$K77,0,BG$6),(INDEX($E77:$K77,0,BG$8+1)-INDEX($E77:$K77,0,BG$8))/(INDEX($D$5:$J$5,0,BG$8+1)-INDEX($D$5:$J$5,0,BG$8))+BF77)))</f>
        <v>0</v>
      </c>
      <c r="BH77" s="11" cm="1">
        <f t="array" ref="BH77">IF(BH$8=-1,BI77,IF(BH$8=99,BG77,IF(BH$8=0,INDEX($E77:$K77,0,BH$6),(INDEX($E77:$K77,0,BH$8+1)-INDEX($E77:$K77,0,BH$8))/(INDEX($D$5:$J$5,0,BH$8+1)-INDEX($D$5:$J$5,0,BH$8))+BG77)))</f>
        <v>0</v>
      </c>
      <c r="BI77" s="11" cm="1">
        <f t="array" ref="BI77">IF(BI$8=-1,BJ77,IF(BI$8=99,BH77,IF(BI$8=0,INDEX($E77:$K77,0,BI$6),(INDEX($E77:$K77,0,BI$8+1)-INDEX($E77:$K77,0,BI$8))/(INDEX($D$5:$J$5,0,BI$8+1)-INDEX($D$5:$J$5,0,BI$8))+BH77)))</f>
        <v>0</v>
      </c>
      <c r="BJ77" s="11" cm="1">
        <f t="array" ref="BJ77">IF(BJ$8=-1,BK77,IF(BJ$8=99,BI77,IF(BJ$8=0,INDEX($E77:$K77,0,BJ$6),(INDEX($E77:$K77,0,BJ$8+1)-INDEX($E77:$K77,0,BJ$8))/(INDEX($D$5:$J$5,0,BJ$8+1)-INDEX($D$5:$J$5,0,BJ$8))+BI77)))</f>
        <v>0</v>
      </c>
      <c r="BK77" s="11" cm="1">
        <f t="array" ref="BK77">IF(BK$8=-1,BL77,IF(BK$8=99,BJ77,IF(BK$8=0,INDEX($E77:$K77,0,BK$6),(INDEX($E77:$K77,0,BK$8+1)-INDEX($E77:$K77,0,BK$8))/(INDEX($D$5:$J$5,0,BK$8+1)-INDEX($D$5:$J$5,0,BK$8))+BJ77)))</f>
        <v>0</v>
      </c>
      <c r="BL77" s="11" cm="1">
        <f t="array" ref="BL77">IF(BL$8=-1,BM77,IF(BL$8=99,BK77,IF(BL$8=0,INDEX($E77:$K77,0,BL$6),(INDEX($E77:$K77,0,BL$8+1)-INDEX($E77:$K77,0,BL$8))/(INDEX($D$5:$J$5,0,BL$8+1)-INDEX($D$5:$J$5,0,BL$8))+BK77)))</f>
        <v>0</v>
      </c>
      <c r="BM77" s="11" cm="1">
        <f t="array" ref="BM77">IF(BM$8=-1,BN77,IF(BM$8=99,BL77,IF(BM$8=0,INDEX($E77:$K77,0,BM$6),(INDEX($E77:$K77,0,BM$8+1)-INDEX($E77:$K77,0,BM$8))/(INDEX($D$5:$J$5,0,BM$8+1)-INDEX($D$5:$J$5,0,BM$8))+BL77)))</f>
        <v>0</v>
      </c>
      <c r="BN77" s="11" cm="1">
        <f t="array" ref="BN77">IF(BN$8=-1,BO77,IF(BN$8=99,BM77,IF(BN$8=0,INDEX($E77:$K77,0,BN$6),(INDEX($E77:$K77,0,BN$8+1)-INDEX($E77:$K77,0,BN$8))/(INDEX($D$5:$J$5,0,BN$8+1)-INDEX($D$5:$J$5,0,BN$8))+BM77)))</f>
        <v>0</v>
      </c>
      <c r="BO77" s="11" cm="1">
        <f t="array" ref="BO77">IF(BO$8=-1,BP77,IF(BO$8=99,BN77,IF(BO$8=0,INDEX($E77:$K77,0,BO$6),(INDEX($E77:$K77,0,BO$8+1)-INDEX($E77:$K77,0,BO$8))/(INDEX($D$5:$J$5,0,BO$8+1)-INDEX($D$5:$J$5,0,BO$8))+BN77)))</f>
        <v>0</v>
      </c>
      <c r="BP77" s="11" cm="1">
        <f t="array" ref="BP77">IF(BP$8=-1,BQ77,IF(BP$8=99,BO77,IF(BP$8=0,INDEX($E77:$K77,0,BP$6),(INDEX($E77:$K77,0,BP$8+1)-INDEX($E77:$K77,0,BP$8))/(INDEX($D$5:$J$5,0,BP$8+1)-INDEX($D$5:$J$5,0,BP$8))+BO77)))</f>
        <v>0</v>
      </c>
      <c r="BQ77" s="11" cm="1">
        <f t="array" ref="BQ77">IF(BQ$8=-1,BR77,IF(BQ$8=99,BP77,IF(BQ$8=0,INDEX($E77:$K77,0,BQ$6),(INDEX($E77:$K77,0,BQ$8+1)-INDEX($E77:$K77,0,BQ$8))/(INDEX($D$5:$J$5,0,BQ$8+1)-INDEX($D$5:$J$5,0,BQ$8))+BP77)))</f>
        <v>0</v>
      </c>
      <c r="BR77" s="11" cm="1">
        <f t="array" ref="BR77">IF(BR$8=-1,BS77,IF(BR$8=99,BQ77,IF(BR$8=0,INDEX($E77:$K77,0,BR$6),(INDEX($E77:$K77,0,BR$8+1)-INDEX($E77:$K77,0,BR$8))/(INDEX($D$5:$J$5,0,BR$8+1)-INDEX($D$5:$J$5,0,BR$8))+BQ77)))</f>
        <v>0</v>
      </c>
    </row>
    <row r="78" spans="1:70" ht="15">
      <c r="A78" t="s">
        <v>16</v>
      </c>
      <c r="B78" s="5" t="s">
        <v>233</v>
      </c>
      <c r="C78" s="75" t="str">
        <f t="shared" si="136"/>
        <v>Commercial - Other</v>
      </c>
      <c r="D78" s="75" t="s">
        <v>66</v>
      </c>
      <c r="E78" s="84">
        <f>$D64/L$23</f>
        <v>141.24997285391106</v>
      </c>
      <c r="F78" s="92">
        <f t="shared" si="141"/>
        <v>145.08075848468391</v>
      </c>
      <c r="G78" s="92">
        <f t="shared" si="137"/>
        <v>145.08075848468391</v>
      </c>
      <c r="H78" s="92">
        <f t="shared" si="142"/>
        <v>145.08075848468391</v>
      </c>
      <c r="I78" s="134">
        <f t="shared" si="137"/>
        <v>145.08075848468391</v>
      </c>
      <c r="J78" s="134">
        <f t="shared" si="138"/>
        <v>145.08075848468391</v>
      </c>
      <c r="K78" s="134">
        <f t="shared" si="139"/>
        <v>145.08075848468391</v>
      </c>
      <c r="L78" s="11" cm="1">
        <f t="array" ref="L78">IF(L$8=-1,M78,IF(L$8=99,I78,IF(L$8=0,INDEX($E78:$I78,0,L$6),(INDEX($E78:$I78,0,L$8+1)-INDEX($E78:$I78,0,L$8))/(INDEX($D$5:$H$5,0,L$8+1)-INDEX($D$5:$H$5,0,L$8))+I78)))</f>
        <v>141.24997285391106</v>
      </c>
      <c r="M78" s="11" cm="1">
        <f t="array" ref="M78">IF(M$8=-1,N78,IF(M$8=99,L78,IF(M$8=0,INDEX($E78:$I78,0,M$6),(INDEX($E78:$I78,0,M$8+1)-INDEX($E78:$I78,0,M$8))/(INDEX($D$5:$H$5,0,M$8+1)-INDEX($D$5:$H$5,0,M$8))+L78)))</f>
        <v>142.01612998006564</v>
      </c>
      <c r="N78" s="11" cm="1">
        <f t="array" ref="N78">IF(N$8=-1,O78,IF(N$8=99,M78,IF(N$8=0,INDEX($E78:$I78,0,N$6),(INDEX($E78:$I78,0,N$8+1)-INDEX($E78:$I78,0,N$8))/(INDEX($D$5:$H$5,0,N$8+1)-INDEX($D$5:$H$5,0,N$8))+M78)))</f>
        <v>142.78228710622022</v>
      </c>
      <c r="O78" s="11" cm="1">
        <f t="array" ref="O78">IF(O$8=-1,P78,IF(O$8=99,N78,IF(O$8=0,INDEX($E78:$I78,0,O$6),(INDEX($E78:$I78,0,O$8+1)-INDEX($E78:$I78,0,O$8))/(INDEX($D$5:$H$5,0,O$8+1)-INDEX($D$5:$H$5,0,O$8))+N78)))</f>
        <v>143.54844423237481</v>
      </c>
      <c r="P78" s="11" cm="1">
        <f t="array" ref="P78">IF(P$8=-1,Q78,IF(P$8=99,O78,IF(P$8=0,INDEX($E78:$I78,0,P$6),(INDEX($E78:$I78,0,P$8+1)-INDEX($E78:$I78,0,P$8))/(INDEX($D$5:$H$5,0,P$8+1)-INDEX($D$5:$H$5,0,P$8))+O78)))</f>
        <v>144.31460135852939</v>
      </c>
      <c r="Q78" s="11" cm="1">
        <f t="array" ref="Q78">IF(Q$8=-1,R78,IF(Q$8=99,P78,IF(Q$8=0,INDEX($E78:$I78,0,Q$6),(INDEX($E78:$I78,0,Q$8+1)-INDEX($E78:$I78,0,Q$8))/(INDEX($D$5:$H$5,0,Q$8+1)-INDEX($D$5:$H$5,0,Q$8))+P78)))</f>
        <v>145.08075848468391</v>
      </c>
      <c r="R78" s="11" cm="1">
        <f t="array" ref="R78">IF(R$8=-1,S78,IF(R$8=99,Q78,IF(R$8=0,INDEX($E78:$I78,0,R$6),(INDEX($E78:$I78,0,R$8+1)-INDEX($E78:$I78,0,R$8))/(INDEX($D$5:$H$5,0,R$8+1)-INDEX($D$5:$H$5,0,R$8))+Q78)))</f>
        <v>145.08075848468391</v>
      </c>
      <c r="S78" s="11" cm="1">
        <f t="array" ref="S78">IF(S$8=-1,T78,IF(S$8=99,R78,IF(S$8=0,INDEX($E78:$I78,0,S$6),(INDEX($E78:$I78,0,S$8+1)-INDEX($E78:$I78,0,S$8))/(INDEX($D$5:$H$5,0,S$8+1)-INDEX($D$5:$H$5,0,S$8))+R78)))</f>
        <v>145.08075848468391</v>
      </c>
      <c r="T78" s="11" cm="1">
        <f t="array" ref="T78">IF(T$8=-1,U78,IF(T$8=99,S78,IF(T$8=0,INDEX($E78:$I78,0,T$6),(INDEX($E78:$I78,0,T$8+1)-INDEX($E78:$I78,0,T$8))/(INDEX($D$5:$H$5,0,T$8+1)-INDEX($D$5:$H$5,0,T$8))+S78)))</f>
        <v>145.08075848468391</v>
      </c>
      <c r="U78" s="11" cm="1">
        <f t="array" ref="U78">IF(U$8=-1,V78,IF(U$8=99,T78,IF(U$8=0,INDEX($E78:$I78,0,U$6),(INDEX($E78:$I78,0,U$8+1)-INDEX($E78:$I78,0,U$8))/(INDEX($D$5:$H$5,0,U$8+1)-INDEX($D$5:$H$5,0,U$8))+T78)))</f>
        <v>145.08075848468391</v>
      </c>
      <c r="V78" s="11" cm="1">
        <f t="array" ref="V78">IF(V$8=-1,W78,IF(V$8=99,U78,IF(V$8=0,INDEX($E78:$I78,0,V$6),(INDEX($E78:$I78,0,V$8+1)-INDEX($E78:$I78,0,V$8))/(INDEX($D$5:$H$5,0,V$8+1)-INDEX($D$5:$H$5,0,V$8))+U78)))</f>
        <v>145.08075848468391</v>
      </c>
      <c r="W78" s="11" cm="1">
        <f t="array" ref="W78">IF(W$8=-1,X78,IF(W$8=99,V78,IF(W$8=0,INDEX($E78:$I78,0,W$6),(INDEX($E78:$I78,0,W$8+1)-INDEX($E78:$I78,0,W$8))/(INDEX($D$5:$H$5,0,W$8+1)-INDEX($D$5:$H$5,0,W$8))+V78)))</f>
        <v>145.08075848468391</v>
      </c>
      <c r="X78" s="11" cm="1">
        <f t="array" ref="X78">IF(X$8=-1,Y78,IF(X$8=99,W78,IF(X$8=0,INDEX($E78:$I78,0,X$6),(INDEX($E78:$I78,0,X$8+1)-INDEX($E78:$I78,0,X$8))/(INDEX($D$5:$H$5,0,X$8+1)-INDEX($D$5:$H$5,0,X$8))+W78)))</f>
        <v>145.08075848468391</v>
      </c>
      <c r="Y78" s="11" cm="1">
        <f t="array" ref="Y78">IF(Y$8=-1,Z78,IF(Y$8=99,X78,IF(Y$8=0,INDEX($E78:$I78,0,Y$6),(INDEX($E78:$I78,0,Y$8+1)-INDEX($E78:$I78,0,Y$8))/(INDEX($D$5:$H$5,0,Y$8+1)-INDEX($D$5:$H$5,0,Y$8))+X78)))</f>
        <v>145.08075848468391</v>
      </c>
      <c r="Z78" s="11" cm="1">
        <f t="array" ref="Z78">IF(Z$8=-1,AA78,IF(Z$8=99,Y78,IF(Z$8=0,INDEX($E78:$I78,0,Z$6),(INDEX($E78:$I78,0,Z$8+1)-INDEX($E78:$I78,0,Z$8))/(INDEX($D$5:$H$5,0,Z$8+1)-INDEX($D$5:$H$5,0,Z$8))+Y78)))</f>
        <v>145.08075848468391</v>
      </c>
      <c r="AA78" s="11" cm="1">
        <f t="array" ref="AA78">IF(AA$8=-1,AB78,IF(AA$8=99,Z78,IF(AA$8=0,INDEX($E78:$I78,0,AA$6),(INDEX($E78:$I78,0,AA$8+1)-INDEX($E78:$I78,0,AA$8))/(INDEX($D$5:$H$5,0,AA$8+1)-INDEX($D$5:$H$5,0,AA$8))+Z78)))</f>
        <v>145.08075848468391</v>
      </c>
      <c r="AB78" s="11" cm="1">
        <f t="array" ref="AB78">IF(AB$8=-1,AC78,IF(AB$8=99,AA78,IF(AB$8=0,INDEX($E78:$I78,0,AB$6),(INDEX($E78:$I78,0,AB$8+1)-INDEX($E78:$I78,0,AB$8))/(INDEX($D$5:$H$5,0,AB$8+1)-INDEX($D$5:$H$5,0,AB$8))+AA78)))</f>
        <v>145.08075848468391</v>
      </c>
      <c r="AC78" s="11" cm="1">
        <f t="array" ref="AC78">IF(AC$8=-1,AD78,IF(AC$8=99,AB78,IF(AC$8=0,INDEX($E78:$I78,0,AC$6),(INDEX($E78:$I78,0,AC$8+1)-INDEX($E78:$I78,0,AC$8))/(INDEX($D$5:$H$5,0,AC$8+1)-INDEX($D$5:$H$5,0,AC$8))+AB78)))</f>
        <v>145.08075848468391</v>
      </c>
      <c r="AD78" s="11" cm="1">
        <f t="array" ref="AD78">IF(AD$8=-1,AE78,IF(AD$8=99,AC78,IF(AD$8=0,INDEX($E78:$I78,0,AD$6),(INDEX($E78:$I78,0,AD$8+1)-INDEX($E78:$I78,0,AD$8))/(INDEX($D$5:$H$5,0,AD$8+1)-INDEX($D$5:$H$5,0,AD$8))+AC78)))</f>
        <v>145.08075848468391</v>
      </c>
      <c r="AE78" s="11" cm="1">
        <f t="array" ref="AE78">IF(AE$8=-1,AF78,IF(AE$8=99,AD78,IF(AE$8=0,INDEX($E78:$I78,0,AE$6),(INDEX($E78:$I78,0,AE$8+1)-INDEX($E78:$I78,0,AE$8))/(INDEX($D$5:$H$5,0,AE$8+1)-INDEX($D$5:$H$5,0,AE$8))+AD78)))</f>
        <v>145.08075848468391</v>
      </c>
      <c r="AF78" s="11" cm="1">
        <f t="array" ref="AF78">IF(AF$8=-1,AG78,IF(AF$8=99,AE78,IF(AF$8=0,INDEX($E78:$I78,0,AF$6),(INDEX($E78:$I78,0,AF$8+1)-INDEX($E78:$I78,0,AF$8))/(INDEX($D$5:$H$5,0,AF$8+1)-INDEX($D$5:$H$5,0,AF$8))+AE78)))</f>
        <v>145.08075848468391</v>
      </c>
      <c r="AG78" s="11" cm="1">
        <f t="array" ref="AG78">IF(AG$8=-1,AH78,IF(AG$8=99,AF78,IF(AG$8=0,INDEX($E78:$I78,0,AG$6),(INDEX($E78:$I78,0,AG$8+1)-INDEX($E78:$I78,0,AG$8))/(INDEX($D$5:$H$5,0,AG$8+1)-INDEX($D$5:$H$5,0,AG$8))+AF78)))</f>
        <v>145.08075848468391</v>
      </c>
      <c r="AH78" s="11" cm="1">
        <f t="array" ref="AH78">IF(AH$8=-1,AI78,IF(AH$8=99,AG78,IF(AH$8=0,INDEX($E78:$I78,0,AH$6),(INDEX($E78:$I78,0,AH$8+1)-INDEX($E78:$I78,0,AH$8))/(INDEX($D$5:$H$5,0,AH$8+1)-INDEX($D$5:$H$5,0,AH$8))+AG78)))</f>
        <v>145.08075848468391</v>
      </c>
      <c r="AI78" s="11" cm="1">
        <f t="array" ref="AI78">IF(AI$8=-1,AJ78,IF(AI$8=99,AH78,IF(AI$8=0,INDEX($E78:$I78,0,AI$6),(INDEX($E78:$I78,0,AI$8+1)-INDEX($E78:$I78,0,AI$8))/(INDEX($D$5:$H$5,0,AI$8+1)-INDEX($D$5:$H$5,0,AI$8))+AH78)))</f>
        <v>145.08075848468391</v>
      </c>
      <c r="AJ78" s="11" cm="1">
        <f t="array" ref="AJ78">IF(AJ$8=-1,AK78,IF(AJ$8=99,AI78,IF(AJ$8=0,INDEX($E78:$I78,0,AJ$6),(INDEX($E78:$I78,0,AJ$8+1)-INDEX($E78:$I78,0,AJ$8))/(INDEX($D$5:$H$5,0,AJ$8+1)-INDEX($D$5:$H$5,0,AJ$8))+AI78)))</f>
        <v>145.08075848468391</v>
      </c>
      <c r="AK78" s="11" cm="1">
        <f t="array" ref="AK78">IF(AK$8=-1,AL78,IF(AK$8=99,AJ78,IF(AK$8=0,INDEX($E78:$I78,0,AK$6),(INDEX($E78:$I78,0,AK$8+1)-INDEX($E78:$I78,0,AK$8))/(INDEX($D$5:$H$5,0,AK$8+1)-INDEX($D$5:$H$5,0,AK$8))+AJ78)))</f>
        <v>145.08075848468391</v>
      </c>
      <c r="AL78" s="11" cm="1">
        <f t="array" ref="AL78">IF(AL$8=-1,AM78,IF(AL$8=99,AK78,IF(AL$8=0,INDEX($E78:$I78,0,AL$6),(INDEX($E78:$I78,0,AL$8+1)-INDEX($E78:$I78,0,AL$8))/(INDEX($D$5:$H$5,0,AL$8+1)-INDEX($D$5:$H$5,0,AL$8))+AK78)))</f>
        <v>145.08075848468391</v>
      </c>
      <c r="AM78" s="11" cm="1">
        <f t="array" ref="AM78">IF(AM$8=-1,AN78,IF(AM$8=99,AL78,IF(AM$8=0,INDEX($E78:$I78,0,AM$6),(INDEX($E78:$I78,0,AM$8+1)-INDEX($E78:$I78,0,AM$8))/(INDEX($D$5:$H$5,0,AM$8+1)-INDEX($D$5:$H$5,0,AM$8))+AL78)))</f>
        <v>145.08075848468391</v>
      </c>
      <c r="AN78" s="11" cm="1">
        <f t="array" ref="AN78">IF(AN$8=-1,AO78,IF(AN$8=99,AM78,IF(AN$8=0,INDEX($E78:$I78,0,AN$6),(INDEX($E78:$I78,0,AN$8+1)-INDEX($E78:$I78,0,AN$8))/(INDEX($D$5:$H$5,0,AN$8+1)-INDEX($D$5:$H$5,0,AN$8))+AM78)))</f>
        <v>145.08075848468391</v>
      </c>
      <c r="AO78" s="11" cm="1">
        <f t="array" ref="AO78">IF(AO$8=-1,AP78,IF(AO$8=99,AN78,IF(AO$8=0,INDEX($E78:$K78,0,AO$6),(INDEX($E78:$K78,0,AO$8+1)-INDEX($E78:$K78,0,AO$8))/(INDEX($D$5:$J$5,0,AO$8+1)-INDEX($D$5:$J$5,0,AO$8))+AN78)))</f>
        <v>145.08075848468391</v>
      </c>
      <c r="AP78" s="11" cm="1">
        <f t="array" ref="AP78">IF(AP$8=-1,AQ78,IF(AP$8=99,AO78,IF(AP$8=0,INDEX($E78:$K78,0,AP$6),(INDEX($E78:$K78,0,AP$8+1)-INDEX($E78:$K78,0,AP$8))/(INDEX($D$5:$J$5,0,AP$8+1)-INDEX($D$5:$J$5,0,AP$8))+AO78)))</f>
        <v>145.08075848468391</v>
      </c>
      <c r="AQ78" s="11" cm="1">
        <f t="array" ref="AQ78">IF(AQ$8=-1,AR78,IF(AQ$8=99,AP78,IF(AQ$8=0,INDEX($E78:$K78,0,AQ$6),(INDEX($E78:$K78,0,AQ$8+1)-INDEX($E78:$K78,0,AQ$8))/(INDEX($D$5:$J$5,0,AQ$8+1)-INDEX($D$5:$J$5,0,AQ$8))+AP78)))</f>
        <v>145.08075848468391</v>
      </c>
      <c r="AR78" s="11" cm="1">
        <f t="array" ref="AR78">IF(AR$8=-1,AS78,IF(AR$8=99,AQ78,IF(AR$8=0,INDEX($E78:$K78,0,AR$6),(INDEX($E78:$K78,0,AR$8+1)-INDEX($E78:$K78,0,AR$8))/(INDEX($D$5:$J$5,0,AR$8+1)-INDEX($D$5:$J$5,0,AR$8))+AQ78)))</f>
        <v>145.08075848468391</v>
      </c>
      <c r="AS78" s="11" cm="1">
        <f t="array" ref="AS78">IF(AS$8=-1,AT78,IF(AS$8=99,AR78,IF(AS$8=0,INDEX($E78:$K78,0,AS$6),(INDEX($E78:$K78,0,AS$8+1)-INDEX($E78:$K78,0,AS$8))/(INDEX($D$5:$J$5,0,AS$8+1)-INDEX($D$5:$J$5,0,AS$8))+AR78)))</f>
        <v>145.08075848468391</v>
      </c>
      <c r="AT78" s="11" cm="1">
        <f t="array" ref="AT78">IF(AT$8=-1,AU78,IF(AT$8=99,AS78,IF(AT$8=0,INDEX($E78:$K78,0,AT$6),(INDEX($E78:$K78,0,AT$8+1)-INDEX($E78:$K78,0,AT$8))/(INDEX($D$5:$J$5,0,AT$8+1)-INDEX($D$5:$J$5,0,AT$8))+AS78)))</f>
        <v>145.08075848468391</v>
      </c>
      <c r="AU78" s="11" cm="1">
        <f t="array" ref="AU78">IF(AU$8=-1,AV78,IF(AU$8=99,AT78,IF(AU$8=0,INDEX($E78:$K78,0,AU$6),(INDEX($E78:$K78,0,AU$8+1)-INDEX($E78:$K78,0,AU$8))/(INDEX($D$5:$J$5,0,AU$8+1)-INDEX($D$5:$J$5,0,AU$8))+AT78)))</f>
        <v>145.08075848468391</v>
      </c>
      <c r="AV78" s="11" cm="1">
        <f t="array" ref="AV78">IF(AV$8=-1,AW78,IF(AV$8=99,AU78,IF(AV$8=0,INDEX($E78:$K78,0,AV$6),(INDEX($E78:$K78,0,AV$8+1)-INDEX($E78:$K78,0,AV$8))/(INDEX($D$5:$J$5,0,AV$8+1)-INDEX($D$5:$J$5,0,AV$8))+AU78)))</f>
        <v>145.08075848468391</v>
      </c>
      <c r="AW78" s="11" cm="1">
        <f t="array" ref="AW78">IF(AW$8=-1,AX78,IF(AW$8=99,AV78,IF(AW$8=0,INDEX($E78:$K78,0,AW$6),(INDEX($E78:$K78,0,AW$8+1)-INDEX($E78:$K78,0,AW$8))/(INDEX($D$5:$J$5,0,AW$8+1)-INDEX($D$5:$J$5,0,AW$8))+AV78)))</f>
        <v>145.08075848468391</v>
      </c>
      <c r="AX78" s="11" cm="1">
        <f t="array" ref="AX78">IF(AX$8=-1,AY78,IF(AX$8=99,AW78,IF(AX$8=0,INDEX($E78:$K78,0,AX$6),(INDEX($E78:$K78,0,AX$8+1)-INDEX($E78:$K78,0,AX$8))/(INDEX($D$5:$J$5,0,AX$8+1)-INDEX($D$5:$J$5,0,AX$8))+AW78)))</f>
        <v>145.08075848468391</v>
      </c>
      <c r="AY78" s="11" cm="1">
        <f t="array" ref="AY78">IF(AY$8=-1,AZ78,IF(AY$8=99,AX78,IF(AY$8=0,INDEX($E78:$K78,0,AY$6),(INDEX($E78:$K78,0,AY$8+1)-INDEX($E78:$K78,0,AY$8))/(INDEX($D$5:$J$5,0,AY$8+1)-INDEX($D$5:$J$5,0,AY$8))+AX78)))</f>
        <v>145.08075848468391</v>
      </c>
      <c r="AZ78" s="11" cm="1">
        <f t="array" ref="AZ78">IF(AZ$8=-1,BA78,IF(AZ$8=99,AY78,IF(AZ$8=0,INDEX($E78:$K78,0,AZ$6),(INDEX($E78:$K78,0,AZ$8+1)-INDEX($E78:$K78,0,AZ$8))/(INDEX($D$5:$J$5,0,AZ$8+1)-INDEX($D$5:$J$5,0,AZ$8))+AY78)))</f>
        <v>145.08075848468391</v>
      </c>
      <c r="BA78" s="11" cm="1">
        <f t="array" ref="BA78">IF(BA$8=-1,BB78,IF(BA$8=99,AZ78,IF(BA$8=0,INDEX($E78:$K78,0,BA$6),(INDEX($E78:$K78,0,BA$8+1)-INDEX($E78:$K78,0,BA$8))/(INDEX($D$5:$J$5,0,BA$8+1)-INDEX($D$5:$J$5,0,BA$8))+AZ78)))</f>
        <v>145.08075848468391</v>
      </c>
      <c r="BB78" s="11" cm="1">
        <f t="array" ref="BB78">IF(BB$8=-1,BC78,IF(BB$8=99,BA78,IF(BB$8=0,INDEX($E78:$K78,0,BB$6),(INDEX($E78:$K78,0,BB$8+1)-INDEX($E78:$K78,0,BB$8))/(INDEX($D$5:$J$5,0,BB$8+1)-INDEX($D$5:$J$5,0,BB$8))+BA78)))</f>
        <v>145.08075848468391</v>
      </c>
      <c r="BC78" s="11" cm="1">
        <f t="array" ref="BC78">IF(BC$8=-1,BD78,IF(BC$8=99,BB78,IF(BC$8=0,INDEX($E78:$K78,0,BC$6),(INDEX($E78:$K78,0,BC$8+1)-INDEX($E78:$K78,0,BC$8))/(INDEX($D$5:$J$5,0,BC$8+1)-INDEX($D$5:$J$5,0,BC$8))+BB78)))</f>
        <v>145.08075848468391</v>
      </c>
      <c r="BD78" s="11" cm="1">
        <f t="array" ref="BD78">IF(BD$8=-1,BE78,IF(BD$8=99,BC78,IF(BD$8=0,INDEX($E78:$K78,0,BD$6),(INDEX($E78:$K78,0,BD$8+1)-INDEX($E78:$K78,0,BD$8))/(INDEX($D$5:$J$5,0,BD$8+1)-INDEX($D$5:$J$5,0,BD$8))+BC78)))</f>
        <v>145.08075848468391</v>
      </c>
      <c r="BE78" s="11" cm="1">
        <f t="array" ref="BE78">IF(BE$8=-1,BF78,IF(BE$8=99,BD78,IF(BE$8=0,INDEX($E78:$K78,0,BE$6),(INDEX($E78:$K78,0,BE$8+1)-INDEX($E78:$K78,0,BE$8))/(INDEX($D$5:$J$5,0,BE$8+1)-INDEX($D$5:$J$5,0,BE$8))+BD78)))</f>
        <v>145.08075848468391</v>
      </c>
      <c r="BF78" s="11" cm="1">
        <f t="array" ref="BF78">IF(BF$8=-1,BG78,IF(BF$8=99,BE78,IF(BF$8=0,INDEX($E78:$K78,0,BF$6),(INDEX($E78:$K78,0,BF$8+1)-INDEX($E78:$K78,0,BF$8))/(INDEX($D$5:$J$5,0,BF$8+1)-INDEX($D$5:$J$5,0,BF$8))+BE78)))</f>
        <v>145.08075848468391</v>
      </c>
      <c r="BG78" s="11" cm="1">
        <f t="array" ref="BG78">IF(BG$8=-1,BH78,IF(BG$8=99,BF78,IF(BG$8=0,INDEX($E78:$K78,0,BG$6),(INDEX($E78:$K78,0,BG$8+1)-INDEX($E78:$K78,0,BG$8))/(INDEX($D$5:$J$5,0,BG$8+1)-INDEX($D$5:$J$5,0,BG$8))+BF78)))</f>
        <v>145.08075848468391</v>
      </c>
      <c r="BH78" s="11" cm="1">
        <f t="array" ref="BH78">IF(BH$8=-1,BI78,IF(BH$8=99,BG78,IF(BH$8=0,INDEX($E78:$K78,0,BH$6),(INDEX($E78:$K78,0,BH$8+1)-INDEX($E78:$K78,0,BH$8))/(INDEX($D$5:$J$5,0,BH$8+1)-INDEX($D$5:$J$5,0,BH$8))+BG78)))</f>
        <v>145.08075848468391</v>
      </c>
      <c r="BI78" s="11" cm="1">
        <f t="array" ref="BI78">IF(BI$8=-1,BJ78,IF(BI$8=99,BH78,IF(BI$8=0,INDEX($E78:$K78,0,BI$6),(INDEX($E78:$K78,0,BI$8+1)-INDEX($E78:$K78,0,BI$8))/(INDEX($D$5:$J$5,0,BI$8+1)-INDEX($D$5:$J$5,0,BI$8))+BH78)))</f>
        <v>145.08075848468391</v>
      </c>
      <c r="BJ78" s="11" cm="1">
        <f t="array" ref="BJ78">IF(BJ$8=-1,BK78,IF(BJ$8=99,BI78,IF(BJ$8=0,INDEX($E78:$K78,0,BJ$6),(INDEX($E78:$K78,0,BJ$8+1)-INDEX($E78:$K78,0,BJ$8))/(INDEX($D$5:$J$5,0,BJ$8+1)-INDEX($D$5:$J$5,0,BJ$8))+BI78)))</f>
        <v>145.08075848468391</v>
      </c>
      <c r="BK78" s="11" cm="1">
        <f t="array" ref="BK78">IF(BK$8=-1,BL78,IF(BK$8=99,BJ78,IF(BK$8=0,INDEX($E78:$K78,0,BK$6),(INDEX($E78:$K78,0,BK$8+1)-INDEX($E78:$K78,0,BK$8))/(INDEX($D$5:$J$5,0,BK$8+1)-INDEX($D$5:$J$5,0,BK$8))+BJ78)))</f>
        <v>145.08075848468391</v>
      </c>
      <c r="BL78" s="11" cm="1">
        <f t="array" ref="BL78">IF(BL$8=-1,BM78,IF(BL$8=99,BK78,IF(BL$8=0,INDEX($E78:$K78,0,BL$6),(INDEX($E78:$K78,0,BL$8+1)-INDEX($E78:$K78,0,BL$8))/(INDEX($D$5:$J$5,0,BL$8+1)-INDEX($D$5:$J$5,0,BL$8))+BK78)))</f>
        <v>145.08075848468391</v>
      </c>
      <c r="BM78" s="11" cm="1">
        <f t="array" ref="BM78">IF(BM$8=-1,BN78,IF(BM$8=99,BL78,IF(BM$8=0,INDEX($E78:$K78,0,BM$6),(INDEX($E78:$K78,0,BM$8+1)-INDEX($E78:$K78,0,BM$8))/(INDEX($D$5:$J$5,0,BM$8+1)-INDEX($D$5:$J$5,0,BM$8))+BL78)))</f>
        <v>145.08075848468391</v>
      </c>
      <c r="BN78" s="11" cm="1">
        <f t="array" ref="BN78">IF(BN$8=-1,BO78,IF(BN$8=99,BM78,IF(BN$8=0,INDEX($E78:$K78,0,BN$6),(INDEX($E78:$K78,0,BN$8+1)-INDEX($E78:$K78,0,BN$8))/(INDEX($D$5:$J$5,0,BN$8+1)-INDEX($D$5:$J$5,0,BN$8))+BM78)))</f>
        <v>145.08075848468391</v>
      </c>
      <c r="BO78" s="11" cm="1">
        <f t="array" ref="BO78">IF(BO$8=-1,BP78,IF(BO$8=99,BN78,IF(BO$8=0,INDEX($E78:$K78,0,BO$6),(INDEX($E78:$K78,0,BO$8+1)-INDEX($E78:$K78,0,BO$8))/(INDEX($D$5:$J$5,0,BO$8+1)-INDEX($D$5:$J$5,0,BO$8))+BN78)))</f>
        <v>145.08075848468391</v>
      </c>
      <c r="BP78" s="11" cm="1">
        <f t="array" ref="BP78">IF(BP$8=-1,BQ78,IF(BP$8=99,BO78,IF(BP$8=0,INDEX($E78:$K78,0,BP$6),(INDEX($E78:$K78,0,BP$8+1)-INDEX($E78:$K78,0,BP$8))/(INDEX($D$5:$J$5,0,BP$8+1)-INDEX($D$5:$J$5,0,BP$8))+BO78)))</f>
        <v>145.08075848468391</v>
      </c>
      <c r="BQ78" s="11" cm="1">
        <f t="array" ref="BQ78">IF(BQ$8=-1,BR78,IF(BQ$8=99,BP78,IF(BQ$8=0,INDEX($E78:$K78,0,BQ$6),(INDEX($E78:$K78,0,BQ$8+1)-INDEX($E78:$K78,0,BQ$8))/(INDEX($D$5:$J$5,0,BQ$8+1)-INDEX($D$5:$J$5,0,BQ$8))+BP78)))</f>
        <v>145.08075848468391</v>
      </c>
      <c r="BR78" s="11" cm="1">
        <f t="array" ref="BR78">IF(BR$8=-1,BS78,IF(BR$8=99,BQ78,IF(BR$8=0,INDEX($E78:$K78,0,BR$6),(INDEX($E78:$K78,0,BR$8+1)-INDEX($E78:$K78,0,BR$8))/(INDEX($D$5:$J$5,0,BR$8+1)-INDEX($D$5:$J$5,0,BR$8))+BQ78)))</f>
        <v>145.08075848468391</v>
      </c>
    </row>
    <row r="79" spans="1:70" ht="15">
      <c r="A79" t="s">
        <v>16</v>
      </c>
      <c r="B79" s="5"/>
      <c r="I79" s="153"/>
      <c r="J79" s="153"/>
      <c r="K79" s="153"/>
      <c r="M79"/>
      <c r="N79"/>
      <c r="O79"/>
      <c r="P79"/>
      <c r="Q79"/>
      <c r="R79"/>
      <c r="S79"/>
      <c r="T79" s="11"/>
      <c r="U79"/>
      <c r="V79"/>
      <c r="W79"/>
      <c r="X79"/>
      <c r="Y79"/>
      <c r="Z79"/>
      <c r="AA79"/>
      <c r="AB79"/>
      <c r="AC79"/>
      <c r="AD79"/>
      <c r="AE79"/>
      <c r="AF79"/>
      <c r="AG79"/>
      <c r="AH79"/>
      <c r="AI79"/>
      <c r="AJ79"/>
      <c r="AK79"/>
      <c r="AL79"/>
      <c r="AM79"/>
      <c r="AN79"/>
      <c r="AO79" s="11"/>
      <c r="AP79" s="11"/>
      <c r="AQ79" s="11"/>
      <c r="AR79" s="11"/>
      <c r="AS79" s="11"/>
      <c r="AT79" s="11"/>
      <c r="AU79" s="11"/>
      <c r="AV79" s="11"/>
      <c r="AW79" s="11"/>
      <c r="AX79" s="11"/>
      <c r="AY79" s="11"/>
      <c r="AZ79" s="11"/>
      <c r="BA79" s="11"/>
      <c r="BB79" s="11"/>
      <c r="BC79" s="11"/>
      <c r="BD79" s="11"/>
      <c r="BE79" s="11"/>
      <c r="BF79" s="11"/>
      <c r="BG79" s="11"/>
      <c r="BH79" s="11"/>
      <c r="BI79" s="11"/>
      <c r="BJ79" s="11"/>
      <c r="BK79" s="11"/>
      <c r="BL79" s="11"/>
      <c r="BM79" s="11"/>
      <c r="BN79" s="11"/>
      <c r="BO79" s="11"/>
      <c r="BP79" s="11"/>
      <c r="BQ79" s="11"/>
      <c r="BR79" s="11"/>
    </row>
    <row r="80" spans="1:70" ht="15.75" thickBot="1">
      <c r="A80" t="s">
        <v>16</v>
      </c>
      <c r="B80" s="91" t="s">
        <v>68</v>
      </c>
      <c r="C80" s="72"/>
      <c r="D80" s="73"/>
      <c r="H80" s="127"/>
      <c r="I80" s="135"/>
      <c r="J80" s="135"/>
      <c r="K80" s="135"/>
      <c r="M80" s="75"/>
      <c r="AO80" s="11"/>
      <c r="AP80" s="11"/>
      <c r="AQ80" s="11"/>
      <c r="AR80" s="11"/>
      <c r="AS80" s="11"/>
      <c r="AT80" s="11"/>
      <c r="AU80" s="11"/>
      <c r="AV80" s="11"/>
      <c r="AW80" s="11"/>
      <c r="AX80" s="11"/>
      <c r="AY80" s="11"/>
      <c r="AZ80" s="11"/>
      <c r="BA80" s="11"/>
      <c r="BB80" s="11"/>
      <c r="BC80" s="11"/>
      <c r="BD80" s="11"/>
      <c r="BE80" s="11"/>
      <c r="BF80" s="11"/>
      <c r="BG80" s="11"/>
      <c r="BH80" s="11"/>
      <c r="BI80" s="11"/>
      <c r="BJ80" s="11"/>
      <c r="BK80" s="11"/>
      <c r="BL80" s="11"/>
      <c r="BM80" s="11"/>
      <c r="BN80" s="11"/>
      <c r="BO80" s="11"/>
      <c r="BP80" s="11"/>
      <c r="BQ80" s="11"/>
      <c r="BR80" s="11"/>
    </row>
    <row r="81" spans="1:70" ht="15">
      <c r="A81" t="s">
        <v>16</v>
      </c>
      <c r="B81" s="5" t="s">
        <v>234</v>
      </c>
      <c r="C81" s="75" t="str">
        <f t="shared" si="143" ref="C81:C89">C70</f>
        <v>Commercial - Cooling</v>
      </c>
      <c r="D81" s="75" t="s">
        <v>66</v>
      </c>
      <c r="E81" s="84">
        <f>E70</f>
        <v>1051.567060091289</v>
      </c>
      <c r="F81" s="92">
        <f>F70</f>
        <v>922.3353159822409</v>
      </c>
      <c r="G81" s="92">
        <f t="shared" si="144" ref="G81:G89">F81</f>
        <v>922.3353159822409</v>
      </c>
      <c r="H81" s="92">
        <f>IF($N$57=-1,G81,((F81-E81)*2/5+E81)*(1+$H$69))</f>
        <v>922.3353159822409</v>
      </c>
      <c r="I81" s="134">
        <f t="shared" si="145" ref="I81:I89">H81</f>
        <v>922.3353159822409</v>
      </c>
      <c r="J81" s="134">
        <f t="shared" si="146" ref="J81:J89">I81</f>
        <v>922.3353159822409</v>
      </c>
      <c r="K81" s="134">
        <f t="shared" si="147" ref="K81:K89">J81</f>
        <v>922.3353159822409</v>
      </c>
      <c r="L81" s="11" cm="1">
        <f t="array" ref="L81">IF(L$8=-1,M81,IF(L$8=99,I81,IF(L$8=0,INDEX($E81:$I81,0,L$6),(INDEX($E81:$I81,0,L$8+1)-INDEX($E81:$I81,0,L$8))/(INDEX($D$5:$H$5,0,L$8+1)-INDEX($D$5:$H$5,0,L$8))+I81)))</f>
        <v>1051.567060091289</v>
      </c>
      <c r="M81" s="11" cm="1">
        <f t="array" ref="M81">IF(M$8=-1,N81,IF(M$8=99,L81,IF(M$8=0,INDEX($E81:$I81,0,M$6),(INDEX($E81:$I81,0,M$8+1)-INDEX($E81:$I81,0,M$8))/(INDEX($D$5:$H$5,0,M$8+1)-INDEX($D$5:$H$5,0,M$8))+L81)))</f>
        <v>1025.7207112694794</v>
      </c>
      <c r="N81" s="11" cm="1">
        <f t="array" ref="N81">IF(N$8=-1,O81,IF(N$8=99,M81,IF(N$8=0,INDEX($E81:$I81,0,N$6),(INDEX($E81:$I81,0,N$8+1)-INDEX($E81:$I81,0,N$8))/(INDEX($D$5:$H$5,0,N$8+1)-INDEX($D$5:$H$5,0,N$8))+M81)))</f>
        <v>999.87436244766968</v>
      </c>
      <c r="O81" s="11" cm="1">
        <f t="array" ref="O81">IF(O$8=-1,P81,IF(O$8=99,N81,IF(O$8=0,INDEX($E81:$I81,0,O$6),(INDEX($E81:$I81,0,O$8+1)-INDEX($E81:$I81,0,O$8))/(INDEX($D$5:$H$5,0,O$8+1)-INDEX($D$5:$H$5,0,O$8))+N81)))</f>
        <v>974.02801362586001</v>
      </c>
      <c r="P81" s="11" cm="1">
        <f t="array" ref="P81">IF(P$8=-1,Q81,IF(P$8=99,O81,IF(P$8=0,INDEX($E81:$I81,0,P$6),(INDEX($E81:$I81,0,P$8+1)-INDEX($E81:$I81,0,P$8))/(INDEX($D$5:$H$5,0,P$8+1)-INDEX($D$5:$H$5,0,P$8))+O81)))</f>
        <v>948.18166480405034</v>
      </c>
      <c r="Q81" s="11" cm="1">
        <f t="array" ref="Q81">IF(Q$8=-1,R81,IF(Q$8=99,P81,IF(Q$8=0,INDEX($E81:$I81,0,Q$6),(INDEX($E81:$I81,0,Q$8+1)-INDEX($E81:$I81,0,Q$8))/(INDEX($D$5:$H$5,0,Q$8+1)-INDEX($D$5:$H$5,0,Q$8))+P81)))</f>
        <v>922.3353159822409</v>
      </c>
      <c r="R81" s="11" cm="1">
        <f t="array" ref="R81">IF(R$8=-1,S81,IF(R$8=99,Q81,IF(R$8=0,INDEX($E81:$I81,0,R$6),(INDEX($E81:$I81,0,R$8+1)-INDEX($E81:$I81,0,R$8))/(INDEX($D$5:$H$5,0,R$8+1)-INDEX($D$5:$H$5,0,R$8))+Q81)))</f>
        <v>922.3353159822409</v>
      </c>
      <c r="S81" s="11" cm="1">
        <f t="array" ref="S81">IF(S$8=-1,T81,IF(S$8=99,R81,IF(S$8=0,INDEX($E81:$I81,0,S$6),(INDEX($E81:$I81,0,S$8+1)-INDEX($E81:$I81,0,S$8))/(INDEX($D$5:$H$5,0,S$8+1)-INDEX($D$5:$H$5,0,S$8))+R81)))</f>
        <v>922.3353159822409</v>
      </c>
      <c r="T81" s="11" cm="1">
        <f t="array" ref="T81">IF(T$8=-1,U81,IF(T$8=99,S81,IF(T$8=0,INDEX($E81:$I81,0,T$6),(INDEX($E81:$I81,0,T$8+1)-INDEX($E81:$I81,0,T$8))/(INDEX($D$5:$H$5,0,T$8+1)-INDEX($D$5:$H$5,0,T$8))+S81)))</f>
        <v>922.3353159822409</v>
      </c>
      <c r="U81" s="11" cm="1">
        <f t="array" ref="U81">IF(U$8=-1,V81,IF(U$8=99,T81,IF(U$8=0,INDEX($E81:$I81,0,U$6),(INDEX($E81:$I81,0,U$8+1)-INDEX($E81:$I81,0,U$8))/(INDEX($D$5:$H$5,0,U$8+1)-INDEX($D$5:$H$5,0,U$8))+T81)))</f>
        <v>922.3353159822409</v>
      </c>
      <c r="V81" s="11" cm="1">
        <f t="array" ref="V81">IF(V$8=-1,W81,IF(V$8=99,U81,IF(V$8=0,INDEX($E81:$I81,0,V$6),(INDEX($E81:$I81,0,V$8+1)-INDEX($E81:$I81,0,V$8))/(INDEX($D$5:$H$5,0,V$8+1)-INDEX($D$5:$H$5,0,V$8))+U81)))</f>
        <v>922.3353159822409</v>
      </c>
      <c r="W81" s="11" cm="1">
        <f t="array" ref="W81">IF(W$8=-1,X81,IF(W$8=99,V81,IF(W$8=0,INDEX($E81:$I81,0,W$6),(INDEX($E81:$I81,0,W$8+1)-INDEX($E81:$I81,0,W$8))/(INDEX($D$5:$H$5,0,W$8+1)-INDEX($D$5:$H$5,0,W$8))+V81)))</f>
        <v>922.3353159822409</v>
      </c>
      <c r="X81" s="11" cm="1">
        <f t="array" ref="X81">IF(X$8=-1,Y81,IF(X$8=99,W81,IF(X$8=0,INDEX($E81:$I81,0,X$6),(INDEX($E81:$I81,0,X$8+1)-INDEX($E81:$I81,0,X$8))/(INDEX($D$5:$H$5,0,X$8+1)-INDEX($D$5:$H$5,0,X$8))+W81)))</f>
        <v>922.3353159822409</v>
      </c>
      <c r="Y81" s="11" cm="1">
        <f t="array" ref="Y81">IF(Y$8=-1,Z81,IF(Y$8=99,X81,IF(Y$8=0,INDEX($E81:$I81,0,Y$6),(INDEX($E81:$I81,0,Y$8+1)-INDEX($E81:$I81,0,Y$8))/(INDEX($D$5:$H$5,0,Y$8+1)-INDEX($D$5:$H$5,0,Y$8))+X81)))</f>
        <v>922.3353159822409</v>
      </c>
      <c r="Z81" s="11" cm="1">
        <f t="array" ref="Z81">IF(Z$8=-1,AA81,IF(Z$8=99,Y81,IF(Z$8=0,INDEX($E81:$I81,0,Z$6),(INDEX($E81:$I81,0,Z$8+1)-INDEX($E81:$I81,0,Z$8))/(INDEX($D$5:$H$5,0,Z$8+1)-INDEX($D$5:$H$5,0,Z$8))+Y81)))</f>
        <v>922.3353159822409</v>
      </c>
      <c r="AA81" s="11" cm="1">
        <f t="array" ref="AA81">IF(AA$8=-1,AB81,IF(AA$8=99,Z81,IF(AA$8=0,INDEX($E81:$I81,0,AA$6),(INDEX($E81:$I81,0,AA$8+1)-INDEX($E81:$I81,0,AA$8))/(INDEX($D$5:$H$5,0,AA$8+1)-INDEX($D$5:$H$5,0,AA$8))+Z81)))</f>
        <v>922.3353159822409</v>
      </c>
      <c r="AB81" s="11" cm="1">
        <f t="array" ref="AB81">IF(AB$8=-1,AC81,IF(AB$8=99,AA81,IF(AB$8=0,INDEX($E81:$I81,0,AB$6),(INDEX($E81:$I81,0,AB$8+1)-INDEX($E81:$I81,0,AB$8))/(INDEX($D$5:$H$5,0,AB$8+1)-INDEX($D$5:$H$5,0,AB$8))+AA81)))</f>
        <v>922.3353159822409</v>
      </c>
      <c r="AC81" s="11" cm="1">
        <f t="array" ref="AC81">IF(AC$8=-1,AD81,IF(AC$8=99,AB81,IF(AC$8=0,INDEX($E81:$I81,0,AC$6),(INDEX($E81:$I81,0,AC$8+1)-INDEX($E81:$I81,0,AC$8))/(INDEX($D$5:$H$5,0,AC$8+1)-INDEX($D$5:$H$5,0,AC$8))+AB81)))</f>
        <v>922.3353159822409</v>
      </c>
      <c r="AD81" s="11" cm="1">
        <f t="array" ref="AD81">IF(AD$8=-1,AE81,IF(AD$8=99,AC81,IF(AD$8=0,INDEX($E81:$I81,0,AD$6),(INDEX($E81:$I81,0,AD$8+1)-INDEX($E81:$I81,0,AD$8))/(INDEX($D$5:$H$5,0,AD$8+1)-INDEX($D$5:$H$5,0,AD$8))+AC81)))</f>
        <v>922.3353159822409</v>
      </c>
      <c r="AE81" s="11" cm="1">
        <f t="array" ref="AE81">IF(AE$8=-1,AF81,IF(AE$8=99,AD81,IF(AE$8=0,INDEX($E81:$I81,0,AE$6),(INDEX($E81:$I81,0,AE$8+1)-INDEX($E81:$I81,0,AE$8))/(INDEX($D$5:$H$5,0,AE$8+1)-INDEX($D$5:$H$5,0,AE$8))+AD81)))</f>
        <v>922.3353159822409</v>
      </c>
      <c r="AF81" s="11" cm="1">
        <f t="array" ref="AF81">IF(AF$8=-1,AG81,IF(AF$8=99,AE81,IF(AF$8=0,INDEX($E81:$I81,0,AF$6),(INDEX($E81:$I81,0,AF$8+1)-INDEX($E81:$I81,0,AF$8))/(INDEX($D$5:$H$5,0,AF$8+1)-INDEX($D$5:$H$5,0,AF$8))+AE81)))</f>
        <v>922.3353159822409</v>
      </c>
      <c r="AG81" s="11" cm="1">
        <f t="array" ref="AG81">IF(AG$8=-1,AH81,IF(AG$8=99,AF81,IF(AG$8=0,INDEX($E81:$I81,0,AG$6),(INDEX($E81:$I81,0,AG$8+1)-INDEX($E81:$I81,0,AG$8))/(INDEX($D$5:$H$5,0,AG$8+1)-INDEX($D$5:$H$5,0,AG$8))+AF81)))</f>
        <v>922.3353159822409</v>
      </c>
      <c r="AH81" s="11" cm="1">
        <f t="array" ref="AH81">IF(AH$8=-1,AI81,IF(AH$8=99,AG81,IF(AH$8=0,INDEX($E81:$I81,0,AH$6),(INDEX($E81:$I81,0,AH$8+1)-INDEX($E81:$I81,0,AH$8))/(INDEX($D$5:$H$5,0,AH$8+1)-INDEX($D$5:$H$5,0,AH$8))+AG81)))</f>
        <v>922.3353159822409</v>
      </c>
      <c r="AI81" s="11" cm="1">
        <f t="array" ref="AI81">IF(AI$8=-1,AJ81,IF(AI$8=99,AH81,IF(AI$8=0,INDEX($E81:$I81,0,AI$6),(INDEX($E81:$I81,0,AI$8+1)-INDEX($E81:$I81,0,AI$8))/(INDEX($D$5:$H$5,0,AI$8+1)-INDEX($D$5:$H$5,0,AI$8))+AH81)))</f>
        <v>922.3353159822409</v>
      </c>
      <c r="AJ81" s="11" cm="1">
        <f t="array" ref="AJ81">IF(AJ$8=-1,AK81,IF(AJ$8=99,AI81,IF(AJ$8=0,INDEX($E81:$I81,0,AJ$6),(INDEX($E81:$I81,0,AJ$8+1)-INDEX($E81:$I81,0,AJ$8))/(INDEX($D$5:$H$5,0,AJ$8+1)-INDEX($D$5:$H$5,0,AJ$8))+AI81)))</f>
        <v>922.3353159822409</v>
      </c>
      <c r="AK81" s="11" cm="1">
        <f t="array" ref="AK81">IF(AK$8=-1,AL81,IF(AK$8=99,AJ81,IF(AK$8=0,INDEX($E81:$I81,0,AK$6),(INDEX($E81:$I81,0,AK$8+1)-INDEX($E81:$I81,0,AK$8))/(INDEX($D$5:$H$5,0,AK$8+1)-INDEX($D$5:$H$5,0,AK$8))+AJ81)))</f>
        <v>922.3353159822409</v>
      </c>
      <c r="AL81" s="11" cm="1">
        <f t="array" ref="AL81">IF(AL$8=-1,AM81,IF(AL$8=99,AK81,IF(AL$8=0,INDEX($E81:$I81,0,AL$6),(INDEX($E81:$I81,0,AL$8+1)-INDEX($E81:$I81,0,AL$8))/(INDEX($D$5:$H$5,0,AL$8+1)-INDEX($D$5:$H$5,0,AL$8))+AK81)))</f>
        <v>922.3353159822409</v>
      </c>
      <c r="AM81" s="11" cm="1">
        <f t="array" ref="AM81">IF(AM$8=-1,AN81,IF(AM$8=99,AL81,IF(AM$8=0,INDEX($E81:$I81,0,AM$6),(INDEX($E81:$I81,0,AM$8+1)-INDEX($E81:$I81,0,AM$8))/(INDEX($D$5:$H$5,0,AM$8+1)-INDEX($D$5:$H$5,0,AM$8))+AL81)))</f>
        <v>922.3353159822409</v>
      </c>
      <c r="AN81" s="11" cm="1">
        <f t="array" ref="AN81">IF(AN$8=-1,AO81,IF(AN$8=99,AM81,IF(AN$8=0,INDEX($E81:$I81,0,AN$6),(INDEX($E81:$I81,0,AN$8+1)-INDEX($E81:$I81,0,AN$8))/(INDEX($D$5:$H$5,0,AN$8+1)-INDEX($D$5:$H$5,0,AN$8))+AM81)))</f>
        <v>922.3353159822409</v>
      </c>
      <c r="AO81" s="11" cm="1">
        <f t="array" ref="AO81">IF(AO$8=-1,AP81,IF(AO$8=99,AN81,IF(AO$8=0,INDEX($E81:$K81,0,AO$6),(INDEX($E81:$K81,0,AO$8+1)-INDEX($E81:$K81,0,AO$8))/(INDEX($D$5:$J$5,0,AO$8+1)-INDEX($D$5:$J$5,0,AO$8))+AN81)))</f>
        <v>922.3353159822409</v>
      </c>
      <c r="AP81" s="11" cm="1">
        <f t="array" ref="AP81">IF(AP$8=-1,AQ81,IF(AP$8=99,AO81,IF(AP$8=0,INDEX($E81:$K81,0,AP$6),(INDEX($E81:$K81,0,AP$8+1)-INDEX($E81:$K81,0,AP$8))/(INDEX($D$5:$J$5,0,AP$8+1)-INDEX($D$5:$J$5,0,AP$8))+AO81)))</f>
        <v>922.3353159822409</v>
      </c>
      <c r="AQ81" s="11" cm="1">
        <f t="array" ref="AQ81">IF(AQ$8=-1,AR81,IF(AQ$8=99,AP81,IF(AQ$8=0,INDEX($E81:$K81,0,AQ$6),(INDEX($E81:$K81,0,AQ$8+1)-INDEX($E81:$K81,0,AQ$8))/(INDEX($D$5:$J$5,0,AQ$8+1)-INDEX($D$5:$J$5,0,AQ$8))+AP81)))</f>
        <v>922.3353159822409</v>
      </c>
      <c r="AR81" s="11" cm="1">
        <f t="array" ref="AR81">IF(AR$8=-1,AS81,IF(AR$8=99,AQ81,IF(AR$8=0,INDEX($E81:$K81,0,AR$6),(INDEX($E81:$K81,0,AR$8+1)-INDEX($E81:$K81,0,AR$8))/(INDEX($D$5:$J$5,0,AR$8+1)-INDEX($D$5:$J$5,0,AR$8))+AQ81)))</f>
        <v>922.3353159822409</v>
      </c>
      <c r="AS81" s="11" cm="1">
        <f t="array" ref="AS81">IF(AS$8=-1,AT81,IF(AS$8=99,AR81,IF(AS$8=0,INDEX($E81:$K81,0,AS$6),(INDEX($E81:$K81,0,AS$8+1)-INDEX($E81:$K81,0,AS$8))/(INDEX($D$5:$J$5,0,AS$8+1)-INDEX($D$5:$J$5,0,AS$8))+AR81)))</f>
        <v>922.3353159822409</v>
      </c>
      <c r="AT81" s="11" cm="1">
        <f t="array" ref="AT81">IF(AT$8=-1,AU81,IF(AT$8=99,AS81,IF(AT$8=0,INDEX($E81:$K81,0,AT$6),(INDEX($E81:$K81,0,AT$8+1)-INDEX($E81:$K81,0,AT$8))/(INDEX($D$5:$J$5,0,AT$8+1)-INDEX($D$5:$J$5,0,AT$8))+AS81)))</f>
        <v>922.3353159822409</v>
      </c>
      <c r="AU81" s="11" cm="1">
        <f t="array" ref="AU81">IF(AU$8=-1,AV81,IF(AU$8=99,AT81,IF(AU$8=0,INDEX($E81:$K81,0,AU$6),(INDEX($E81:$K81,0,AU$8+1)-INDEX($E81:$K81,0,AU$8))/(INDEX($D$5:$J$5,0,AU$8+1)-INDEX($D$5:$J$5,0,AU$8))+AT81)))</f>
        <v>922.3353159822409</v>
      </c>
      <c r="AV81" s="11" cm="1">
        <f t="array" ref="AV81">IF(AV$8=-1,AW81,IF(AV$8=99,AU81,IF(AV$8=0,INDEX($E81:$K81,0,AV$6),(INDEX($E81:$K81,0,AV$8+1)-INDEX($E81:$K81,0,AV$8))/(INDEX($D$5:$J$5,0,AV$8+1)-INDEX($D$5:$J$5,0,AV$8))+AU81)))</f>
        <v>922.3353159822409</v>
      </c>
      <c r="AW81" s="11" cm="1">
        <f t="array" ref="AW81">IF(AW$8=-1,AX81,IF(AW$8=99,AV81,IF(AW$8=0,INDEX($E81:$K81,0,AW$6),(INDEX($E81:$K81,0,AW$8+1)-INDEX($E81:$K81,0,AW$8))/(INDEX($D$5:$J$5,0,AW$8+1)-INDEX($D$5:$J$5,0,AW$8))+AV81)))</f>
        <v>922.3353159822409</v>
      </c>
      <c r="AX81" s="11" cm="1">
        <f t="array" ref="AX81">IF(AX$8=-1,AY81,IF(AX$8=99,AW81,IF(AX$8=0,INDEX($E81:$K81,0,AX$6),(INDEX($E81:$K81,0,AX$8+1)-INDEX($E81:$K81,0,AX$8))/(INDEX($D$5:$J$5,0,AX$8+1)-INDEX($D$5:$J$5,0,AX$8))+AW81)))</f>
        <v>922.3353159822409</v>
      </c>
      <c r="AY81" s="11" cm="1">
        <f t="array" ref="AY81">IF(AY$8=-1,AZ81,IF(AY$8=99,AX81,IF(AY$8=0,INDEX($E81:$K81,0,AY$6),(INDEX($E81:$K81,0,AY$8+1)-INDEX($E81:$K81,0,AY$8))/(INDEX($D$5:$J$5,0,AY$8+1)-INDEX($D$5:$J$5,0,AY$8))+AX81)))</f>
        <v>922.3353159822409</v>
      </c>
      <c r="AZ81" s="11" cm="1">
        <f t="array" ref="AZ81">IF(AZ$8=-1,BA81,IF(AZ$8=99,AY81,IF(AZ$8=0,INDEX($E81:$K81,0,AZ$6),(INDEX($E81:$K81,0,AZ$8+1)-INDEX($E81:$K81,0,AZ$8))/(INDEX($D$5:$J$5,0,AZ$8+1)-INDEX($D$5:$J$5,0,AZ$8))+AY81)))</f>
        <v>922.3353159822409</v>
      </c>
      <c r="BA81" s="11" cm="1">
        <f t="array" ref="BA81">IF(BA$8=-1,BB81,IF(BA$8=99,AZ81,IF(BA$8=0,INDEX($E81:$K81,0,BA$6),(INDEX($E81:$K81,0,BA$8+1)-INDEX($E81:$K81,0,BA$8))/(INDEX($D$5:$J$5,0,BA$8+1)-INDEX($D$5:$J$5,0,BA$8))+AZ81)))</f>
        <v>922.3353159822409</v>
      </c>
      <c r="BB81" s="11" cm="1">
        <f t="array" ref="BB81">IF(BB$8=-1,BC81,IF(BB$8=99,BA81,IF(BB$8=0,INDEX($E81:$K81,0,BB$6),(INDEX($E81:$K81,0,BB$8+1)-INDEX($E81:$K81,0,BB$8))/(INDEX($D$5:$J$5,0,BB$8+1)-INDEX($D$5:$J$5,0,BB$8))+BA81)))</f>
        <v>922.3353159822409</v>
      </c>
      <c r="BC81" s="11" cm="1">
        <f t="array" ref="BC81">IF(BC$8=-1,BD81,IF(BC$8=99,BB81,IF(BC$8=0,INDEX($E81:$K81,0,BC$6),(INDEX($E81:$K81,0,BC$8+1)-INDEX($E81:$K81,0,BC$8))/(INDEX($D$5:$J$5,0,BC$8+1)-INDEX($D$5:$J$5,0,BC$8))+BB81)))</f>
        <v>922.3353159822409</v>
      </c>
      <c r="BD81" s="11" cm="1">
        <f t="array" ref="BD81">IF(BD$8=-1,BE81,IF(BD$8=99,BC81,IF(BD$8=0,INDEX($E81:$K81,0,BD$6),(INDEX($E81:$K81,0,BD$8+1)-INDEX($E81:$K81,0,BD$8))/(INDEX($D$5:$J$5,0,BD$8+1)-INDEX($D$5:$J$5,0,BD$8))+BC81)))</f>
        <v>922.3353159822409</v>
      </c>
      <c r="BE81" s="11" cm="1">
        <f t="array" ref="BE81">IF(BE$8=-1,BF81,IF(BE$8=99,BD81,IF(BE$8=0,INDEX($E81:$K81,0,BE$6),(INDEX($E81:$K81,0,BE$8+1)-INDEX($E81:$K81,0,BE$8))/(INDEX($D$5:$J$5,0,BE$8+1)-INDEX($D$5:$J$5,0,BE$8))+BD81)))</f>
        <v>922.3353159822409</v>
      </c>
      <c r="BF81" s="11" cm="1">
        <f t="array" ref="BF81">IF(BF$8=-1,BG81,IF(BF$8=99,BE81,IF(BF$8=0,INDEX($E81:$K81,0,BF$6),(INDEX($E81:$K81,0,BF$8+1)-INDEX($E81:$K81,0,BF$8))/(INDEX($D$5:$J$5,0,BF$8+1)-INDEX($D$5:$J$5,0,BF$8))+BE81)))</f>
        <v>922.3353159822409</v>
      </c>
      <c r="BG81" s="11" cm="1">
        <f t="array" ref="BG81">IF(BG$8=-1,BH81,IF(BG$8=99,BF81,IF(BG$8=0,INDEX($E81:$K81,0,BG$6),(INDEX($E81:$K81,0,BG$8+1)-INDEX($E81:$K81,0,BG$8))/(INDEX($D$5:$J$5,0,BG$8+1)-INDEX($D$5:$J$5,0,BG$8))+BF81)))</f>
        <v>922.3353159822409</v>
      </c>
      <c r="BH81" s="11" cm="1">
        <f t="array" ref="BH81">IF(BH$8=-1,BI81,IF(BH$8=99,BG81,IF(BH$8=0,INDEX($E81:$K81,0,BH$6),(INDEX($E81:$K81,0,BH$8+1)-INDEX($E81:$K81,0,BH$8))/(INDEX($D$5:$J$5,0,BH$8+1)-INDEX($D$5:$J$5,0,BH$8))+BG81)))</f>
        <v>922.3353159822409</v>
      </c>
      <c r="BI81" s="11" cm="1">
        <f t="array" ref="BI81">IF(BI$8=-1,BJ81,IF(BI$8=99,BH81,IF(BI$8=0,INDEX($E81:$K81,0,BI$6),(INDEX($E81:$K81,0,BI$8+1)-INDEX($E81:$K81,0,BI$8))/(INDEX($D$5:$J$5,0,BI$8+1)-INDEX($D$5:$J$5,0,BI$8))+BH81)))</f>
        <v>922.3353159822409</v>
      </c>
      <c r="BJ81" s="11" cm="1">
        <f t="array" ref="BJ81">IF(BJ$8=-1,BK81,IF(BJ$8=99,BI81,IF(BJ$8=0,INDEX($E81:$K81,0,BJ$6),(INDEX($E81:$K81,0,BJ$8+1)-INDEX($E81:$K81,0,BJ$8))/(INDEX($D$5:$J$5,0,BJ$8+1)-INDEX($D$5:$J$5,0,BJ$8))+BI81)))</f>
        <v>922.3353159822409</v>
      </c>
      <c r="BK81" s="11" cm="1">
        <f t="array" ref="BK81">IF(BK$8=-1,BL81,IF(BK$8=99,BJ81,IF(BK$8=0,INDEX($E81:$K81,0,BK$6),(INDEX($E81:$K81,0,BK$8+1)-INDEX($E81:$K81,0,BK$8))/(INDEX($D$5:$J$5,0,BK$8+1)-INDEX($D$5:$J$5,0,BK$8))+BJ81)))</f>
        <v>922.3353159822409</v>
      </c>
      <c r="BL81" s="11" cm="1">
        <f t="array" ref="BL81">IF(BL$8=-1,BM81,IF(BL$8=99,BK81,IF(BL$8=0,INDEX($E81:$K81,0,BL$6),(INDEX($E81:$K81,0,BL$8+1)-INDEX($E81:$K81,0,BL$8))/(INDEX($D$5:$J$5,0,BL$8+1)-INDEX($D$5:$J$5,0,BL$8))+BK81)))</f>
        <v>922.3353159822409</v>
      </c>
      <c r="BM81" s="11" cm="1">
        <f t="array" ref="BM81">IF(BM$8=-1,BN81,IF(BM$8=99,BL81,IF(BM$8=0,INDEX($E81:$K81,0,BM$6),(INDEX($E81:$K81,0,BM$8+1)-INDEX($E81:$K81,0,BM$8))/(INDEX($D$5:$J$5,0,BM$8+1)-INDEX($D$5:$J$5,0,BM$8))+BL81)))</f>
        <v>922.3353159822409</v>
      </c>
      <c r="BN81" s="11" cm="1">
        <f t="array" ref="BN81">IF(BN$8=-1,BO81,IF(BN$8=99,BM81,IF(BN$8=0,INDEX($E81:$K81,0,BN$6),(INDEX($E81:$K81,0,BN$8+1)-INDEX($E81:$K81,0,BN$8))/(INDEX($D$5:$J$5,0,BN$8+1)-INDEX($D$5:$J$5,0,BN$8))+BM81)))</f>
        <v>922.3353159822409</v>
      </c>
      <c r="BO81" s="11" cm="1">
        <f t="array" ref="BO81">IF(BO$8=-1,BP81,IF(BO$8=99,BN81,IF(BO$8=0,INDEX($E81:$K81,0,BO$6),(INDEX($E81:$K81,0,BO$8+1)-INDEX($E81:$K81,0,BO$8))/(INDEX($D$5:$J$5,0,BO$8+1)-INDEX($D$5:$J$5,0,BO$8))+BN81)))</f>
        <v>922.3353159822409</v>
      </c>
      <c r="BP81" s="11" cm="1">
        <f t="array" ref="BP81">IF(BP$8=-1,BQ81,IF(BP$8=99,BO81,IF(BP$8=0,INDEX($E81:$K81,0,BP$6),(INDEX($E81:$K81,0,BP$8+1)-INDEX($E81:$K81,0,BP$8))/(INDEX($D$5:$J$5,0,BP$8+1)-INDEX($D$5:$J$5,0,BP$8))+BO81)))</f>
        <v>922.3353159822409</v>
      </c>
      <c r="BQ81" s="11" cm="1">
        <f t="array" ref="BQ81">IF(BQ$8=-1,BR81,IF(BQ$8=99,BP81,IF(BQ$8=0,INDEX($E81:$K81,0,BQ$6),(INDEX($E81:$K81,0,BQ$8+1)-INDEX($E81:$K81,0,BQ$8))/(INDEX($D$5:$J$5,0,BQ$8+1)-INDEX($D$5:$J$5,0,BQ$8))+BP81)))</f>
        <v>922.3353159822409</v>
      </c>
      <c r="BR81" s="11" cm="1">
        <f t="array" ref="BR81">IF(BR$8=-1,BS81,IF(BR$8=99,BQ81,IF(BR$8=0,INDEX($E81:$K81,0,BR$6),(INDEX($E81:$K81,0,BR$8+1)-INDEX($E81:$K81,0,BR$8))/(INDEX($D$5:$J$5,0,BR$8+1)-INDEX($D$5:$J$5,0,BR$8))+BQ81)))</f>
        <v>922.3353159822409</v>
      </c>
    </row>
    <row r="82" spans="1:70" ht="15">
      <c r="A82" t="s">
        <v>16</v>
      </c>
      <c r="B82" s="5" t="s">
        <v>235</v>
      </c>
      <c r="C82" s="75" t="str">
        <f t="shared" si="143"/>
        <v>Commercial - Space Heating</v>
      </c>
      <c r="D82" s="75" t="s">
        <v>66</v>
      </c>
      <c r="E82" s="84">
        <f t="shared" si="148" ref="E82:F89">E71</f>
        <v>59.117764859369181</v>
      </c>
      <c r="F82" s="92">
        <f t="shared" si="148"/>
        <v>86.140082210951618</v>
      </c>
      <c r="G82" s="92">
        <f t="shared" si="144"/>
        <v>86.140082210951618</v>
      </c>
      <c r="H82" s="92">
        <f t="shared" si="149" ref="H82:H89">IF($N$57=-1,G82,((F82-E82)*2/5+E82)*(1+$H$69))</f>
        <v>86.140082210951618</v>
      </c>
      <c r="I82" s="134">
        <f t="shared" si="145"/>
        <v>86.140082210951618</v>
      </c>
      <c r="J82" s="134">
        <f t="shared" si="146"/>
        <v>86.140082210951618</v>
      </c>
      <c r="K82" s="134">
        <f t="shared" si="147"/>
        <v>86.140082210951618</v>
      </c>
      <c r="L82" s="11" cm="1">
        <f t="array" ref="L82">IF(L$8=-1,M82,IF(L$8=99,I82,IF(L$8=0,INDEX($E82:$I82,0,L$6),(INDEX($E82:$I82,0,L$8+1)-INDEX($E82:$I82,0,L$8))/(INDEX($D$5:$H$5,0,L$8+1)-INDEX($D$5:$H$5,0,L$8))+I82)))</f>
        <v>59.117764859369181</v>
      </c>
      <c r="M82" s="11" cm="1">
        <f t="array" ref="M82">IF(M$8=-1,N82,IF(M$8=99,L82,IF(M$8=0,INDEX($E82:$I82,0,M$6),(INDEX($E82:$I82,0,M$8+1)-INDEX($E82:$I82,0,M$8))/(INDEX($D$5:$H$5,0,M$8+1)-INDEX($D$5:$H$5,0,M$8))+L82)))</f>
        <v>64.522228329685674</v>
      </c>
      <c r="N82" s="11" cm="1">
        <f t="array" ref="N82">IF(N$8=-1,O82,IF(N$8=99,M82,IF(N$8=0,INDEX($E82:$I82,0,N$6),(INDEX($E82:$I82,0,N$8+1)-INDEX($E82:$I82,0,N$8))/(INDEX($D$5:$H$5,0,N$8+1)-INDEX($D$5:$H$5,0,N$8))+M82)))</f>
        <v>69.92669180000216</v>
      </c>
      <c r="O82" s="11" cm="1">
        <f t="array" ref="O82">IF(O$8=-1,P82,IF(O$8=99,N82,IF(O$8=0,INDEX($E82:$I82,0,O$6),(INDEX($E82:$I82,0,O$8+1)-INDEX($E82:$I82,0,O$8))/(INDEX($D$5:$H$5,0,O$8+1)-INDEX($D$5:$H$5,0,O$8))+N82)))</f>
        <v>75.331155270318646</v>
      </c>
      <c r="P82" s="11" cm="1">
        <f t="array" ref="P82">IF(P$8=-1,Q82,IF(P$8=99,O82,IF(P$8=0,INDEX($E82:$I82,0,P$6),(INDEX($E82:$I82,0,P$8+1)-INDEX($E82:$I82,0,P$8))/(INDEX($D$5:$H$5,0,P$8+1)-INDEX($D$5:$H$5,0,P$8))+O82)))</f>
        <v>80.735618740635132</v>
      </c>
      <c r="Q82" s="11" cm="1">
        <f t="array" ref="Q82">IF(Q$8=-1,R82,IF(Q$8=99,P82,IF(Q$8=0,INDEX($E82:$I82,0,Q$6),(INDEX($E82:$I82,0,Q$8+1)-INDEX($E82:$I82,0,Q$8))/(INDEX($D$5:$H$5,0,Q$8+1)-INDEX($D$5:$H$5,0,Q$8))+P82)))</f>
        <v>86.140082210951618</v>
      </c>
      <c r="R82" s="11" cm="1">
        <f t="array" ref="R82">IF(R$8=-1,S82,IF(R$8=99,Q82,IF(R$8=0,INDEX($E82:$I82,0,R$6),(INDEX($E82:$I82,0,R$8+1)-INDEX($E82:$I82,0,R$8))/(INDEX($D$5:$H$5,0,R$8+1)-INDEX($D$5:$H$5,0,R$8))+Q82)))</f>
        <v>86.140082210951618</v>
      </c>
      <c r="S82" s="11" cm="1">
        <f t="array" ref="S82">IF(S$8=-1,T82,IF(S$8=99,R82,IF(S$8=0,INDEX($E82:$I82,0,S$6),(INDEX($E82:$I82,0,S$8+1)-INDEX($E82:$I82,0,S$8))/(INDEX($D$5:$H$5,0,S$8+1)-INDEX($D$5:$H$5,0,S$8))+R82)))</f>
        <v>86.140082210951618</v>
      </c>
      <c r="T82" s="11" cm="1">
        <f t="array" ref="T82">IF(T$8=-1,U82,IF(T$8=99,S82,IF(T$8=0,INDEX($E82:$I82,0,T$6),(INDEX($E82:$I82,0,T$8+1)-INDEX($E82:$I82,0,T$8))/(INDEX($D$5:$H$5,0,T$8+1)-INDEX($D$5:$H$5,0,T$8))+S82)))</f>
        <v>86.140082210951618</v>
      </c>
      <c r="U82" s="11" cm="1">
        <f t="array" ref="U82">IF(U$8=-1,V82,IF(U$8=99,T82,IF(U$8=0,INDEX($E82:$I82,0,U$6),(INDEX($E82:$I82,0,U$8+1)-INDEX($E82:$I82,0,U$8))/(INDEX($D$5:$H$5,0,U$8+1)-INDEX($D$5:$H$5,0,U$8))+T82)))</f>
        <v>86.140082210951618</v>
      </c>
      <c r="V82" s="11" cm="1">
        <f t="array" ref="V82">IF(V$8=-1,W82,IF(V$8=99,U82,IF(V$8=0,INDEX($E82:$I82,0,V$6),(INDEX($E82:$I82,0,V$8+1)-INDEX($E82:$I82,0,V$8))/(INDEX($D$5:$H$5,0,V$8+1)-INDEX($D$5:$H$5,0,V$8))+U82)))</f>
        <v>86.140082210951618</v>
      </c>
      <c r="W82" s="11" cm="1">
        <f t="array" ref="W82">IF(W$8=-1,X82,IF(W$8=99,V82,IF(W$8=0,INDEX($E82:$I82,0,W$6),(INDEX($E82:$I82,0,W$8+1)-INDEX($E82:$I82,0,W$8))/(INDEX($D$5:$H$5,0,W$8+1)-INDEX($D$5:$H$5,0,W$8))+V82)))</f>
        <v>86.140082210951618</v>
      </c>
      <c r="X82" s="11" cm="1">
        <f t="array" ref="X82">IF(X$8=-1,Y82,IF(X$8=99,W82,IF(X$8=0,INDEX($E82:$I82,0,X$6),(INDEX($E82:$I82,0,X$8+1)-INDEX($E82:$I82,0,X$8))/(INDEX($D$5:$H$5,0,X$8+1)-INDEX($D$5:$H$5,0,X$8))+W82)))</f>
        <v>86.140082210951618</v>
      </c>
      <c r="Y82" s="11" cm="1">
        <f t="array" ref="Y82">IF(Y$8=-1,Z82,IF(Y$8=99,X82,IF(Y$8=0,INDEX($E82:$I82,0,Y$6),(INDEX($E82:$I82,0,Y$8+1)-INDEX($E82:$I82,0,Y$8))/(INDEX($D$5:$H$5,0,Y$8+1)-INDEX($D$5:$H$5,0,Y$8))+X82)))</f>
        <v>86.140082210951618</v>
      </c>
      <c r="Z82" s="11" cm="1">
        <f t="array" ref="Z82">IF(Z$8=-1,AA82,IF(Z$8=99,Y82,IF(Z$8=0,INDEX($E82:$I82,0,Z$6),(INDEX($E82:$I82,0,Z$8+1)-INDEX($E82:$I82,0,Z$8))/(INDEX($D$5:$H$5,0,Z$8+1)-INDEX($D$5:$H$5,0,Z$8))+Y82)))</f>
        <v>86.140082210951618</v>
      </c>
      <c r="AA82" s="11" cm="1">
        <f t="array" ref="AA82">IF(AA$8=-1,AB82,IF(AA$8=99,Z82,IF(AA$8=0,INDEX($E82:$I82,0,AA$6),(INDEX($E82:$I82,0,AA$8+1)-INDEX($E82:$I82,0,AA$8))/(INDEX($D$5:$H$5,0,AA$8+1)-INDEX($D$5:$H$5,0,AA$8))+Z82)))</f>
        <v>86.140082210951618</v>
      </c>
      <c r="AB82" s="11" cm="1">
        <f t="array" ref="AB82">IF(AB$8=-1,AC82,IF(AB$8=99,AA82,IF(AB$8=0,INDEX($E82:$I82,0,AB$6),(INDEX($E82:$I82,0,AB$8+1)-INDEX($E82:$I82,0,AB$8))/(INDEX($D$5:$H$5,0,AB$8+1)-INDEX($D$5:$H$5,0,AB$8))+AA82)))</f>
        <v>86.140082210951618</v>
      </c>
      <c r="AC82" s="11" cm="1">
        <f t="array" ref="AC82">IF(AC$8=-1,AD82,IF(AC$8=99,AB82,IF(AC$8=0,INDEX($E82:$I82,0,AC$6),(INDEX($E82:$I82,0,AC$8+1)-INDEX($E82:$I82,0,AC$8))/(INDEX($D$5:$H$5,0,AC$8+1)-INDEX($D$5:$H$5,0,AC$8))+AB82)))</f>
        <v>86.140082210951618</v>
      </c>
      <c r="AD82" s="11" cm="1">
        <f t="array" ref="AD82">IF(AD$8=-1,AE82,IF(AD$8=99,AC82,IF(AD$8=0,INDEX($E82:$I82,0,AD$6),(INDEX($E82:$I82,0,AD$8+1)-INDEX($E82:$I82,0,AD$8))/(INDEX($D$5:$H$5,0,AD$8+1)-INDEX($D$5:$H$5,0,AD$8))+AC82)))</f>
        <v>86.140082210951618</v>
      </c>
      <c r="AE82" s="11" cm="1">
        <f t="array" ref="AE82">IF(AE$8=-1,AF82,IF(AE$8=99,AD82,IF(AE$8=0,INDEX($E82:$I82,0,AE$6),(INDEX($E82:$I82,0,AE$8+1)-INDEX($E82:$I82,0,AE$8))/(INDEX($D$5:$H$5,0,AE$8+1)-INDEX($D$5:$H$5,0,AE$8))+AD82)))</f>
        <v>86.140082210951618</v>
      </c>
      <c r="AF82" s="11" cm="1">
        <f t="array" ref="AF82">IF(AF$8=-1,AG82,IF(AF$8=99,AE82,IF(AF$8=0,INDEX($E82:$I82,0,AF$6),(INDEX($E82:$I82,0,AF$8+1)-INDEX($E82:$I82,0,AF$8))/(INDEX($D$5:$H$5,0,AF$8+1)-INDEX($D$5:$H$5,0,AF$8))+AE82)))</f>
        <v>86.140082210951618</v>
      </c>
      <c r="AG82" s="11" cm="1">
        <f t="array" ref="AG82">IF(AG$8=-1,AH82,IF(AG$8=99,AF82,IF(AG$8=0,INDEX($E82:$I82,0,AG$6),(INDEX($E82:$I82,0,AG$8+1)-INDEX($E82:$I82,0,AG$8))/(INDEX($D$5:$H$5,0,AG$8+1)-INDEX($D$5:$H$5,0,AG$8))+AF82)))</f>
        <v>86.140082210951618</v>
      </c>
      <c r="AH82" s="11" cm="1">
        <f t="array" ref="AH82">IF(AH$8=-1,AI82,IF(AH$8=99,AG82,IF(AH$8=0,INDEX($E82:$I82,0,AH$6),(INDEX($E82:$I82,0,AH$8+1)-INDEX($E82:$I82,0,AH$8))/(INDEX($D$5:$H$5,0,AH$8+1)-INDEX($D$5:$H$5,0,AH$8))+AG82)))</f>
        <v>86.140082210951618</v>
      </c>
      <c r="AI82" s="11" cm="1">
        <f t="array" ref="AI82">IF(AI$8=-1,AJ82,IF(AI$8=99,AH82,IF(AI$8=0,INDEX($E82:$I82,0,AI$6),(INDEX($E82:$I82,0,AI$8+1)-INDEX($E82:$I82,0,AI$8))/(INDEX($D$5:$H$5,0,AI$8+1)-INDEX($D$5:$H$5,0,AI$8))+AH82)))</f>
        <v>86.140082210951618</v>
      </c>
      <c r="AJ82" s="11" cm="1">
        <f t="array" ref="AJ82">IF(AJ$8=-1,AK82,IF(AJ$8=99,AI82,IF(AJ$8=0,INDEX($E82:$I82,0,AJ$6),(INDEX($E82:$I82,0,AJ$8+1)-INDEX($E82:$I82,0,AJ$8))/(INDEX($D$5:$H$5,0,AJ$8+1)-INDEX($D$5:$H$5,0,AJ$8))+AI82)))</f>
        <v>86.140082210951618</v>
      </c>
      <c r="AK82" s="11" cm="1">
        <f t="array" ref="AK82">IF(AK$8=-1,AL82,IF(AK$8=99,AJ82,IF(AK$8=0,INDEX($E82:$I82,0,AK$6),(INDEX($E82:$I82,0,AK$8+1)-INDEX($E82:$I82,0,AK$8))/(INDEX($D$5:$H$5,0,AK$8+1)-INDEX($D$5:$H$5,0,AK$8))+AJ82)))</f>
        <v>86.140082210951618</v>
      </c>
      <c r="AL82" s="11" cm="1">
        <f t="array" ref="AL82">IF(AL$8=-1,AM82,IF(AL$8=99,AK82,IF(AL$8=0,INDEX($E82:$I82,0,AL$6),(INDEX($E82:$I82,0,AL$8+1)-INDEX($E82:$I82,0,AL$8))/(INDEX($D$5:$H$5,0,AL$8+1)-INDEX($D$5:$H$5,0,AL$8))+AK82)))</f>
        <v>86.140082210951618</v>
      </c>
      <c r="AM82" s="11" cm="1">
        <f t="array" ref="AM82">IF(AM$8=-1,AN82,IF(AM$8=99,AL82,IF(AM$8=0,INDEX($E82:$I82,0,AM$6),(INDEX($E82:$I82,0,AM$8+1)-INDEX($E82:$I82,0,AM$8))/(INDEX($D$5:$H$5,0,AM$8+1)-INDEX($D$5:$H$5,0,AM$8))+AL82)))</f>
        <v>86.140082210951618</v>
      </c>
      <c r="AN82" s="11" cm="1">
        <f t="array" ref="AN82">IF(AN$8=-1,AO82,IF(AN$8=99,AM82,IF(AN$8=0,INDEX($E82:$I82,0,AN$6),(INDEX($E82:$I82,0,AN$8+1)-INDEX($E82:$I82,0,AN$8))/(INDEX($D$5:$H$5,0,AN$8+1)-INDEX($D$5:$H$5,0,AN$8))+AM82)))</f>
        <v>86.140082210951618</v>
      </c>
      <c r="AO82" s="11" cm="1">
        <f t="array" ref="AO82">IF(AO$8=-1,AP82,IF(AO$8=99,AN82,IF(AO$8=0,INDEX($E82:$K82,0,AO$6),(INDEX($E82:$K82,0,AO$8+1)-INDEX($E82:$K82,0,AO$8))/(INDEX($D$5:$J$5,0,AO$8+1)-INDEX($D$5:$J$5,0,AO$8))+AN82)))</f>
        <v>86.140082210951618</v>
      </c>
      <c r="AP82" s="11" cm="1">
        <f t="array" ref="AP82">IF(AP$8=-1,AQ82,IF(AP$8=99,AO82,IF(AP$8=0,INDEX($E82:$K82,0,AP$6),(INDEX($E82:$K82,0,AP$8+1)-INDEX($E82:$K82,0,AP$8))/(INDEX($D$5:$J$5,0,AP$8+1)-INDEX($D$5:$J$5,0,AP$8))+AO82)))</f>
        <v>86.140082210951618</v>
      </c>
      <c r="AQ82" s="11" cm="1">
        <f t="array" ref="AQ82">IF(AQ$8=-1,AR82,IF(AQ$8=99,AP82,IF(AQ$8=0,INDEX($E82:$K82,0,AQ$6),(INDEX($E82:$K82,0,AQ$8+1)-INDEX($E82:$K82,0,AQ$8))/(INDEX($D$5:$J$5,0,AQ$8+1)-INDEX($D$5:$J$5,0,AQ$8))+AP82)))</f>
        <v>86.140082210951618</v>
      </c>
      <c r="AR82" s="11" cm="1">
        <f t="array" ref="AR82">IF(AR$8=-1,AS82,IF(AR$8=99,AQ82,IF(AR$8=0,INDEX($E82:$K82,0,AR$6),(INDEX($E82:$K82,0,AR$8+1)-INDEX($E82:$K82,0,AR$8))/(INDEX($D$5:$J$5,0,AR$8+1)-INDEX($D$5:$J$5,0,AR$8))+AQ82)))</f>
        <v>86.140082210951618</v>
      </c>
      <c r="AS82" s="11" cm="1">
        <f t="array" ref="AS82">IF(AS$8=-1,AT82,IF(AS$8=99,AR82,IF(AS$8=0,INDEX($E82:$K82,0,AS$6),(INDEX($E82:$K82,0,AS$8+1)-INDEX($E82:$K82,0,AS$8))/(INDEX($D$5:$J$5,0,AS$8+1)-INDEX($D$5:$J$5,0,AS$8))+AR82)))</f>
        <v>86.140082210951618</v>
      </c>
      <c r="AT82" s="11" cm="1">
        <f t="array" ref="AT82">IF(AT$8=-1,AU82,IF(AT$8=99,AS82,IF(AT$8=0,INDEX($E82:$K82,0,AT$6),(INDEX($E82:$K82,0,AT$8+1)-INDEX($E82:$K82,0,AT$8))/(INDEX($D$5:$J$5,0,AT$8+1)-INDEX($D$5:$J$5,0,AT$8))+AS82)))</f>
        <v>86.140082210951618</v>
      </c>
      <c r="AU82" s="11" cm="1">
        <f t="array" ref="AU82">IF(AU$8=-1,AV82,IF(AU$8=99,AT82,IF(AU$8=0,INDEX($E82:$K82,0,AU$6),(INDEX($E82:$K82,0,AU$8+1)-INDEX($E82:$K82,0,AU$8))/(INDEX($D$5:$J$5,0,AU$8+1)-INDEX($D$5:$J$5,0,AU$8))+AT82)))</f>
        <v>86.140082210951618</v>
      </c>
      <c r="AV82" s="11" cm="1">
        <f t="array" ref="AV82">IF(AV$8=-1,AW82,IF(AV$8=99,AU82,IF(AV$8=0,INDEX($E82:$K82,0,AV$6),(INDEX($E82:$K82,0,AV$8+1)-INDEX($E82:$K82,0,AV$8))/(INDEX($D$5:$J$5,0,AV$8+1)-INDEX($D$5:$J$5,0,AV$8))+AU82)))</f>
        <v>86.140082210951618</v>
      </c>
      <c r="AW82" s="11" cm="1">
        <f t="array" ref="AW82">IF(AW$8=-1,AX82,IF(AW$8=99,AV82,IF(AW$8=0,INDEX($E82:$K82,0,AW$6),(INDEX($E82:$K82,0,AW$8+1)-INDEX($E82:$K82,0,AW$8))/(INDEX($D$5:$J$5,0,AW$8+1)-INDEX($D$5:$J$5,0,AW$8))+AV82)))</f>
        <v>86.140082210951618</v>
      </c>
      <c r="AX82" s="11" cm="1">
        <f t="array" ref="AX82">IF(AX$8=-1,AY82,IF(AX$8=99,AW82,IF(AX$8=0,INDEX($E82:$K82,0,AX$6),(INDEX($E82:$K82,0,AX$8+1)-INDEX($E82:$K82,0,AX$8))/(INDEX($D$5:$J$5,0,AX$8+1)-INDEX($D$5:$J$5,0,AX$8))+AW82)))</f>
        <v>86.140082210951618</v>
      </c>
      <c r="AY82" s="11" cm="1">
        <f t="array" ref="AY82">IF(AY$8=-1,AZ82,IF(AY$8=99,AX82,IF(AY$8=0,INDEX($E82:$K82,0,AY$6),(INDEX($E82:$K82,0,AY$8+1)-INDEX($E82:$K82,0,AY$8))/(INDEX($D$5:$J$5,0,AY$8+1)-INDEX($D$5:$J$5,0,AY$8))+AX82)))</f>
        <v>86.140082210951618</v>
      </c>
      <c r="AZ82" s="11" cm="1">
        <f t="array" ref="AZ82">IF(AZ$8=-1,BA82,IF(AZ$8=99,AY82,IF(AZ$8=0,INDEX($E82:$K82,0,AZ$6),(INDEX($E82:$K82,0,AZ$8+1)-INDEX($E82:$K82,0,AZ$8))/(INDEX($D$5:$J$5,0,AZ$8+1)-INDEX($D$5:$J$5,0,AZ$8))+AY82)))</f>
        <v>86.140082210951618</v>
      </c>
      <c r="BA82" s="11" cm="1">
        <f t="array" ref="BA82">IF(BA$8=-1,BB82,IF(BA$8=99,AZ82,IF(BA$8=0,INDEX($E82:$K82,0,BA$6),(INDEX($E82:$K82,0,BA$8+1)-INDEX($E82:$K82,0,BA$8))/(INDEX($D$5:$J$5,0,BA$8+1)-INDEX($D$5:$J$5,0,BA$8))+AZ82)))</f>
        <v>86.140082210951618</v>
      </c>
      <c r="BB82" s="11" cm="1">
        <f t="array" ref="BB82">IF(BB$8=-1,BC82,IF(BB$8=99,BA82,IF(BB$8=0,INDEX($E82:$K82,0,BB$6),(INDEX($E82:$K82,0,BB$8+1)-INDEX($E82:$K82,0,BB$8))/(INDEX($D$5:$J$5,0,BB$8+1)-INDEX($D$5:$J$5,0,BB$8))+BA82)))</f>
        <v>86.140082210951618</v>
      </c>
      <c r="BC82" s="11" cm="1">
        <f t="array" ref="BC82">IF(BC$8=-1,BD82,IF(BC$8=99,BB82,IF(BC$8=0,INDEX($E82:$K82,0,BC$6),(INDEX($E82:$K82,0,BC$8+1)-INDEX($E82:$K82,0,BC$8))/(INDEX($D$5:$J$5,0,BC$8+1)-INDEX($D$5:$J$5,0,BC$8))+BB82)))</f>
        <v>86.140082210951618</v>
      </c>
      <c r="BD82" s="11" cm="1">
        <f t="array" ref="BD82">IF(BD$8=-1,BE82,IF(BD$8=99,BC82,IF(BD$8=0,INDEX($E82:$K82,0,BD$6),(INDEX($E82:$K82,0,BD$8+1)-INDEX($E82:$K82,0,BD$8))/(INDEX($D$5:$J$5,0,BD$8+1)-INDEX($D$5:$J$5,0,BD$8))+BC82)))</f>
        <v>86.140082210951618</v>
      </c>
      <c r="BE82" s="11" cm="1">
        <f t="array" ref="BE82">IF(BE$8=-1,BF82,IF(BE$8=99,BD82,IF(BE$8=0,INDEX($E82:$K82,0,BE$6),(INDEX($E82:$K82,0,BE$8+1)-INDEX($E82:$K82,0,BE$8))/(INDEX($D$5:$J$5,0,BE$8+1)-INDEX($D$5:$J$5,0,BE$8))+BD82)))</f>
        <v>86.140082210951618</v>
      </c>
      <c r="BF82" s="11" cm="1">
        <f t="array" ref="BF82">IF(BF$8=-1,BG82,IF(BF$8=99,BE82,IF(BF$8=0,INDEX($E82:$K82,0,BF$6),(INDEX($E82:$K82,0,BF$8+1)-INDEX($E82:$K82,0,BF$8))/(INDEX($D$5:$J$5,0,BF$8+1)-INDEX($D$5:$J$5,0,BF$8))+BE82)))</f>
        <v>86.140082210951618</v>
      </c>
      <c r="BG82" s="11" cm="1">
        <f t="array" ref="BG82">IF(BG$8=-1,BH82,IF(BG$8=99,BF82,IF(BG$8=0,INDEX($E82:$K82,0,BG$6),(INDEX($E82:$K82,0,BG$8+1)-INDEX($E82:$K82,0,BG$8))/(INDEX($D$5:$J$5,0,BG$8+1)-INDEX($D$5:$J$5,0,BG$8))+BF82)))</f>
        <v>86.140082210951618</v>
      </c>
      <c r="BH82" s="11" cm="1">
        <f t="array" ref="BH82">IF(BH$8=-1,BI82,IF(BH$8=99,BG82,IF(BH$8=0,INDEX($E82:$K82,0,BH$6),(INDEX($E82:$K82,0,BH$8+1)-INDEX($E82:$K82,0,BH$8))/(INDEX($D$5:$J$5,0,BH$8+1)-INDEX($D$5:$J$5,0,BH$8))+BG82)))</f>
        <v>86.140082210951618</v>
      </c>
      <c r="BI82" s="11" cm="1">
        <f t="array" ref="BI82">IF(BI$8=-1,BJ82,IF(BI$8=99,BH82,IF(BI$8=0,INDEX($E82:$K82,0,BI$6),(INDEX($E82:$K82,0,BI$8+1)-INDEX($E82:$K82,0,BI$8))/(INDEX($D$5:$J$5,0,BI$8+1)-INDEX($D$5:$J$5,0,BI$8))+BH82)))</f>
        <v>86.140082210951618</v>
      </c>
      <c r="BJ82" s="11" cm="1">
        <f t="array" ref="BJ82">IF(BJ$8=-1,BK82,IF(BJ$8=99,BI82,IF(BJ$8=0,INDEX($E82:$K82,0,BJ$6),(INDEX($E82:$K82,0,BJ$8+1)-INDEX($E82:$K82,0,BJ$8))/(INDEX($D$5:$J$5,0,BJ$8+1)-INDEX($D$5:$J$5,0,BJ$8))+BI82)))</f>
        <v>86.140082210951618</v>
      </c>
      <c r="BK82" s="11" cm="1">
        <f t="array" ref="BK82">IF(BK$8=-1,BL82,IF(BK$8=99,BJ82,IF(BK$8=0,INDEX($E82:$K82,0,BK$6),(INDEX($E82:$K82,0,BK$8+1)-INDEX($E82:$K82,0,BK$8))/(INDEX($D$5:$J$5,0,BK$8+1)-INDEX($D$5:$J$5,0,BK$8))+BJ82)))</f>
        <v>86.140082210951618</v>
      </c>
      <c r="BL82" s="11" cm="1">
        <f t="array" ref="BL82">IF(BL$8=-1,BM82,IF(BL$8=99,BK82,IF(BL$8=0,INDEX($E82:$K82,0,BL$6),(INDEX($E82:$K82,0,BL$8+1)-INDEX($E82:$K82,0,BL$8))/(INDEX($D$5:$J$5,0,BL$8+1)-INDEX($D$5:$J$5,0,BL$8))+BK82)))</f>
        <v>86.140082210951618</v>
      </c>
      <c r="BM82" s="11" cm="1">
        <f t="array" ref="BM82">IF(BM$8=-1,BN82,IF(BM$8=99,BL82,IF(BM$8=0,INDEX($E82:$K82,0,BM$6),(INDEX($E82:$K82,0,BM$8+1)-INDEX($E82:$K82,0,BM$8))/(INDEX($D$5:$J$5,0,BM$8+1)-INDEX($D$5:$J$5,0,BM$8))+BL82)))</f>
        <v>86.140082210951618</v>
      </c>
      <c r="BN82" s="11" cm="1">
        <f t="array" ref="BN82">IF(BN$8=-1,BO82,IF(BN$8=99,BM82,IF(BN$8=0,INDEX($E82:$K82,0,BN$6),(INDEX($E82:$K82,0,BN$8+1)-INDEX($E82:$K82,0,BN$8))/(INDEX($D$5:$J$5,0,BN$8+1)-INDEX($D$5:$J$5,0,BN$8))+BM82)))</f>
        <v>86.140082210951618</v>
      </c>
      <c r="BO82" s="11" cm="1">
        <f t="array" ref="BO82">IF(BO$8=-1,BP82,IF(BO$8=99,BN82,IF(BO$8=0,INDEX($E82:$K82,0,BO$6),(INDEX($E82:$K82,0,BO$8+1)-INDEX($E82:$K82,0,BO$8))/(INDEX($D$5:$J$5,0,BO$8+1)-INDEX($D$5:$J$5,0,BO$8))+BN82)))</f>
        <v>86.140082210951618</v>
      </c>
      <c r="BP82" s="11" cm="1">
        <f t="array" ref="BP82">IF(BP$8=-1,BQ82,IF(BP$8=99,BO82,IF(BP$8=0,INDEX($E82:$K82,0,BP$6),(INDEX($E82:$K82,0,BP$8+1)-INDEX($E82:$K82,0,BP$8))/(INDEX($D$5:$J$5,0,BP$8+1)-INDEX($D$5:$J$5,0,BP$8))+BO82)))</f>
        <v>86.140082210951618</v>
      </c>
      <c r="BQ82" s="11" cm="1">
        <f t="array" ref="BQ82">IF(BQ$8=-1,BR82,IF(BQ$8=99,BP82,IF(BQ$8=0,INDEX($E82:$K82,0,BQ$6),(INDEX($E82:$K82,0,BQ$8+1)-INDEX($E82:$K82,0,BQ$8))/(INDEX($D$5:$J$5,0,BQ$8+1)-INDEX($D$5:$J$5,0,BQ$8))+BP82)))</f>
        <v>86.140082210951618</v>
      </c>
      <c r="BR82" s="11" cm="1">
        <f t="array" ref="BR82">IF(BR$8=-1,BS82,IF(BR$8=99,BQ82,IF(BR$8=0,INDEX($E82:$K82,0,BR$6),(INDEX($E82:$K82,0,BR$8+1)-INDEX($E82:$K82,0,BR$8))/(INDEX($D$5:$J$5,0,BR$8+1)-INDEX($D$5:$J$5,0,BR$8))+BQ82)))</f>
        <v>86.140082210951618</v>
      </c>
    </row>
    <row r="83" spans="1:70" ht="15">
      <c r="A83" t="s">
        <v>16</v>
      </c>
      <c r="B83" s="5" t="s">
        <v>236</v>
      </c>
      <c r="C83" s="75" t="str">
        <f t="shared" si="143"/>
        <v>Commercial - Cooking</v>
      </c>
      <c r="D83" s="75" t="s">
        <v>66</v>
      </c>
      <c r="E83" s="84">
        <f t="shared" si="148"/>
        <v>74.498085701673489</v>
      </c>
      <c r="F83" s="92">
        <f t="shared" si="148"/>
        <v>64.377434268608681</v>
      </c>
      <c r="G83" s="92">
        <f t="shared" si="144"/>
        <v>64.377434268608681</v>
      </c>
      <c r="H83" s="92">
        <f t="shared" si="149"/>
        <v>64.377434268608681</v>
      </c>
      <c r="I83" s="134">
        <f t="shared" si="145"/>
        <v>64.377434268608681</v>
      </c>
      <c r="J83" s="134">
        <f t="shared" si="146"/>
        <v>64.377434268608681</v>
      </c>
      <c r="K83" s="134">
        <f t="shared" si="147"/>
        <v>64.377434268608681</v>
      </c>
      <c r="L83" s="11" cm="1">
        <f t="array" ref="L83">IF(L$8=-1,M83,IF(L$8=99,I83,IF(L$8=0,INDEX($E83:$I83,0,L$6),(INDEX($E83:$I83,0,L$8+1)-INDEX($E83:$I83,0,L$8))/(INDEX($D$5:$H$5,0,L$8+1)-INDEX($D$5:$H$5,0,L$8))+I83)))</f>
        <v>74.498085701673489</v>
      </c>
      <c r="M83" s="11" cm="1">
        <f t="array" ref="M83">IF(M$8=-1,N83,IF(M$8=99,L83,IF(M$8=0,INDEX($E83:$I83,0,M$6),(INDEX($E83:$I83,0,M$8+1)-INDEX($E83:$I83,0,M$8))/(INDEX($D$5:$H$5,0,M$8+1)-INDEX($D$5:$H$5,0,M$8))+L83)))</f>
        <v>72.47395541506053</v>
      </c>
      <c r="N83" s="11" cm="1">
        <f t="array" ref="N83">IF(N$8=-1,O83,IF(N$8=99,M83,IF(N$8=0,INDEX($E83:$I83,0,N$6),(INDEX($E83:$I83,0,N$8+1)-INDEX($E83:$I83,0,N$8))/(INDEX($D$5:$H$5,0,N$8+1)-INDEX($D$5:$H$5,0,N$8))+M83)))</f>
        <v>70.449825128447571</v>
      </c>
      <c r="O83" s="11" cm="1">
        <f t="array" ref="O83">IF(O$8=-1,P83,IF(O$8=99,N83,IF(O$8=0,INDEX($E83:$I83,0,O$6),(INDEX($E83:$I83,0,O$8+1)-INDEX($E83:$I83,0,O$8))/(INDEX($D$5:$H$5,0,O$8+1)-INDEX($D$5:$H$5,0,O$8))+N83)))</f>
        <v>68.425694841834613</v>
      </c>
      <c r="P83" s="11" cm="1">
        <f t="array" ref="P83">IF(P$8=-1,Q83,IF(P$8=99,O83,IF(P$8=0,INDEX($E83:$I83,0,P$6),(INDEX($E83:$I83,0,P$8+1)-INDEX($E83:$I83,0,P$8))/(INDEX($D$5:$H$5,0,P$8+1)-INDEX($D$5:$H$5,0,P$8))+O83)))</f>
        <v>66.401564555221654</v>
      </c>
      <c r="Q83" s="11" cm="1">
        <f t="array" ref="Q83">IF(Q$8=-1,R83,IF(Q$8=99,P83,IF(Q$8=0,INDEX($E83:$I83,0,Q$6),(INDEX($E83:$I83,0,Q$8+1)-INDEX($E83:$I83,0,Q$8))/(INDEX($D$5:$H$5,0,Q$8+1)-INDEX($D$5:$H$5,0,Q$8))+P83)))</f>
        <v>64.377434268608681</v>
      </c>
      <c r="R83" s="11" cm="1">
        <f t="array" ref="R83">IF(R$8=-1,S83,IF(R$8=99,Q83,IF(R$8=0,INDEX($E83:$I83,0,R$6),(INDEX($E83:$I83,0,R$8+1)-INDEX($E83:$I83,0,R$8))/(INDEX($D$5:$H$5,0,R$8+1)-INDEX($D$5:$H$5,0,R$8))+Q83)))</f>
        <v>64.377434268608681</v>
      </c>
      <c r="S83" s="11" cm="1">
        <f t="array" ref="S83">IF(S$8=-1,T83,IF(S$8=99,R83,IF(S$8=0,INDEX($E83:$I83,0,S$6),(INDEX($E83:$I83,0,S$8+1)-INDEX($E83:$I83,0,S$8))/(INDEX($D$5:$H$5,0,S$8+1)-INDEX($D$5:$H$5,0,S$8))+R83)))</f>
        <v>64.377434268608681</v>
      </c>
      <c r="T83" s="11" cm="1">
        <f t="array" ref="T83">IF(T$8=-1,U83,IF(T$8=99,S83,IF(T$8=0,INDEX($E83:$I83,0,T$6),(INDEX($E83:$I83,0,T$8+1)-INDEX($E83:$I83,0,T$8))/(INDEX($D$5:$H$5,0,T$8+1)-INDEX($D$5:$H$5,0,T$8))+S83)))</f>
        <v>64.377434268608681</v>
      </c>
      <c r="U83" s="11" cm="1">
        <f t="array" ref="U83">IF(U$8=-1,V83,IF(U$8=99,T83,IF(U$8=0,INDEX($E83:$I83,0,U$6),(INDEX($E83:$I83,0,U$8+1)-INDEX($E83:$I83,0,U$8))/(INDEX($D$5:$H$5,0,U$8+1)-INDEX($D$5:$H$5,0,U$8))+T83)))</f>
        <v>64.377434268608681</v>
      </c>
      <c r="V83" s="11" cm="1">
        <f t="array" ref="V83">IF(V$8=-1,W83,IF(V$8=99,U83,IF(V$8=0,INDEX($E83:$I83,0,V$6),(INDEX($E83:$I83,0,V$8+1)-INDEX($E83:$I83,0,V$8))/(INDEX($D$5:$H$5,0,V$8+1)-INDEX($D$5:$H$5,0,V$8))+U83)))</f>
        <v>64.377434268608681</v>
      </c>
      <c r="W83" s="11" cm="1">
        <f t="array" ref="W83">IF(W$8=-1,X83,IF(W$8=99,V83,IF(W$8=0,INDEX($E83:$I83,0,W$6),(INDEX($E83:$I83,0,W$8+1)-INDEX($E83:$I83,0,W$8))/(INDEX($D$5:$H$5,0,W$8+1)-INDEX($D$5:$H$5,0,W$8))+V83)))</f>
        <v>64.377434268608681</v>
      </c>
      <c r="X83" s="11" cm="1">
        <f t="array" ref="X83">IF(X$8=-1,Y83,IF(X$8=99,W83,IF(X$8=0,INDEX($E83:$I83,0,X$6),(INDEX($E83:$I83,0,X$8+1)-INDEX($E83:$I83,0,X$8))/(INDEX($D$5:$H$5,0,X$8+1)-INDEX($D$5:$H$5,0,X$8))+W83)))</f>
        <v>64.377434268608681</v>
      </c>
      <c r="Y83" s="11" cm="1">
        <f t="array" ref="Y83">IF(Y$8=-1,Z83,IF(Y$8=99,X83,IF(Y$8=0,INDEX($E83:$I83,0,Y$6),(INDEX($E83:$I83,0,Y$8+1)-INDEX($E83:$I83,0,Y$8))/(INDEX($D$5:$H$5,0,Y$8+1)-INDEX($D$5:$H$5,0,Y$8))+X83)))</f>
        <v>64.377434268608681</v>
      </c>
      <c r="Z83" s="11" cm="1">
        <f t="array" ref="Z83">IF(Z$8=-1,AA83,IF(Z$8=99,Y83,IF(Z$8=0,INDEX($E83:$I83,0,Z$6),(INDEX($E83:$I83,0,Z$8+1)-INDEX($E83:$I83,0,Z$8))/(INDEX($D$5:$H$5,0,Z$8+1)-INDEX($D$5:$H$5,0,Z$8))+Y83)))</f>
        <v>64.377434268608681</v>
      </c>
      <c r="AA83" s="11" cm="1">
        <f t="array" ref="AA83">IF(AA$8=-1,AB83,IF(AA$8=99,Z83,IF(AA$8=0,INDEX($E83:$I83,0,AA$6),(INDEX($E83:$I83,0,AA$8+1)-INDEX($E83:$I83,0,AA$8))/(INDEX($D$5:$H$5,0,AA$8+1)-INDEX($D$5:$H$5,0,AA$8))+Z83)))</f>
        <v>64.377434268608681</v>
      </c>
      <c r="AB83" s="11" cm="1">
        <f t="array" ref="AB83">IF(AB$8=-1,AC83,IF(AB$8=99,AA83,IF(AB$8=0,INDEX($E83:$I83,0,AB$6),(INDEX($E83:$I83,0,AB$8+1)-INDEX($E83:$I83,0,AB$8))/(INDEX($D$5:$H$5,0,AB$8+1)-INDEX($D$5:$H$5,0,AB$8))+AA83)))</f>
        <v>64.377434268608681</v>
      </c>
      <c r="AC83" s="11" cm="1">
        <f t="array" ref="AC83">IF(AC$8=-1,AD83,IF(AC$8=99,AB83,IF(AC$8=0,INDEX($E83:$I83,0,AC$6),(INDEX($E83:$I83,0,AC$8+1)-INDEX($E83:$I83,0,AC$8))/(INDEX($D$5:$H$5,0,AC$8+1)-INDEX($D$5:$H$5,0,AC$8))+AB83)))</f>
        <v>64.377434268608681</v>
      </c>
      <c r="AD83" s="11" cm="1">
        <f t="array" ref="AD83">IF(AD$8=-1,AE83,IF(AD$8=99,AC83,IF(AD$8=0,INDEX($E83:$I83,0,AD$6),(INDEX($E83:$I83,0,AD$8+1)-INDEX($E83:$I83,0,AD$8))/(INDEX($D$5:$H$5,0,AD$8+1)-INDEX($D$5:$H$5,0,AD$8))+AC83)))</f>
        <v>64.377434268608681</v>
      </c>
      <c r="AE83" s="11" cm="1">
        <f t="array" ref="AE83">IF(AE$8=-1,AF83,IF(AE$8=99,AD83,IF(AE$8=0,INDEX($E83:$I83,0,AE$6),(INDEX($E83:$I83,0,AE$8+1)-INDEX($E83:$I83,0,AE$8))/(INDEX($D$5:$H$5,0,AE$8+1)-INDEX($D$5:$H$5,0,AE$8))+AD83)))</f>
        <v>64.377434268608681</v>
      </c>
      <c r="AF83" s="11" cm="1">
        <f t="array" ref="AF83">IF(AF$8=-1,AG83,IF(AF$8=99,AE83,IF(AF$8=0,INDEX($E83:$I83,0,AF$6),(INDEX($E83:$I83,0,AF$8+1)-INDEX($E83:$I83,0,AF$8))/(INDEX($D$5:$H$5,0,AF$8+1)-INDEX($D$5:$H$5,0,AF$8))+AE83)))</f>
        <v>64.377434268608681</v>
      </c>
      <c r="AG83" s="11" cm="1">
        <f t="array" ref="AG83">IF(AG$8=-1,AH83,IF(AG$8=99,AF83,IF(AG$8=0,INDEX($E83:$I83,0,AG$6),(INDEX($E83:$I83,0,AG$8+1)-INDEX($E83:$I83,0,AG$8))/(INDEX($D$5:$H$5,0,AG$8+1)-INDEX($D$5:$H$5,0,AG$8))+AF83)))</f>
        <v>64.377434268608681</v>
      </c>
      <c r="AH83" s="11" cm="1">
        <f t="array" ref="AH83">IF(AH$8=-1,AI83,IF(AH$8=99,AG83,IF(AH$8=0,INDEX($E83:$I83,0,AH$6),(INDEX($E83:$I83,0,AH$8+1)-INDEX($E83:$I83,0,AH$8))/(INDEX($D$5:$H$5,0,AH$8+1)-INDEX($D$5:$H$5,0,AH$8))+AG83)))</f>
        <v>64.377434268608681</v>
      </c>
      <c r="AI83" s="11" cm="1">
        <f t="array" ref="AI83">IF(AI$8=-1,AJ83,IF(AI$8=99,AH83,IF(AI$8=0,INDEX($E83:$I83,0,AI$6),(INDEX($E83:$I83,0,AI$8+1)-INDEX($E83:$I83,0,AI$8))/(INDEX($D$5:$H$5,0,AI$8+1)-INDEX($D$5:$H$5,0,AI$8))+AH83)))</f>
        <v>64.377434268608681</v>
      </c>
      <c r="AJ83" s="11" cm="1">
        <f t="array" ref="AJ83">IF(AJ$8=-1,AK83,IF(AJ$8=99,AI83,IF(AJ$8=0,INDEX($E83:$I83,0,AJ$6),(INDEX($E83:$I83,0,AJ$8+1)-INDEX($E83:$I83,0,AJ$8))/(INDEX($D$5:$H$5,0,AJ$8+1)-INDEX($D$5:$H$5,0,AJ$8))+AI83)))</f>
        <v>64.377434268608681</v>
      </c>
      <c r="AK83" s="11" cm="1">
        <f t="array" ref="AK83">IF(AK$8=-1,AL83,IF(AK$8=99,AJ83,IF(AK$8=0,INDEX($E83:$I83,0,AK$6),(INDEX($E83:$I83,0,AK$8+1)-INDEX($E83:$I83,0,AK$8))/(INDEX($D$5:$H$5,0,AK$8+1)-INDEX($D$5:$H$5,0,AK$8))+AJ83)))</f>
        <v>64.377434268608681</v>
      </c>
      <c r="AL83" s="11" cm="1">
        <f t="array" ref="AL83">IF(AL$8=-1,AM83,IF(AL$8=99,AK83,IF(AL$8=0,INDEX($E83:$I83,0,AL$6),(INDEX($E83:$I83,0,AL$8+1)-INDEX($E83:$I83,0,AL$8))/(INDEX($D$5:$H$5,0,AL$8+1)-INDEX($D$5:$H$5,0,AL$8))+AK83)))</f>
        <v>64.377434268608681</v>
      </c>
      <c r="AM83" s="11" cm="1">
        <f t="array" ref="AM83">IF(AM$8=-1,AN83,IF(AM$8=99,AL83,IF(AM$8=0,INDEX($E83:$I83,0,AM$6),(INDEX($E83:$I83,0,AM$8+1)-INDEX($E83:$I83,0,AM$8))/(INDEX($D$5:$H$5,0,AM$8+1)-INDEX($D$5:$H$5,0,AM$8))+AL83)))</f>
        <v>64.377434268608681</v>
      </c>
      <c r="AN83" s="11" cm="1">
        <f t="array" ref="AN83">IF(AN$8=-1,AO83,IF(AN$8=99,AM83,IF(AN$8=0,INDEX($E83:$I83,0,AN$6),(INDEX($E83:$I83,0,AN$8+1)-INDEX($E83:$I83,0,AN$8))/(INDEX($D$5:$H$5,0,AN$8+1)-INDEX($D$5:$H$5,0,AN$8))+AM83)))</f>
        <v>64.377434268608681</v>
      </c>
      <c r="AO83" s="11" cm="1">
        <f t="array" ref="AO83">IF(AO$8=-1,AP83,IF(AO$8=99,AN83,IF(AO$8=0,INDEX($E83:$K83,0,AO$6),(INDEX($E83:$K83,0,AO$8+1)-INDEX($E83:$K83,0,AO$8))/(INDEX($D$5:$J$5,0,AO$8+1)-INDEX($D$5:$J$5,0,AO$8))+AN83)))</f>
        <v>64.377434268608681</v>
      </c>
      <c r="AP83" s="11" cm="1">
        <f t="array" ref="AP83">IF(AP$8=-1,AQ83,IF(AP$8=99,AO83,IF(AP$8=0,INDEX($E83:$K83,0,AP$6),(INDEX($E83:$K83,0,AP$8+1)-INDEX($E83:$K83,0,AP$8))/(INDEX($D$5:$J$5,0,AP$8+1)-INDEX($D$5:$J$5,0,AP$8))+AO83)))</f>
        <v>64.377434268608681</v>
      </c>
      <c r="AQ83" s="11" cm="1">
        <f t="array" ref="AQ83">IF(AQ$8=-1,AR83,IF(AQ$8=99,AP83,IF(AQ$8=0,INDEX($E83:$K83,0,AQ$6),(INDEX($E83:$K83,0,AQ$8+1)-INDEX($E83:$K83,0,AQ$8))/(INDEX($D$5:$J$5,0,AQ$8+1)-INDEX($D$5:$J$5,0,AQ$8))+AP83)))</f>
        <v>64.377434268608681</v>
      </c>
      <c r="AR83" s="11" cm="1">
        <f t="array" ref="AR83">IF(AR$8=-1,AS83,IF(AR$8=99,AQ83,IF(AR$8=0,INDEX($E83:$K83,0,AR$6),(INDEX($E83:$K83,0,AR$8+1)-INDEX($E83:$K83,0,AR$8))/(INDEX($D$5:$J$5,0,AR$8+1)-INDEX($D$5:$J$5,0,AR$8))+AQ83)))</f>
        <v>64.377434268608681</v>
      </c>
      <c r="AS83" s="11" cm="1">
        <f t="array" ref="AS83">IF(AS$8=-1,AT83,IF(AS$8=99,AR83,IF(AS$8=0,INDEX($E83:$K83,0,AS$6),(INDEX($E83:$K83,0,AS$8+1)-INDEX($E83:$K83,0,AS$8))/(INDEX($D$5:$J$5,0,AS$8+1)-INDEX($D$5:$J$5,0,AS$8))+AR83)))</f>
        <v>64.377434268608681</v>
      </c>
      <c r="AT83" s="11" cm="1">
        <f t="array" ref="AT83">IF(AT$8=-1,AU83,IF(AT$8=99,AS83,IF(AT$8=0,INDEX($E83:$K83,0,AT$6),(INDEX($E83:$K83,0,AT$8+1)-INDEX($E83:$K83,0,AT$8))/(INDEX($D$5:$J$5,0,AT$8+1)-INDEX($D$5:$J$5,0,AT$8))+AS83)))</f>
        <v>64.377434268608681</v>
      </c>
      <c r="AU83" s="11" cm="1">
        <f t="array" ref="AU83">IF(AU$8=-1,AV83,IF(AU$8=99,AT83,IF(AU$8=0,INDEX($E83:$K83,0,AU$6),(INDEX($E83:$K83,0,AU$8+1)-INDEX($E83:$K83,0,AU$8))/(INDEX($D$5:$J$5,0,AU$8+1)-INDEX($D$5:$J$5,0,AU$8))+AT83)))</f>
        <v>64.377434268608681</v>
      </c>
      <c r="AV83" s="11" cm="1">
        <f t="array" ref="AV83">IF(AV$8=-1,AW83,IF(AV$8=99,AU83,IF(AV$8=0,INDEX($E83:$K83,0,AV$6),(INDEX($E83:$K83,0,AV$8+1)-INDEX($E83:$K83,0,AV$8))/(INDEX($D$5:$J$5,0,AV$8+1)-INDEX($D$5:$J$5,0,AV$8))+AU83)))</f>
        <v>64.377434268608681</v>
      </c>
      <c r="AW83" s="11" cm="1">
        <f t="array" ref="AW83">IF(AW$8=-1,AX83,IF(AW$8=99,AV83,IF(AW$8=0,INDEX($E83:$K83,0,AW$6),(INDEX($E83:$K83,0,AW$8+1)-INDEX($E83:$K83,0,AW$8))/(INDEX($D$5:$J$5,0,AW$8+1)-INDEX($D$5:$J$5,0,AW$8))+AV83)))</f>
        <v>64.377434268608681</v>
      </c>
      <c r="AX83" s="11" cm="1">
        <f t="array" ref="AX83">IF(AX$8=-1,AY83,IF(AX$8=99,AW83,IF(AX$8=0,INDEX($E83:$K83,0,AX$6),(INDEX($E83:$K83,0,AX$8+1)-INDEX($E83:$K83,0,AX$8))/(INDEX($D$5:$J$5,0,AX$8+1)-INDEX($D$5:$J$5,0,AX$8))+AW83)))</f>
        <v>64.377434268608681</v>
      </c>
      <c r="AY83" s="11" cm="1">
        <f t="array" ref="AY83">IF(AY$8=-1,AZ83,IF(AY$8=99,AX83,IF(AY$8=0,INDEX($E83:$K83,0,AY$6),(INDEX($E83:$K83,0,AY$8+1)-INDEX($E83:$K83,0,AY$8))/(INDEX($D$5:$J$5,0,AY$8+1)-INDEX($D$5:$J$5,0,AY$8))+AX83)))</f>
        <v>64.377434268608681</v>
      </c>
      <c r="AZ83" s="11" cm="1">
        <f t="array" ref="AZ83">IF(AZ$8=-1,BA83,IF(AZ$8=99,AY83,IF(AZ$8=0,INDEX($E83:$K83,0,AZ$6),(INDEX($E83:$K83,0,AZ$8+1)-INDEX($E83:$K83,0,AZ$8))/(INDEX($D$5:$J$5,0,AZ$8+1)-INDEX($D$5:$J$5,0,AZ$8))+AY83)))</f>
        <v>64.377434268608681</v>
      </c>
      <c r="BA83" s="11" cm="1">
        <f t="array" ref="BA83">IF(BA$8=-1,BB83,IF(BA$8=99,AZ83,IF(BA$8=0,INDEX($E83:$K83,0,BA$6),(INDEX($E83:$K83,0,BA$8+1)-INDEX($E83:$K83,0,BA$8))/(INDEX($D$5:$J$5,0,BA$8+1)-INDEX($D$5:$J$5,0,BA$8))+AZ83)))</f>
        <v>64.377434268608681</v>
      </c>
      <c r="BB83" s="11" cm="1">
        <f t="array" ref="BB83">IF(BB$8=-1,BC83,IF(BB$8=99,BA83,IF(BB$8=0,INDEX($E83:$K83,0,BB$6),(INDEX($E83:$K83,0,BB$8+1)-INDEX($E83:$K83,0,BB$8))/(INDEX($D$5:$J$5,0,BB$8+1)-INDEX($D$5:$J$5,0,BB$8))+BA83)))</f>
        <v>64.377434268608681</v>
      </c>
      <c r="BC83" s="11" cm="1">
        <f t="array" ref="BC83">IF(BC$8=-1,BD83,IF(BC$8=99,BB83,IF(BC$8=0,INDEX($E83:$K83,0,BC$6),(INDEX($E83:$K83,0,BC$8+1)-INDEX($E83:$K83,0,BC$8))/(INDEX($D$5:$J$5,0,BC$8+1)-INDEX($D$5:$J$5,0,BC$8))+BB83)))</f>
        <v>64.377434268608681</v>
      </c>
      <c r="BD83" s="11" cm="1">
        <f t="array" ref="BD83">IF(BD$8=-1,BE83,IF(BD$8=99,BC83,IF(BD$8=0,INDEX($E83:$K83,0,BD$6),(INDEX($E83:$K83,0,BD$8+1)-INDEX($E83:$K83,0,BD$8))/(INDEX($D$5:$J$5,0,BD$8+1)-INDEX($D$5:$J$5,0,BD$8))+BC83)))</f>
        <v>64.377434268608681</v>
      </c>
      <c r="BE83" s="11" cm="1">
        <f t="array" ref="BE83">IF(BE$8=-1,BF83,IF(BE$8=99,BD83,IF(BE$8=0,INDEX($E83:$K83,0,BE$6),(INDEX($E83:$K83,0,BE$8+1)-INDEX($E83:$K83,0,BE$8))/(INDEX($D$5:$J$5,0,BE$8+1)-INDEX($D$5:$J$5,0,BE$8))+BD83)))</f>
        <v>64.377434268608681</v>
      </c>
      <c r="BF83" s="11" cm="1">
        <f t="array" ref="BF83">IF(BF$8=-1,BG83,IF(BF$8=99,BE83,IF(BF$8=0,INDEX($E83:$K83,0,BF$6),(INDEX($E83:$K83,0,BF$8+1)-INDEX($E83:$K83,0,BF$8))/(INDEX($D$5:$J$5,0,BF$8+1)-INDEX($D$5:$J$5,0,BF$8))+BE83)))</f>
        <v>64.377434268608681</v>
      </c>
      <c r="BG83" s="11" cm="1">
        <f t="array" ref="BG83">IF(BG$8=-1,BH83,IF(BG$8=99,BF83,IF(BG$8=0,INDEX($E83:$K83,0,BG$6),(INDEX($E83:$K83,0,BG$8+1)-INDEX($E83:$K83,0,BG$8))/(INDEX($D$5:$J$5,0,BG$8+1)-INDEX($D$5:$J$5,0,BG$8))+BF83)))</f>
        <v>64.377434268608681</v>
      </c>
      <c r="BH83" s="11" cm="1">
        <f t="array" ref="BH83">IF(BH$8=-1,BI83,IF(BH$8=99,BG83,IF(BH$8=0,INDEX($E83:$K83,0,BH$6),(INDEX($E83:$K83,0,BH$8+1)-INDEX($E83:$K83,0,BH$8))/(INDEX($D$5:$J$5,0,BH$8+1)-INDEX($D$5:$J$5,0,BH$8))+BG83)))</f>
        <v>64.377434268608681</v>
      </c>
      <c r="BI83" s="11" cm="1">
        <f t="array" ref="BI83">IF(BI$8=-1,BJ83,IF(BI$8=99,BH83,IF(BI$8=0,INDEX($E83:$K83,0,BI$6),(INDEX($E83:$K83,0,BI$8+1)-INDEX($E83:$K83,0,BI$8))/(INDEX($D$5:$J$5,0,BI$8+1)-INDEX($D$5:$J$5,0,BI$8))+BH83)))</f>
        <v>64.377434268608681</v>
      </c>
      <c r="BJ83" s="11" cm="1">
        <f t="array" ref="BJ83">IF(BJ$8=-1,BK83,IF(BJ$8=99,BI83,IF(BJ$8=0,INDEX($E83:$K83,0,BJ$6),(INDEX($E83:$K83,0,BJ$8+1)-INDEX($E83:$K83,0,BJ$8))/(INDEX($D$5:$J$5,0,BJ$8+1)-INDEX($D$5:$J$5,0,BJ$8))+BI83)))</f>
        <v>64.377434268608681</v>
      </c>
      <c r="BK83" s="11" cm="1">
        <f t="array" ref="BK83">IF(BK$8=-1,BL83,IF(BK$8=99,BJ83,IF(BK$8=0,INDEX($E83:$K83,0,BK$6),(INDEX($E83:$K83,0,BK$8+1)-INDEX($E83:$K83,0,BK$8))/(INDEX($D$5:$J$5,0,BK$8+1)-INDEX($D$5:$J$5,0,BK$8))+BJ83)))</f>
        <v>64.377434268608681</v>
      </c>
      <c r="BL83" s="11" cm="1">
        <f t="array" ref="BL83">IF(BL$8=-1,BM83,IF(BL$8=99,BK83,IF(BL$8=0,INDEX($E83:$K83,0,BL$6),(INDEX($E83:$K83,0,BL$8+1)-INDEX($E83:$K83,0,BL$8))/(INDEX($D$5:$J$5,0,BL$8+1)-INDEX($D$5:$J$5,0,BL$8))+BK83)))</f>
        <v>64.377434268608681</v>
      </c>
      <c r="BM83" s="11" cm="1">
        <f t="array" ref="BM83">IF(BM$8=-1,BN83,IF(BM$8=99,BL83,IF(BM$8=0,INDEX($E83:$K83,0,BM$6),(INDEX($E83:$K83,0,BM$8+1)-INDEX($E83:$K83,0,BM$8))/(INDEX($D$5:$J$5,0,BM$8+1)-INDEX($D$5:$J$5,0,BM$8))+BL83)))</f>
        <v>64.377434268608681</v>
      </c>
      <c r="BN83" s="11" cm="1">
        <f t="array" ref="BN83">IF(BN$8=-1,BO83,IF(BN$8=99,BM83,IF(BN$8=0,INDEX($E83:$K83,0,BN$6),(INDEX($E83:$K83,0,BN$8+1)-INDEX($E83:$K83,0,BN$8))/(INDEX($D$5:$J$5,0,BN$8+1)-INDEX($D$5:$J$5,0,BN$8))+BM83)))</f>
        <v>64.377434268608681</v>
      </c>
      <c r="BO83" s="11" cm="1">
        <f t="array" ref="BO83">IF(BO$8=-1,BP83,IF(BO$8=99,BN83,IF(BO$8=0,INDEX($E83:$K83,0,BO$6),(INDEX($E83:$K83,0,BO$8+1)-INDEX($E83:$K83,0,BO$8))/(INDEX($D$5:$J$5,0,BO$8+1)-INDEX($D$5:$J$5,0,BO$8))+BN83)))</f>
        <v>64.377434268608681</v>
      </c>
      <c r="BP83" s="11" cm="1">
        <f t="array" ref="BP83">IF(BP$8=-1,BQ83,IF(BP$8=99,BO83,IF(BP$8=0,INDEX($E83:$K83,0,BP$6),(INDEX($E83:$K83,0,BP$8+1)-INDEX($E83:$K83,0,BP$8))/(INDEX($D$5:$J$5,0,BP$8+1)-INDEX($D$5:$J$5,0,BP$8))+BO83)))</f>
        <v>64.377434268608681</v>
      </c>
      <c r="BQ83" s="11" cm="1">
        <f t="array" ref="BQ83">IF(BQ$8=-1,BR83,IF(BQ$8=99,BP83,IF(BQ$8=0,INDEX($E83:$K83,0,BQ$6),(INDEX($E83:$K83,0,BQ$8+1)-INDEX($E83:$K83,0,BQ$8))/(INDEX($D$5:$J$5,0,BQ$8+1)-INDEX($D$5:$J$5,0,BQ$8))+BP83)))</f>
        <v>64.377434268608681</v>
      </c>
      <c r="BR83" s="11" cm="1">
        <f t="array" ref="BR83">IF(BR$8=-1,BS83,IF(BR$8=99,BQ83,IF(BR$8=0,INDEX($E83:$K83,0,BR$6),(INDEX($E83:$K83,0,BR$8+1)-INDEX($E83:$K83,0,BR$8))/(INDEX($D$5:$J$5,0,BR$8+1)-INDEX($D$5:$J$5,0,BR$8))+BQ83)))</f>
        <v>64.377434268608681</v>
      </c>
    </row>
    <row r="84" spans="1:70" ht="15">
      <c r="A84" t="s">
        <v>16</v>
      </c>
      <c r="B84" s="5" t="s">
        <v>237</v>
      </c>
      <c r="C84" s="75" t="str">
        <f t="shared" si="143"/>
        <v>Commercial - Lighting</v>
      </c>
      <c r="D84" s="75" t="s">
        <v>66</v>
      </c>
      <c r="E84" s="84">
        <f t="shared" si="148"/>
        <v>915.10615144128883</v>
      </c>
      <c r="F84" s="92">
        <f t="shared" si="148"/>
        <v>802.64469417063674</v>
      </c>
      <c r="G84" s="92">
        <f t="shared" si="144"/>
        <v>802.64469417063674</v>
      </c>
      <c r="H84" s="92">
        <f t="shared" si="149"/>
        <v>802.64469417063674</v>
      </c>
      <c r="I84" s="134">
        <f t="shared" si="145"/>
        <v>802.64469417063674</v>
      </c>
      <c r="J84" s="134">
        <f t="shared" si="146"/>
        <v>802.64469417063674</v>
      </c>
      <c r="K84" s="134">
        <f t="shared" si="147"/>
        <v>802.64469417063674</v>
      </c>
      <c r="L84" s="11" cm="1">
        <f t="array" ref="L84">IF(L$8=-1,M84,IF(L$8=99,I84,IF(L$8=0,INDEX($E84:$I84,0,L$6),(INDEX($E84:$I84,0,L$8+1)-INDEX($E84:$I84,0,L$8))/(INDEX($D$5:$H$5,0,L$8+1)-INDEX($D$5:$H$5,0,L$8))+I84)))</f>
        <v>915.10615144128883</v>
      </c>
      <c r="M84" s="11" cm="1">
        <f t="array" ref="M84">IF(M$8=-1,N84,IF(M$8=99,L84,IF(M$8=0,INDEX($E84:$I84,0,M$6),(INDEX($E84:$I84,0,M$8+1)-INDEX($E84:$I84,0,M$8))/(INDEX($D$5:$H$5,0,M$8+1)-INDEX($D$5:$H$5,0,M$8))+L84)))</f>
        <v>892.61385998715843</v>
      </c>
      <c r="N84" s="11" cm="1">
        <f t="array" ref="N84">IF(N$8=-1,O84,IF(N$8=99,M84,IF(N$8=0,INDEX($E84:$I84,0,N$6),(INDEX($E84:$I84,0,N$8+1)-INDEX($E84:$I84,0,N$8))/(INDEX($D$5:$H$5,0,N$8+1)-INDEX($D$5:$H$5,0,N$8))+M84)))</f>
        <v>870.12156853302804</v>
      </c>
      <c r="O84" s="11" cm="1">
        <f t="array" ref="O84">IF(O$8=-1,P84,IF(O$8=99,N84,IF(O$8=0,INDEX($E84:$I84,0,O$6),(INDEX($E84:$I84,0,O$8+1)-INDEX($E84:$I84,0,O$8))/(INDEX($D$5:$H$5,0,O$8+1)-INDEX($D$5:$H$5,0,O$8))+N84)))</f>
        <v>847.62927707889764</v>
      </c>
      <c r="P84" s="11" cm="1">
        <f t="array" ref="P84">IF(P$8=-1,Q84,IF(P$8=99,O84,IF(P$8=0,INDEX($E84:$I84,0,P$6),(INDEX($E84:$I84,0,P$8+1)-INDEX($E84:$I84,0,P$8))/(INDEX($D$5:$H$5,0,P$8+1)-INDEX($D$5:$H$5,0,P$8))+O84)))</f>
        <v>825.13698562476725</v>
      </c>
      <c r="Q84" s="11" cm="1">
        <f t="array" ref="Q84">IF(Q$8=-1,R84,IF(Q$8=99,P84,IF(Q$8=0,INDEX($E84:$I84,0,Q$6),(INDEX($E84:$I84,0,Q$8+1)-INDEX($E84:$I84,0,Q$8))/(INDEX($D$5:$H$5,0,Q$8+1)-INDEX($D$5:$H$5,0,Q$8))+P84)))</f>
        <v>802.64469417063674</v>
      </c>
      <c r="R84" s="11" cm="1">
        <f t="array" ref="R84">IF(R$8=-1,S84,IF(R$8=99,Q84,IF(R$8=0,INDEX($E84:$I84,0,R$6),(INDEX($E84:$I84,0,R$8+1)-INDEX($E84:$I84,0,R$8))/(INDEX($D$5:$H$5,0,R$8+1)-INDEX($D$5:$H$5,0,R$8))+Q84)))</f>
        <v>802.64469417063674</v>
      </c>
      <c r="S84" s="11" cm="1">
        <f t="array" ref="S84">IF(S$8=-1,T84,IF(S$8=99,R84,IF(S$8=0,INDEX($E84:$I84,0,S$6),(INDEX($E84:$I84,0,S$8+1)-INDEX($E84:$I84,0,S$8))/(INDEX($D$5:$H$5,0,S$8+1)-INDEX($D$5:$H$5,0,S$8))+R84)))</f>
        <v>802.64469417063674</v>
      </c>
      <c r="T84" s="11" cm="1">
        <f t="array" ref="T84">IF(T$8=-1,U84,IF(T$8=99,S84,IF(T$8=0,INDEX($E84:$I84,0,T$6),(INDEX($E84:$I84,0,T$8+1)-INDEX($E84:$I84,0,T$8))/(INDEX($D$5:$H$5,0,T$8+1)-INDEX($D$5:$H$5,0,T$8))+S84)))</f>
        <v>802.64469417063674</v>
      </c>
      <c r="U84" s="11" cm="1">
        <f t="array" ref="U84">IF(U$8=-1,V84,IF(U$8=99,T84,IF(U$8=0,INDEX($E84:$I84,0,U$6),(INDEX($E84:$I84,0,U$8+1)-INDEX($E84:$I84,0,U$8))/(INDEX($D$5:$H$5,0,U$8+1)-INDEX($D$5:$H$5,0,U$8))+T84)))</f>
        <v>802.64469417063674</v>
      </c>
      <c r="V84" s="11" cm="1">
        <f t="array" ref="V84">IF(V$8=-1,W84,IF(V$8=99,U84,IF(V$8=0,INDEX($E84:$I84,0,V$6),(INDEX($E84:$I84,0,V$8+1)-INDEX($E84:$I84,0,V$8))/(INDEX($D$5:$H$5,0,V$8+1)-INDEX($D$5:$H$5,0,V$8))+U84)))</f>
        <v>802.64469417063674</v>
      </c>
      <c r="W84" s="11" cm="1">
        <f t="array" ref="W84">IF(W$8=-1,X84,IF(W$8=99,V84,IF(W$8=0,INDEX($E84:$I84,0,W$6),(INDEX($E84:$I84,0,W$8+1)-INDEX($E84:$I84,0,W$8))/(INDEX($D$5:$H$5,0,W$8+1)-INDEX($D$5:$H$5,0,W$8))+V84)))</f>
        <v>802.64469417063674</v>
      </c>
      <c r="X84" s="11" cm="1">
        <f t="array" ref="X84">IF(X$8=-1,Y84,IF(X$8=99,W84,IF(X$8=0,INDEX($E84:$I84,0,X$6),(INDEX($E84:$I84,0,X$8+1)-INDEX($E84:$I84,0,X$8))/(INDEX($D$5:$H$5,0,X$8+1)-INDEX($D$5:$H$5,0,X$8))+W84)))</f>
        <v>802.64469417063674</v>
      </c>
      <c r="Y84" s="11" cm="1">
        <f t="array" ref="Y84">IF(Y$8=-1,Z84,IF(Y$8=99,X84,IF(Y$8=0,INDEX($E84:$I84,0,Y$6),(INDEX($E84:$I84,0,Y$8+1)-INDEX($E84:$I84,0,Y$8))/(INDEX($D$5:$H$5,0,Y$8+1)-INDEX($D$5:$H$5,0,Y$8))+X84)))</f>
        <v>802.64469417063674</v>
      </c>
      <c r="Z84" s="11" cm="1">
        <f t="array" ref="Z84">IF(Z$8=-1,AA84,IF(Z$8=99,Y84,IF(Z$8=0,INDEX($E84:$I84,0,Z$6),(INDEX($E84:$I84,0,Z$8+1)-INDEX($E84:$I84,0,Z$8))/(INDEX($D$5:$H$5,0,Z$8+1)-INDEX($D$5:$H$5,0,Z$8))+Y84)))</f>
        <v>802.64469417063674</v>
      </c>
      <c r="AA84" s="11" cm="1">
        <f t="array" ref="AA84">IF(AA$8=-1,AB84,IF(AA$8=99,Z84,IF(AA$8=0,INDEX($E84:$I84,0,AA$6),(INDEX($E84:$I84,0,AA$8+1)-INDEX($E84:$I84,0,AA$8))/(INDEX($D$5:$H$5,0,AA$8+1)-INDEX($D$5:$H$5,0,AA$8))+Z84)))</f>
        <v>802.64469417063674</v>
      </c>
      <c r="AB84" s="11" cm="1">
        <f t="array" ref="AB84">IF(AB$8=-1,AC84,IF(AB$8=99,AA84,IF(AB$8=0,INDEX($E84:$I84,0,AB$6),(INDEX($E84:$I84,0,AB$8+1)-INDEX($E84:$I84,0,AB$8))/(INDEX($D$5:$H$5,0,AB$8+1)-INDEX($D$5:$H$5,0,AB$8))+AA84)))</f>
        <v>802.64469417063674</v>
      </c>
      <c r="AC84" s="11" cm="1">
        <f t="array" ref="AC84">IF(AC$8=-1,AD84,IF(AC$8=99,AB84,IF(AC$8=0,INDEX($E84:$I84,0,AC$6),(INDEX($E84:$I84,0,AC$8+1)-INDEX($E84:$I84,0,AC$8))/(INDEX($D$5:$H$5,0,AC$8+1)-INDEX($D$5:$H$5,0,AC$8))+AB84)))</f>
        <v>802.64469417063674</v>
      </c>
      <c r="AD84" s="11" cm="1">
        <f t="array" ref="AD84">IF(AD$8=-1,AE84,IF(AD$8=99,AC84,IF(AD$8=0,INDEX($E84:$I84,0,AD$6),(INDEX($E84:$I84,0,AD$8+1)-INDEX($E84:$I84,0,AD$8))/(INDEX($D$5:$H$5,0,AD$8+1)-INDEX($D$5:$H$5,0,AD$8))+AC84)))</f>
        <v>802.64469417063674</v>
      </c>
      <c r="AE84" s="11" cm="1">
        <f t="array" ref="AE84">IF(AE$8=-1,AF84,IF(AE$8=99,AD84,IF(AE$8=0,INDEX($E84:$I84,0,AE$6),(INDEX($E84:$I84,0,AE$8+1)-INDEX($E84:$I84,0,AE$8))/(INDEX($D$5:$H$5,0,AE$8+1)-INDEX($D$5:$H$5,0,AE$8))+AD84)))</f>
        <v>802.64469417063674</v>
      </c>
      <c r="AF84" s="11" cm="1">
        <f t="array" ref="AF84">IF(AF$8=-1,AG84,IF(AF$8=99,AE84,IF(AF$8=0,INDEX($E84:$I84,0,AF$6),(INDEX($E84:$I84,0,AF$8+1)-INDEX($E84:$I84,0,AF$8))/(INDEX($D$5:$H$5,0,AF$8+1)-INDEX($D$5:$H$5,0,AF$8))+AE84)))</f>
        <v>802.64469417063674</v>
      </c>
      <c r="AG84" s="11" cm="1">
        <f t="array" ref="AG84">IF(AG$8=-1,AH84,IF(AG$8=99,AF84,IF(AG$8=0,INDEX($E84:$I84,0,AG$6),(INDEX($E84:$I84,0,AG$8+1)-INDEX($E84:$I84,0,AG$8))/(INDEX($D$5:$H$5,0,AG$8+1)-INDEX($D$5:$H$5,0,AG$8))+AF84)))</f>
        <v>802.64469417063674</v>
      </c>
      <c r="AH84" s="11" cm="1">
        <f t="array" ref="AH84">IF(AH$8=-1,AI84,IF(AH$8=99,AG84,IF(AH$8=0,INDEX($E84:$I84,0,AH$6),(INDEX($E84:$I84,0,AH$8+1)-INDEX($E84:$I84,0,AH$8))/(INDEX($D$5:$H$5,0,AH$8+1)-INDEX($D$5:$H$5,0,AH$8))+AG84)))</f>
        <v>802.64469417063674</v>
      </c>
      <c r="AI84" s="11" cm="1">
        <f t="array" ref="AI84">IF(AI$8=-1,AJ84,IF(AI$8=99,AH84,IF(AI$8=0,INDEX($E84:$I84,0,AI$6),(INDEX($E84:$I84,0,AI$8+1)-INDEX($E84:$I84,0,AI$8))/(INDEX($D$5:$H$5,0,AI$8+1)-INDEX($D$5:$H$5,0,AI$8))+AH84)))</f>
        <v>802.64469417063674</v>
      </c>
      <c r="AJ84" s="11" cm="1">
        <f t="array" ref="AJ84">IF(AJ$8=-1,AK84,IF(AJ$8=99,AI84,IF(AJ$8=0,INDEX($E84:$I84,0,AJ$6),(INDEX($E84:$I84,0,AJ$8+1)-INDEX($E84:$I84,0,AJ$8))/(INDEX($D$5:$H$5,0,AJ$8+1)-INDEX($D$5:$H$5,0,AJ$8))+AI84)))</f>
        <v>802.64469417063674</v>
      </c>
      <c r="AK84" s="11" cm="1">
        <f t="array" ref="AK84">IF(AK$8=-1,AL84,IF(AK$8=99,AJ84,IF(AK$8=0,INDEX($E84:$I84,0,AK$6),(INDEX($E84:$I84,0,AK$8+1)-INDEX($E84:$I84,0,AK$8))/(INDEX($D$5:$H$5,0,AK$8+1)-INDEX($D$5:$H$5,0,AK$8))+AJ84)))</f>
        <v>802.64469417063674</v>
      </c>
      <c r="AL84" s="11" cm="1">
        <f t="array" ref="AL84">IF(AL$8=-1,AM84,IF(AL$8=99,AK84,IF(AL$8=0,INDEX($E84:$I84,0,AL$6),(INDEX($E84:$I84,0,AL$8+1)-INDEX($E84:$I84,0,AL$8))/(INDEX($D$5:$H$5,0,AL$8+1)-INDEX($D$5:$H$5,0,AL$8))+AK84)))</f>
        <v>802.64469417063674</v>
      </c>
      <c r="AM84" s="11" cm="1">
        <f t="array" ref="AM84">IF(AM$8=-1,AN84,IF(AM$8=99,AL84,IF(AM$8=0,INDEX($E84:$I84,0,AM$6),(INDEX($E84:$I84,0,AM$8+1)-INDEX($E84:$I84,0,AM$8))/(INDEX($D$5:$H$5,0,AM$8+1)-INDEX($D$5:$H$5,0,AM$8))+AL84)))</f>
        <v>802.64469417063674</v>
      </c>
      <c r="AN84" s="11" cm="1">
        <f t="array" ref="AN84">IF(AN$8=-1,AO84,IF(AN$8=99,AM84,IF(AN$8=0,INDEX($E84:$I84,0,AN$6),(INDEX($E84:$I84,0,AN$8+1)-INDEX($E84:$I84,0,AN$8))/(INDEX($D$5:$H$5,0,AN$8+1)-INDEX($D$5:$H$5,0,AN$8))+AM84)))</f>
        <v>802.64469417063674</v>
      </c>
      <c r="AO84" s="11" cm="1">
        <f t="array" ref="AO84">IF(AO$8=-1,AP84,IF(AO$8=99,AN84,IF(AO$8=0,INDEX($E84:$K84,0,AO$6),(INDEX($E84:$K84,0,AO$8+1)-INDEX($E84:$K84,0,AO$8))/(INDEX($D$5:$J$5,0,AO$8+1)-INDEX($D$5:$J$5,0,AO$8))+AN84)))</f>
        <v>802.64469417063674</v>
      </c>
      <c r="AP84" s="11" cm="1">
        <f t="array" ref="AP84">IF(AP$8=-1,AQ84,IF(AP$8=99,AO84,IF(AP$8=0,INDEX($E84:$K84,0,AP$6),(INDEX($E84:$K84,0,AP$8+1)-INDEX($E84:$K84,0,AP$8))/(INDEX($D$5:$J$5,0,AP$8+1)-INDEX($D$5:$J$5,0,AP$8))+AO84)))</f>
        <v>802.64469417063674</v>
      </c>
      <c r="AQ84" s="11" cm="1">
        <f t="array" ref="AQ84">IF(AQ$8=-1,AR84,IF(AQ$8=99,AP84,IF(AQ$8=0,INDEX($E84:$K84,0,AQ$6),(INDEX($E84:$K84,0,AQ$8+1)-INDEX($E84:$K84,0,AQ$8))/(INDEX($D$5:$J$5,0,AQ$8+1)-INDEX($D$5:$J$5,0,AQ$8))+AP84)))</f>
        <v>802.64469417063674</v>
      </c>
      <c r="AR84" s="11" cm="1">
        <f t="array" ref="AR84">IF(AR$8=-1,AS84,IF(AR$8=99,AQ84,IF(AR$8=0,INDEX($E84:$K84,0,AR$6),(INDEX($E84:$K84,0,AR$8+1)-INDEX($E84:$K84,0,AR$8))/(INDEX($D$5:$J$5,0,AR$8+1)-INDEX($D$5:$J$5,0,AR$8))+AQ84)))</f>
        <v>802.64469417063674</v>
      </c>
      <c r="AS84" s="11" cm="1">
        <f t="array" ref="AS84">IF(AS$8=-1,AT84,IF(AS$8=99,AR84,IF(AS$8=0,INDEX($E84:$K84,0,AS$6),(INDEX($E84:$K84,0,AS$8+1)-INDEX($E84:$K84,0,AS$8))/(INDEX($D$5:$J$5,0,AS$8+1)-INDEX($D$5:$J$5,0,AS$8))+AR84)))</f>
        <v>802.64469417063674</v>
      </c>
      <c r="AT84" s="11" cm="1">
        <f t="array" ref="AT84">IF(AT$8=-1,AU84,IF(AT$8=99,AS84,IF(AT$8=0,INDEX($E84:$K84,0,AT$6),(INDEX($E84:$K84,0,AT$8+1)-INDEX($E84:$K84,0,AT$8))/(INDEX($D$5:$J$5,0,AT$8+1)-INDEX($D$5:$J$5,0,AT$8))+AS84)))</f>
        <v>802.64469417063674</v>
      </c>
      <c r="AU84" s="11" cm="1">
        <f t="array" ref="AU84">IF(AU$8=-1,AV84,IF(AU$8=99,AT84,IF(AU$8=0,INDEX($E84:$K84,0,AU$6),(INDEX($E84:$K84,0,AU$8+1)-INDEX($E84:$K84,0,AU$8))/(INDEX($D$5:$J$5,0,AU$8+1)-INDEX($D$5:$J$5,0,AU$8))+AT84)))</f>
        <v>802.64469417063674</v>
      </c>
      <c r="AV84" s="11" cm="1">
        <f t="array" ref="AV84">IF(AV$8=-1,AW84,IF(AV$8=99,AU84,IF(AV$8=0,INDEX($E84:$K84,0,AV$6),(INDEX($E84:$K84,0,AV$8+1)-INDEX($E84:$K84,0,AV$8))/(INDEX($D$5:$J$5,0,AV$8+1)-INDEX($D$5:$J$5,0,AV$8))+AU84)))</f>
        <v>802.64469417063674</v>
      </c>
      <c r="AW84" s="11" cm="1">
        <f t="array" ref="AW84">IF(AW$8=-1,AX84,IF(AW$8=99,AV84,IF(AW$8=0,INDEX($E84:$K84,0,AW$6),(INDEX($E84:$K84,0,AW$8+1)-INDEX($E84:$K84,0,AW$8))/(INDEX($D$5:$J$5,0,AW$8+1)-INDEX($D$5:$J$5,0,AW$8))+AV84)))</f>
        <v>802.64469417063674</v>
      </c>
      <c r="AX84" s="11" cm="1">
        <f t="array" ref="AX84">IF(AX$8=-1,AY84,IF(AX$8=99,AW84,IF(AX$8=0,INDEX($E84:$K84,0,AX$6),(INDEX($E84:$K84,0,AX$8+1)-INDEX($E84:$K84,0,AX$8))/(INDEX($D$5:$J$5,0,AX$8+1)-INDEX($D$5:$J$5,0,AX$8))+AW84)))</f>
        <v>802.64469417063674</v>
      </c>
      <c r="AY84" s="11" cm="1">
        <f t="array" ref="AY84">IF(AY$8=-1,AZ84,IF(AY$8=99,AX84,IF(AY$8=0,INDEX($E84:$K84,0,AY$6),(INDEX($E84:$K84,0,AY$8+1)-INDEX($E84:$K84,0,AY$8))/(INDEX($D$5:$J$5,0,AY$8+1)-INDEX($D$5:$J$5,0,AY$8))+AX84)))</f>
        <v>802.64469417063674</v>
      </c>
      <c r="AZ84" s="11" cm="1">
        <f t="array" ref="AZ84">IF(AZ$8=-1,BA84,IF(AZ$8=99,AY84,IF(AZ$8=0,INDEX($E84:$K84,0,AZ$6),(INDEX($E84:$K84,0,AZ$8+1)-INDEX($E84:$K84,0,AZ$8))/(INDEX($D$5:$J$5,0,AZ$8+1)-INDEX($D$5:$J$5,0,AZ$8))+AY84)))</f>
        <v>802.64469417063674</v>
      </c>
      <c r="BA84" s="11" cm="1">
        <f t="array" ref="BA84">IF(BA$8=-1,BB84,IF(BA$8=99,AZ84,IF(BA$8=0,INDEX($E84:$K84,0,BA$6),(INDEX($E84:$K84,0,BA$8+1)-INDEX($E84:$K84,0,BA$8))/(INDEX($D$5:$J$5,0,BA$8+1)-INDEX($D$5:$J$5,0,BA$8))+AZ84)))</f>
        <v>802.64469417063674</v>
      </c>
      <c r="BB84" s="11" cm="1">
        <f t="array" ref="BB84">IF(BB$8=-1,BC84,IF(BB$8=99,BA84,IF(BB$8=0,INDEX($E84:$K84,0,BB$6),(INDEX($E84:$K84,0,BB$8+1)-INDEX($E84:$K84,0,BB$8))/(INDEX($D$5:$J$5,0,BB$8+1)-INDEX($D$5:$J$5,0,BB$8))+BA84)))</f>
        <v>802.64469417063674</v>
      </c>
      <c r="BC84" s="11" cm="1">
        <f t="array" ref="BC84">IF(BC$8=-1,BD84,IF(BC$8=99,BB84,IF(BC$8=0,INDEX($E84:$K84,0,BC$6),(INDEX($E84:$K84,0,BC$8+1)-INDEX($E84:$K84,0,BC$8))/(INDEX($D$5:$J$5,0,BC$8+1)-INDEX($D$5:$J$5,0,BC$8))+BB84)))</f>
        <v>802.64469417063674</v>
      </c>
      <c r="BD84" s="11" cm="1">
        <f t="array" ref="BD84">IF(BD$8=-1,BE84,IF(BD$8=99,BC84,IF(BD$8=0,INDEX($E84:$K84,0,BD$6),(INDEX($E84:$K84,0,BD$8+1)-INDEX($E84:$K84,0,BD$8))/(INDEX($D$5:$J$5,0,BD$8+1)-INDEX($D$5:$J$5,0,BD$8))+BC84)))</f>
        <v>802.64469417063674</v>
      </c>
      <c r="BE84" s="11" cm="1">
        <f t="array" ref="BE84">IF(BE$8=-1,BF84,IF(BE$8=99,BD84,IF(BE$8=0,INDEX($E84:$K84,0,BE$6),(INDEX($E84:$K84,0,BE$8+1)-INDEX($E84:$K84,0,BE$8))/(INDEX($D$5:$J$5,0,BE$8+1)-INDEX($D$5:$J$5,0,BE$8))+BD84)))</f>
        <v>802.64469417063674</v>
      </c>
      <c r="BF84" s="11" cm="1">
        <f t="array" ref="BF84">IF(BF$8=-1,BG84,IF(BF$8=99,BE84,IF(BF$8=0,INDEX($E84:$K84,0,BF$6),(INDEX($E84:$K84,0,BF$8+1)-INDEX($E84:$K84,0,BF$8))/(INDEX($D$5:$J$5,0,BF$8+1)-INDEX($D$5:$J$5,0,BF$8))+BE84)))</f>
        <v>802.64469417063674</v>
      </c>
      <c r="BG84" s="11" cm="1">
        <f t="array" ref="BG84">IF(BG$8=-1,BH84,IF(BG$8=99,BF84,IF(BG$8=0,INDEX($E84:$K84,0,BG$6),(INDEX($E84:$K84,0,BG$8+1)-INDEX($E84:$K84,0,BG$8))/(INDEX($D$5:$J$5,0,BG$8+1)-INDEX($D$5:$J$5,0,BG$8))+BF84)))</f>
        <v>802.64469417063674</v>
      </c>
      <c r="BH84" s="11" cm="1">
        <f t="array" ref="BH84">IF(BH$8=-1,BI84,IF(BH$8=99,BG84,IF(BH$8=0,INDEX($E84:$K84,0,BH$6),(INDEX($E84:$K84,0,BH$8+1)-INDEX($E84:$K84,0,BH$8))/(INDEX($D$5:$J$5,0,BH$8+1)-INDEX($D$5:$J$5,0,BH$8))+BG84)))</f>
        <v>802.64469417063674</v>
      </c>
      <c r="BI84" s="11" cm="1">
        <f t="array" ref="BI84">IF(BI$8=-1,BJ84,IF(BI$8=99,BH84,IF(BI$8=0,INDEX($E84:$K84,0,BI$6),(INDEX($E84:$K84,0,BI$8+1)-INDEX($E84:$K84,0,BI$8))/(INDEX($D$5:$J$5,0,BI$8+1)-INDEX($D$5:$J$5,0,BI$8))+BH84)))</f>
        <v>802.64469417063674</v>
      </c>
      <c r="BJ84" s="11" cm="1">
        <f t="array" ref="BJ84">IF(BJ$8=-1,BK84,IF(BJ$8=99,BI84,IF(BJ$8=0,INDEX($E84:$K84,0,BJ$6),(INDEX($E84:$K84,0,BJ$8+1)-INDEX($E84:$K84,0,BJ$8))/(INDEX($D$5:$J$5,0,BJ$8+1)-INDEX($D$5:$J$5,0,BJ$8))+BI84)))</f>
        <v>802.64469417063674</v>
      </c>
      <c r="BK84" s="11" cm="1">
        <f t="array" ref="BK84">IF(BK$8=-1,BL84,IF(BK$8=99,BJ84,IF(BK$8=0,INDEX($E84:$K84,0,BK$6),(INDEX($E84:$K84,0,BK$8+1)-INDEX($E84:$K84,0,BK$8))/(INDEX($D$5:$J$5,0,BK$8+1)-INDEX($D$5:$J$5,0,BK$8))+BJ84)))</f>
        <v>802.64469417063674</v>
      </c>
      <c r="BL84" s="11" cm="1">
        <f t="array" ref="BL84">IF(BL$8=-1,BM84,IF(BL$8=99,BK84,IF(BL$8=0,INDEX($E84:$K84,0,BL$6),(INDEX($E84:$K84,0,BL$8+1)-INDEX($E84:$K84,0,BL$8))/(INDEX($D$5:$J$5,0,BL$8+1)-INDEX($D$5:$J$5,0,BL$8))+BK84)))</f>
        <v>802.64469417063674</v>
      </c>
      <c r="BM84" s="11" cm="1">
        <f t="array" ref="BM84">IF(BM$8=-1,BN84,IF(BM$8=99,BL84,IF(BM$8=0,INDEX($E84:$K84,0,BM$6),(INDEX($E84:$K84,0,BM$8+1)-INDEX($E84:$K84,0,BM$8))/(INDEX($D$5:$J$5,0,BM$8+1)-INDEX($D$5:$J$5,0,BM$8))+BL84)))</f>
        <v>802.64469417063674</v>
      </c>
      <c r="BN84" s="11" cm="1">
        <f t="array" ref="BN84">IF(BN$8=-1,BO84,IF(BN$8=99,BM84,IF(BN$8=0,INDEX($E84:$K84,0,BN$6),(INDEX($E84:$K84,0,BN$8+1)-INDEX($E84:$K84,0,BN$8))/(INDEX($D$5:$J$5,0,BN$8+1)-INDEX($D$5:$J$5,0,BN$8))+BM84)))</f>
        <v>802.64469417063674</v>
      </c>
      <c r="BO84" s="11" cm="1">
        <f t="array" ref="BO84">IF(BO$8=-1,BP84,IF(BO$8=99,BN84,IF(BO$8=0,INDEX($E84:$K84,0,BO$6),(INDEX($E84:$K84,0,BO$8+1)-INDEX($E84:$K84,0,BO$8))/(INDEX($D$5:$J$5,0,BO$8+1)-INDEX($D$5:$J$5,0,BO$8))+BN84)))</f>
        <v>802.64469417063674</v>
      </c>
      <c r="BP84" s="11" cm="1">
        <f t="array" ref="BP84">IF(BP$8=-1,BQ84,IF(BP$8=99,BO84,IF(BP$8=0,INDEX($E84:$K84,0,BP$6),(INDEX($E84:$K84,0,BP$8+1)-INDEX($E84:$K84,0,BP$8))/(INDEX($D$5:$J$5,0,BP$8+1)-INDEX($D$5:$J$5,0,BP$8))+BO84)))</f>
        <v>802.64469417063674</v>
      </c>
      <c r="BQ84" s="11" cm="1">
        <f t="array" ref="BQ84">IF(BQ$8=-1,BR84,IF(BQ$8=99,BP84,IF(BQ$8=0,INDEX($E84:$K84,0,BQ$6),(INDEX($E84:$K84,0,BQ$8+1)-INDEX($E84:$K84,0,BQ$8))/(INDEX($D$5:$J$5,0,BQ$8+1)-INDEX($D$5:$J$5,0,BQ$8))+BP84)))</f>
        <v>802.64469417063674</v>
      </c>
      <c r="BR84" s="11" cm="1">
        <f t="array" ref="BR84">IF(BR$8=-1,BS84,IF(BR$8=99,BQ84,IF(BR$8=0,INDEX($E84:$K84,0,BR$6),(INDEX($E84:$K84,0,BR$8+1)-INDEX($E84:$K84,0,BR$8))/(INDEX($D$5:$J$5,0,BR$8+1)-INDEX($D$5:$J$5,0,BR$8))+BQ84)))</f>
        <v>802.64469417063674</v>
      </c>
    </row>
    <row r="85" spans="1:70" ht="15">
      <c r="A85" t="s">
        <v>16</v>
      </c>
      <c r="B85" s="5" t="s">
        <v>238</v>
      </c>
      <c r="C85" s="75" t="str">
        <f t="shared" si="143"/>
        <v>Commercial - Refrigeration</v>
      </c>
      <c r="D85" s="75" t="s">
        <v>66</v>
      </c>
      <c r="E85" s="84">
        <f t="shared" si="148"/>
        <v>222.6125158575035</v>
      </c>
      <c r="F85" s="92">
        <f t="shared" si="148"/>
        <v>195.25467556696461</v>
      </c>
      <c r="G85" s="92">
        <f t="shared" si="144"/>
        <v>195.25467556696461</v>
      </c>
      <c r="H85" s="92">
        <f t="shared" si="149"/>
        <v>195.25467556696461</v>
      </c>
      <c r="I85" s="134">
        <f t="shared" si="145"/>
        <v>195.25467556696461</v>
      </c>
      <c r="J85" s="134">
        <f t="shared" si="146"/>
        <v>195.25467556696461</v>
      </c>
      <c r="K85" s="134">
        <f t="shared" si="147"/>
        <v>195.25467556696461</v>
      </c>
      <c r="L85" s="11" cm="1">
        <f t="array" ref="L85">IF(L$8=-1,M85,IF(L$8=99,I85,IF(L$8=0,INDEX($E85:$I85,0,L$6),(INDEX($E85:$I85,0,L$8+1)-INDEX($E85:$I85,0,L$8))/(INDEX($D$5:$H$5,0,L$8+1)-INDEX($D$5:$H$5,0,L$8))+I85)))</f>
        <v>222.6125158575035</v>
      </c>
      <c r="M85" s="11" cm="1">
        <f t="array" ref="M85">IF(M$8=-1,N85,IF(M$8=99,L85,IF(M$8=0,INDEX($E85:$I85,0,M$6),(INDEX($E85:$I85,0,M$8+1)-INDEX($E85:$I85,0,M$8))/(INDEX($D$5:$H$5,0,M$8+1)-INDEX($D$5:$H$5,0,M$8))+L85)))</f>
        <v>217.14094779939572</v>
      </c>
      <c r="N85" s="11" cm="1">
        <f t="array" ref="N85">IF(N$8=-1,O85,IF(N$8=99,M85,IF(N$8=0,INDEX($E85:$I85,0,N$6),(INDEX($E85:$I85,0,N$8+1)-INDEX($E85:$I85,0,N$8))/(INDEX($D$5:$H$5,0,N$8+1)-INDEX($D$5:$H$5,0,N$8))+M85)))</f>
        <v>211.66937974128794</v>
      </c>
      <c r="O85" s="11" cm="1">
        <f t="array" ref="O85">IF(O$8=-1,P85,IF(O$8=99,N85,IF(O$8=0,INDEX($E85:$I85,0,O$6),(INDEX($E85:$I85,0,O$8+1)-INDEX($E85:$I85,0,O$8))/(INDEX($D$5:$H$5,0,O$8+1)-INDEX($D$5:$H$5,0,O$8))+N85)))</f>
        <v>206.19781168318016</v>
      </c>
      <c r="P85" s="11" cm="1">
        <f t="array" ref="P85">IF(P$8=-1,Q85,IF(P$8=99,O85,IF(P$8=0,INDEX($E85:$I85,0,P$6),(INDEX($E85:$I85,0,P$8+1)-INDEX($E85:$I85,0,P$8))/(INDEX($D$5:$H$5,0,P$8+1)-INDEX($D$5:$H$5,0,P$8))+O85)))</f>
        <v>200.72624362507239</v>
      </c>
      <c r="Q85" s="11" cm="1">
        <f t="array" ref="Q85">IF(Q$8=-1,R85,IF(Q$8=99,P85,IF(Q$8=0,INDEX($E85:$I85,0,Q$6),(INDEX($E85:$I85,0,Q$8+1)-INDEX($E85:$I85,0,Q$8))/(INDEX($D$5:$H$5,0,Q$8+1)-INDEX($D$5:$H$5,0,Q$8))+P85)))</f>
        <v>195.25467556696461</v>
      </c>
      <c r="R85" s="11" cm="1">
        <f t="array" ref="R85">IF(R$8=-1,S85,IF(R$8=99,Q85,IF(R$8=0,INDEX($E85:$I85,0,R$6),(INDEX($E85:$I85,0,R$8+1)-INDEX($E85:$I85,0,R$8))/(INDEX($D$5:$H$5,0,R$8+1)-INDEX($D$5:$H$5,0,R$8))+Q85)))</f>
        <v>195.25467556696461</v>
      </c>
      <c r="S85" s="11" cm="1">
        <f t="array" ref="S85">IF(S$8=-1,T85,IF(S$8=99,R85,IF(S$8=0,INDEX($E85:$I85,0,S$6),(INDEX($E85:$I85,0,S$8+1)-INDEX($E85:$I85,0,S$8))/(INDEX($D$5:$H$5,0,S$8+1)-INDEX($D$5:$H$5,0,S$8))+R85)))</f>
        <v>195.25467556696461</v>
      </c>
      <c r="T85" s="11" cm="1">
        <f t="array" ref="T85">IF(T$8=-1,U85,IF(T$8=99,S85,IF(T$8=0,INDEX($E85:$I85,0,T$6),(INDEX($E85:$I85,0,T$8+1)-INDEX($E85:$I85,0,T$8))/(INDEX($D$5:$H$5,0,T$8+1)-INDEX($D$5:$H$5,0,T$8))+S85)))</f>
        <v>195.25467556696461</v>
      </c>
      <c r="U85" s="11" cm="1">
        <f t="array" ref="U85">IF(U$8=-1,V85,IF(U$8=99,T85,IF(U$8=0,INDEX($E85:$I85,0,U$6),(INDEX($E85:$I85,0,U$8+1)-INDEX($E85:$I85,0,U$8))/(INDEX($D$5:$H$5,0,U$8+1)-INDEX($D$5:$H$5,0,U$8))+T85)))</f>
        <v>195.25467556696461</v>
      </c>
      <c r="V85" s="11" cm="1">
        <f t="array" ref="V85">IF(V$8=-1,W85,IF(V$8=99,U85,IF(V$8=0,INDEX($E85:$I85,0,V$6),(INDEX($E85:$I85,0,V$8+1)-INDEX($E85:$I85,0,V$8))/(INDEX($D$5:$H$5,0,V$8+1)-INDEX($D$5:$H$5,0,V$8))+U85)))</f>
        <v>195.25467556696461</v>
      </c>
      <c r="W85" s="11" cm="1">
        <f t="array" ref="W85">IF(W$8=-1,X85,IF(W$8=99,V85,IF(W$8=0,INDEX($E85:$I85,0,W$6),(INDEX($E85:$I85,0,W$8+1)-INDEX($E85:$I85,0,W$8))/(INDEX($D$5:$H$5,0,W$8+1)-INDEX($D$5:$H$5,0,W$8))+V85)))</f>
        <v>195.25467556696461</v>
      </c>
      <c r="X85" s="11" cm="1">
        <f t="array" ref="X85">IF(X$8=-1,Y85,IF(X$8=99,W85,IF(X$8=0,INDEX($E85:$I85,0,X$6),(INDEX($E85:$I85,0,X$8+1)-INDEX($E85:$I85,0,X$8))/(INDEX($D$5:$H$5,0,X$8+1)-INDEX($D$5:$H$5,0,X$8))+W85)))</f>
        <v>195.25467556696461</v>
      </c>
      <c r="Y85" s="11" cm="1">
        <f t="array" ref="Y85">IF(Y$8=-1,Z85,IF(Y$8=99,X85,IF(Y$8=0,INDEX($E85:$I85,0,Y$6),(INDEX($E85:$I85,0,Y$8+1)-INDEX($E85:$I85,0,Y$8))/(INDEX($D$5:$H$5,0,Y$8+1)-INDEX($D$5:$H$5,0,Y$8))+X85)))</f>
        <v>195.25467556696461</v>
      </c>
      <c r="Z85" s="11" cm="1">
        <f t="array" ref="Z85">IF(Z$8=-1,AA85,IF(Z$8=99,Y85,IF(Z$8=0,INDEX($E85:$I85,0,Z$6),(INDEX($E85:$I85,0,Z$8+1)-INDEX($E85:$I85,0,Z$8))/(INDEX($D$5:$H$5,0,Z$8+1)-INDEX($D$5:$H$5,0,Z$8))+Y85)))</f>
        <v>195.25467556696461</v>
      </c>
      <c r="AA85" s="11" cm="1">
        <f t="array" ref="AA85">IF(AA$8=-1,AB85,IF(AA$8=99,Z85,IF(AA$8=0,INDEX($E85:$I85,0,AA$6),(INDEX($E85:$I85,0,AA$8+1)-INDEX($E85:$I85,0,AA$8))/(INDEX($D$5:$H$5,0,AA$8+1)-INDEX($D$5:$H$5,0,AA$8))+Z85)))</f>
        <v>195.25467556696461</v>
      </c>
      <c r="AB85" s="11" cm="1">
        <f t="array" ref="AB85">IF(AB$8=-1,AC85,IF(AB$8=99,AA85,IF(AB$8=0,INDEX($E85:$I85,0,AB$6),(INDEX($E85:$I85,0,AB$8+1)-INDEX($E85:$I85,0,AB$8))/(INDEX($D$5:$H$5,0,AB$8+1)-INDEX($D$5:$H$5,0,AB$8))+AA85)))</f>
        <v>195.25467556696461</v>
      </c>
      <c r="AC85" s="11" cm="1">
        <f t="array" ref="AC85">IF(AC$8=-1,AD85,IF(AC$8=99,AB85,IF(AC$8=0,INDEX($E85:$I85,0,AC$6),(INDEX($E85:$I85,0,AC$8+1)-INDEX($E85:$I85,0,AC$8))/(INDEX($D$5:$H$5,0,AC$8+1)-INDEX($D$5:$H$5,0,AC$8))+AB85)))</f>
        <v>195.25467556696461</v>
      </c>
      <c r="AD85" s="11" cm="1">
        <f t="array" ref="AD85">IF(AD$8=-1,AE85,IF(AD$8=99,AC85,IF(AD$8=0,INDEX($E85:$I85,0,AD$6),(INDEX($E85:$I85,0,AD$8+1)-INDEX($E85:$I85,0,AD$8))/(INDEX($D$5:$H$5,0,AD$8+1)-INDEX($D$5:$H$5,0,AD$8))+AC85)))</f>
        <v>195.25467556696461</v>
      </c>
      <c r="AE85" s="11" cm="1">
        <f t="array" ref="AE85">IF(AE$8=-1,AF85,IF(AE$8=99,AD85,IF(AE$8=0,INDEX($E85:$I85,0,AE$6),(INDEX($E85:$I85,0,AE$8+1)-INDEX($E85:$I85,0,AE$8))/(INDEX($D$5:$H$5,0,AE$8+1)-INDEX($D$5:$H$5,0,AE$8))+AD85)))</f>
        <v>195.25467556696461</v>
      </c>
      <c r="AF85" s="11" cm="1">
        <f t="array" ref="AF85">IF(AF$8=-1,AG85,IF(AF$8=99,AE85,IF(AF$8=0,INDEX($E85:$I85,0,AF$6),(INDEX($E85:$I85,0,AF$8+1)-INDEX($E85:$I85,0,AF$8))/(INDEX($D$5:$H$5,0,AF$8+1)-INDEX($D$5:$H$5,0,AF$8))+AE85)))</f>
        <v>195.25467556696461</v>
      </c>
      <c r="AG85" s="11" cm="1">
        <f t="array" ref="AG85">IF(AG$8=-1,AH85,IF(AG$8=99,AF85,IF(AG$8=0,INDEX($E85:$I85,0,AG$6),(INDEX($E85:$I85,0,AG$8+1)-INDEX($E85:$I85,0,AG$8))/(INDEX($D$5:$H$5,0,AG$8+1)-INDEX($D$5:$H$5,0,AG$8))+AF85)))</f>
        <v>195.25467556696461</v>
      </c>
      <c r="AH85" s="11" cm="1">
        <f t="array" ref="AH85">IF(AH$8=-1,AI85,IF(AH$8=99,AG85,IF(AH$8=0,INDEX($E85:$I85,0,AH$6),(INDEX($E85:$I85,0,AH$8+1)-INDEX($E85:$I85,0,AH$8))/(INDEX($D$5:$H$5,0,AH$8+1)-INDEX($D$5:$H$5,0,AH$8))+AG85)))</f>
        <v>195.25467556696461</v>
      </c>
      <c r="AI85" s="11" cm="1">
        <f t="array" ref="AI85">IF(AI$8=-1,AJ85,IF(AI$8=99,AH85,IF(AI$8=0,INDEX($E85:$I85,0,AI$6),(INDEX($E85:$I85,0,AI$8+1)-INDEX($E85:$I85,0,AI$8))/(INDEX($D$5:$H$5,0,AI$8+1)-INDEX($D$5:$H$5,0,AI$8))+AH85)))</f>
        <v>195.25467556696461</v>
      </c>
      <c r="AJ85" s="11" cm="1">
        <f t="array" ref="AJ85">IF(AJ$8=-1,AK85,IF(AJ$8=99,AI85,IF(AJ$8=0,INDEX($E85:$I85,0,AJ$6),(INDEX($E85:$I85,0,AJ$8+1)-INDEX($E85:$I85,0,AJ$8))/(INDEX($D$5:$H$5,0,AJ$8+1)-INDEX($D$5:$H$5,0,AJ$8))+AI85)))</f>
        <v>195.25467556696461</v>
      </c>
      <c r="AK85" s="11" cm="1">
        <f t="array" ref="AK85">IF(AK$8=-1,AL85,IF(AK$8=99,AJ85,IF(AK$8=0,INDEX($E85:$I85,0,AK$6),(INDEX($E85:$I85,0,AK$8+1)-INDEX($E85:$I85,0,AK$8))/(INDEX($D$5:$H$5,0,AK$8+1)-INDEX($D$5:$H$5,0,AK$8))+AJ85)))</f>
        <v>195.25467556696461</v>
      </c>
      <c r="AL85" s="11" cm="1">
        <f t="array" ref="AL85">IF(AL$8=-1,AM85,IF(AL$8=99,AK85,IF(AL$8=0,INDEX($E85:$I85,0,AL$6),(INDEX($E85:$I85,0,AL$8+1)-INDEX($E85:$I85,0,AL$8))/(INDEX($D$5:$H$5,0,AL$8+1)-INDEX($D$5:$H$5,0,AL$8))+AK85)))</f>
        <v>195.25467556696461</v>
      </c>
      <c r="AM85" s="11" cm="1">
        <f t="array" ref="AM85">IF(AM$8=-1,AN85,IF(AM$8=99,AL85,IF(AM$8=0,INDEX($E85:$I85,0,AM$6),(INDEX($E85:$I85,0,AM$8+1)-INDEX($E85:$I85,0,AM$8))/(INDEX($D$5:$H$5,0,AM$8+1)-INDEX($D$5:$H$5,0,AM$8))+AL85)))</f>
        <v>195.25467556696461</v>
      </c>
      <c r="AN85" s="11" cm="1">
        <f t="array" ref="AN85">IF(AN$8=-1,AO85,IF(AN$8=99,AM85,IF(AN$8=0,INDEX($E85:$I85,0,AN$6),(INDEX($E85:$I85,0,AN$8+1)-INDEX($E85:$I85,0,AN$8))/(INDEX($D$5:$H$5,0,AN$8+1)-INDEX($D$5:$H$5,0,AN$8))+AM85)))</f>
        <v>195.25467556696461</v>
      </c>
      <c r="AO85" s="11" cm="1">
        <f t="array" ref="AO85">IF(AO$8=-1,AP85,IF(AO$8=99,AN85,IF(AO$8=0,INDEX($E85:$K85,0,AO$6),(INDEX($E85:$K85,0,AO$8+1)-INDEX($E85:$K85,0,AO$8))/(INDEX($D$5:$J$5,0,AO$8+1)-INDEX($D$5:$J$5,0,AO$8))+AN85)))</f>
        <v>195.25467556696461</v>
      </c>
      <c r="AP85" s="11" cm="1">
        <f t="array" ref="AP85">IF(AP$8=-1,AQ85,IF(AP$8=99,AO85,IF(AP$8=0,INDEX($E85:$K85,0,AP$6),(INDEX($E85:$K85,0,AP$8+1)-INDEX($E85:$K85,0,AP$8))/(INDEX($D$5:$J$5,0,AP$8+1)-INDEX($D$5:$J$5,0,AP$8))+AO85)))</f>
        <v>195.25467556696461</v>
      </c>
      <c r="AQ85" s="11" cm="1">
        <f t="array" ref="AQ85">IF(AQ$8=-1,AR85,IF(AQ$8=99,AP85,IF(AQ$8=0,INDEX($E85:$K85,0,AQ$6),(INDEX($E85:$K85,0,AQ$8+1)-INDEX($E85:$K85,0,AQ$8))/(INDEX($D$5:$J$5,0,AQ$8+1)-INDEX($D$5:$J$5,0,AQ$8))+AP85)))</f>
        <v>195.25467556696461</v>
      </c>
      <c r="AR85" s="11" cm="1">
        <f t="array" ref="AR85">IF(AR$8=-1,AS85,IF(AR$8=99,AQ85,IF(AR$8=0,INDEX($E85:$K85,0,AR$6),(INDEX($E85:$K85,0,AR$8+1)-INDEX($E85:$K85,0,AR$8))/(INDEX($D$5:$J$5,0,AR$8+1)-INDEX($D$5:$J$5,0,AR$8))+AQ85)))</f>
        <v>195.25467556696461</v>
      </c>
      <c r="AS85" s="11" cm="1">
        <f t="array" ref="AS85">IF(AS$8=-1,AT85,IF(AS$8=99,AR85,IF(AS$8=0,INDEX($E85:$K85,0,AS$6),(INDEX($E85:$K85,0,AS$8+1)-INDEX($E85:$K85,0,AS$8))/(INDEX($D$5:$J$5,0,AS$8+1)-INDEX($D$5:$J$5,0,AS$8))+AR85)))</f>
        <v>195.25467556696461</v>
      </c>
      <c r="AT85" s="11" cm="1">
        <f t="array" ref="AT85">IF(AT$8=-1,AU85,IF(AT$8=99,AS85,IF(AT$8=0,INDEX($E85:$K85,0,AT$6),(INDEX($E85:$K85,0,AT$8+1)-INDEX($E85:$K85,0,AT$8))/(INDEX($D$5:$J$5,0,AT$8+1)-INDEX($D$5:$J$5,0,AT$8))+AS85)))</f>
        <v>195.25467556696461</v>
      </c>
      <c r="AU85" s="11" cm="1">
        <f t="array" ref="AU85">IF(AU$8=-1,AV85,IF(AU$8=99,AT85,IF(AU$8=0,INDEX($E85:$K85,0,AU$6),(INDEX($E85:$K85,0,AU$8+1)-INDEX($E85:$K85,0,AU$8))/(INDEX($D$5:$J$5,0,AU$8+1)-INDEX($D$5:$J$5,0,AU$8))+AT85)))</f>
        <v>195.25467556696461</v>
      </c>
      <c r="AV85" s="11" cm="1">
        <f t="array" ref="AV85">IF(AV$8=-1,AW85,IF(AV$8=99,AU85,IF(AV$8=0,INDEX($E85:$K85,0,AV$6),(INDEX($E85:$K85,0,AV$8+1)-INDEX($E85:$K85,0,AV$8))/(INDEX($D$5:$J$5,0,AV$8+1)-INDEX($D$5:$J$5,0,AV$8))+AU85)))</f>
        <v>195.25467556696461</v>
      </c>
      <c r="AW85" s="11" cm="1">
        <f t="array" ref="AW85">IF(AW$8=-1,AX85,IF(AW$8=99,AV85,IF(AW$8=0,INDEX($E85:$K85,0,AW$6),(INDEX($E85:$K85,0,AW$8+1)-INDEX($E85:$K85,0,AW$8))/(INDEX($D$5:$J$5,0,AW$8+1)-INDEX($D$5:$J$5,0,AW$8))+AV85)))</f>
        <v>195.25467556696461</v>
      </c>
      <c r="AX85" s="11" cm="1">
        <f t="array" ref="AX85">IF(AX$8=-1,AY85,IF(AX$8=99,AW85,IF(AX$8=0,INDEX($E85:$K85,0,AX$6),(INDEX($E85:$K85,0,AX$8+1)-INDEX($E85:$K85,0,AX$8))/(INDEX($D$5:$J$5,0,AX$8+1)-INDEX($D$5:$J$5,0,AX$8))+AW85)))</f>
        <v>195.25467556696461</v>
      </c>
      <c r="AY85" s="11" cm="1">
        <f t="array" ref="AY85">IF(AY$8=-1,AZ85,IF(AY$8=99,AX85,IF(AY$8=0,INDEX($E85:$K85,0,AY$6),(INDEX($E85:$K85,0,AY$8+1)-INDEX($E85:$K85,0,AY$8))/(INDEX($D$5:$J$5,0,AY$8+1)-INDEX($D$5:$J$5,0,AY$8))+AX85)))</f>
        <v>195.25467556696461</v>
      </c>
      <c r="AZ85" s="11" cm="1">
        <f t="array" ref="AZ85">IF(AZ$8=-1,BA85,IF(AZ$8=99,AY85,IF(AZ$8=0,INDEX($E85:$K85,0,AZ$6),(INDEX($E85:$K85,0,AZ$8+1)-INDEX($E85:$K85,0,AZ$8))/(INDEX($D$5:$J$5,0,AZ$8+1)-INDEX($D$5:$J$5,0,AZ$8))+AY85)))</f>
        <v>195.25467556696461</v>
      </c>
      <c r="BA85" s="11" cm="1">
        <f t="array" ref="BA85">IF(BA$8=-1,BB85,IF(BA$8=99,AZ85,IF(BA$8=0,INDEX($E85:$K85,0,BA$6),(INDEX($E85:$K85,0,BA$8+1)-INDEX($E85:$K85,0,BA$8))/(INDEX($D$5:$J$5,0,BA$8+1)-INDEX($D$5:$J$5,0,BA$8))+AZ85)))</f>
        <v>195.25467556696461</v>
      </c>
      <c r="BB85" s="11" cm="1">
        <f t="array" ref="BB85">IF(BB$8=-1,BC85,IF(BB$8=99,BA85,IF(BB$8=0,INDEX($E85:$K85,0,BB$6),(INDEX($E85:$K85,0,BB$8+1)-INDEX($E85:$K85,0,BB$8))/(INDEX($D$5:$J$5,0,BB$8+1)-INDEX($D$5:$J$5,0,BB$8))+BA85)))</f>
        <v>195.25467556696461</v>
      </c>
      <c r="BC85" s="11" cm="1">
        <f t="array" ref="BC85">IF(BC$8=-1,BD85,IF(BC$8=99,BB85,IF(BC$8=0,INDEX($E85:$K85,0,BC$6),(INDEX($E85:$K85,0,BC$8+1)-INDEX($E85:$K85,0,BC$8))/(INDEX($D$5:$J$5,0,BC$8+1)-INDEX($D$5:$J$5,0,BC$8))+BB85)))</f>
        <v>195.25467556696461</v>
      </c>
      <c r="BD85" s="11" cm="1">
        <f t="array" ref="BD85">IF(BD$8=-1,BE85,IF(BD$8=99,BC85,IF(BD$8=0,INDEX($E85:$K85,0,BD$6),(INDEX($E85:$K85,0,BD$8+1)-INDEX($E85:$K85,0,BD$8))/(INDEX($D$5:$J$5,0,BD$8+1)-INDEX($D$5:$J$5,0,BD$8))+BC85)))</f>
        <v>195.25467556696461</v>
      </c>
      <c r="BE85" s="11" cm="1">
        <f t="array" ref="BE85">IF(BE$8=-1,BF85,IF(BE$8=99,BD85,IF(BE$8=0,INDEX($E85:$K85,0,BE$6),(INDEX($E85:$K85,0,BE$8+1)-INDEX($E85:$K85,0,BE$8))/(INDEX($D$5:$J$5,0,BE$8+1)-INDEX($D$5:$J$5,0,BE$8))+BD85)))</f>
        <v>195.25467556696461</v>
      </c>
      <c r="BF85" s="11" cm="1">
        <f t="array" ref="BF85">IF(BF$8=-1,BG85,IF(BF$8=99,BE85,IF(BF$8=0,INDEX($E85:$K85,0,BF$6),(INDEX($E85:$K85,0,BF$8+1)-INDEX($E85:$K85,0,BF$8))/(INDEX($D$5:$J$5,0,BF$8+1)-INDEX($D$5:$J$5,0,BF$8))+BE85)))</f>
        <v>195.25467556696461</v>
      </c>
      <c r="BG85" s="11" cm="1">
        <f t="array" ref="BG85">IF(BG$8=-1,BH85,IF(BG$8=99,BF85,IF(BG$8=0,INDEX($E85:$K85,0,BG$6),(INDEX($E85:$K85,0,BG$8+1)-INDEX($E85:$K85,0,BG$8))/(INDEX($D$5:$J$5,0,BG$8+1)-INDEX($D$5:$J$5,0,BG$8))+BF85)))</f>
        <v>195.25467556696461</v>
      </c>
      <c r="BH85" s="11" cm="1">
        <f t="array" ref="BH85">IF(BH$8=-1,BI85,IF(BH$8=99,BG85,IF(BH$8=0,INDEX($E85:$K85,0,BH$6),(INDEX($E85:$K85,0,BH$8+1)-INDEX($E85:$K85,0,BH$8))/(INDEX($D$5:$J$5,0,BH$8+1)-INDEX($D$5:$J$5,0,BH$8))+BG85)))</f>
        <v>195.25467556696461</v>
      </c>
      <c r="BI85" s="11" cm="1">
        <f t="array" ref="BI85">IF(BI$8=-1,BJ85,IF(BI$8=99,BH85,IF(BI$8=0,INDEX($E85:$K85,0,BI$6),(INDEX($E85:$K85,0,BI$8+1)-INDEX($E85:$K85,0,BI$8))/(INDEX($D$5:$J$5,0,BI$8+1)-INDEX($D$5:$J$5,0,BI$8))+BH85)))</f>
        <v>195.25467556696461</v>
      </c>
      <c r="BJ85" s="11" cm="1">
        <f t="array" ref="BJ85">IF(BJ$8=-1,BK85,IF(BJ$8=99,BI85,IF(BJ$8=0,INDEX($E85:$K85,0,BJ$6),(INDEX($E85:$K85,0,BJ$8+1)-INDEX($E85:$K85,0,BJ$8))/(INDEX($D$5:$J$5,0,BJ$8+1)-INDEX($D$5:$J$5,0,BJ$8))+BI85)))</f>
        <v>195.25467556696461</v>
      </c>
      <c r="BK85" s="11" cm="1">
        <f t="array" ref="BK85">IF(BK$8=-1,BL85,IF(BK$8=99,BJ85,IF(BK$8=0,INDEX($E85:$K85,0,BK$6),(INDEX($E85:$K85,0,BK$8+1)-INDEX($E85:$K85,0,BK$8))/(INDEX($D$5:$J$5,0,BK$8+1)-INDEX($D$5:$J$5,0,BK$8))+BJ85)))</f>
        <v>195.25467556696461</v>
      </c>
      <c r="BL85" s="11" cm="1">
        <f t="array" ref="BL85">IF(BL$8=-1,BM85,IF(BL$8=99,BK85,IF(BL$8=0,INDEX($E85:$K85,0,BL$6),(INDEX($E85:$K85,0,BL$8+1)-INDEX($E85:$K85,0,BL$8))/(INDEX($D$5:$J$5,0,BL$8+1)-INDEX($D$5:$J$5,0,BL$8))+BK85)))</f>
        <v>195.25467556696461</v>
      </c>
      <c r="BM85" s="11" cm="1">
        <f t="array" ref="BM85">IF(BM$8=-1,BN85,IF(BM$8=99,BL85,IF(BM$8=0,INDEX($E85:$K85,0,BM$6),(INDEX($E85:$K85,0,BM$8+1)-INDEX($E85:$K85,0,BM$8))/(INDEX($D$5:$J$5,0,BM$8+1)-INDEX($D$5:$J$5,0,BM$8))+BL85)))</f>
        <v>195.25467556696461</v>
      </c>
      <c r="BN85" s="11" cm="1">
        <f t="array" ref="BN85">IF(BN$8=-1,BO85,IF(BN$8=99,BM85,IF(BN$8=0,INDEX($E85:$K85,0,BN$6),(INDEX($E85:$K85,0,BN$8+1)-INDEX($E85:$K85,0,BN$8))/(INDEX($D$5:$J$5,0,BN$8+1)-INDEX($D$5:$J$5,0,BN$8))+BM85)))</f>
        <v>195.25467556696461</v>
      </c>
      <c r="BO85" s="11" cm="1">
        <f t="array" ref="BO85">IF(BO$8=-1,BP85,IF(BO$8=99,BN85,IF(BO$8=0,INDEX($E85:$K85,0,BO$6),(INDEX($E85:$K85,0,BO$8+1)-INDEX($E85:$K85,0,BO$8))/(INDEX($D$5:$J$5,0,BO$8+1)-INDEX($D$5:$J$5,0,BO$8))+BN85)))</f>
        <v>195.25467556696461</v>
      </c>
      <c r="BP85" s="11" cm="1">
        <f t="array" ref="BP85">IF(BP$8=-1,BQ85,IF(BP$8=99,BO85,IF(BP$8=0,INDEX($E85:$K85,0,BP$6),(INDEX($E85:$K85,0,BP$8+1)-INDEX($E85:$K85,0,BP$8))/(INDEX($D$5:$J$5,0,BP$8+1)-INDEX($D$5:$J$5,0,BP$8))+BO85)))</f>
        <v>195.25467556696461</v>
      </c>
      <c r="BQ85" s="11" cm="1">
        <f t="array" ref="BQ85">IF(BQ$8=-1,BR85,IF(BQ$8=99,BP85,IF(BQ$8=0,INDEX($E85:$K85,0,BQ$6),(INDEX($E85:$K85,0,BQ$8+1)-INDEX($E85:$K85,0,BQ$8))/(INDEX($D$5:$J$5,0,BQ$8+1)-INDEX($D$5:$J$5,0,BQ$8))+BP85)))</f>
        <v>195.25467556696461</v>
      </c>
      <c r="BR85" s="11" cm="1">
        <f t="array" ref="BR85">IF(BR$8=-1,BS85,IF(BR$8=99,BQ85,IF(BR$8=0,INDEX($E85:$K85,0,BR$6),(INDEX($E85:$K85,0,BR$8+1)-INDEX($E85:$K85,0,BR$8))/(INDEX($D$5:$J$5,0,BR$8+1)-INDEX($D$5:$J$5,0,BR$8))+BQ85)))</f>
        <v>195.25467556696461</v>
      </c>
    </row>
    <row r="86" spans="1:70" ht="15">
      <c r="A86" t="s">
        <v>16</v>
      </c>
      <c r="B86" s="5" t="s">
        <v>239</v>
      </c>
      <c r="C86" s="75" t="str">
        <f t="shared" si="143"/>
        <v>Commercial - Water Heating</v>
      </c>
      <c r="D86" s="75" t="s">
        <v>66</v>
      </c>
      <c r="E86" s="84">
        <f t="shared" si="148"/>
        <v>72.90647365811796</v>
      </c>
      <c r="F86" s="92">
        <f t="shared" si="148"/>
        <v>103.37272938194623</v>
      </c>
      <c r="G86" s="92">
        <f t="shared" si="144"/>
        <v>103.37272938194623</v>
      </c>
      <c r="H86" s="92">
        <f t="shared" si="149"/>
        <v>103.37272938194623</v>
      </c>
      <c r="I86" s="134">
        <f t="shared" si="145"/>
        <v>103.37272938194623</v>
      </c>
      <c r="J86" s="134">
        <f t="shared" si="146"/>
        <v>103.37272938194623</v>
      </c>
      <c r="K86" s="134">
        <f t="shared" si="147"/>
        <v>103.37272938194623</v>
      </c>
      <c r="L86" s="11" cm="1">
        <f t="array" ref="L86">IF(L$8=-1,M86,IF(L$8=99,I86,IF(L$8=0,INDEX($E86:$I86,0,L$6),(INDEX($E86:$I86,0,L$8+1)-INDEX($E86:$I86,0,L$8))/(INDEX($D$5:$H$5,0,L$8+1)-INDEX($D$5:$H$5,0,L$8))+I86)))</f>
        <v>72.90647365811796</v>
      </c>
      <c r="M86" s="11" cm="1">
        <f t="array" ref="M86">IF(M$8=-1,N86,IF(M$8=99,L86,IF(M$8=0,INDEX($E86:$I86,0,M$6),(INDEX($E86:$I86,0,M$8+1)-INDEX($E86:$I86,0,M$8))/(INDEX($D$5:$H$5,0,M$8+1)-INDEX($D$5:$H$5,0,M$8))+L86)))</f>
        <v>78.99972480288362</v>
      </c>
      <c r="N86" s="11" cm="1">
        <f t="array" ref="N86">IF(N$8=-1,O86,IF(N$8=99,M86,IF(N$8=0,INDEX($E86:$I86,0,N$6),(INDEX($E86:$I86,0,N$8+1)-INDEX($E86:$I86,0,N$8))/(INDEX($D$5:$H$5,0,N$8+1)-INDEX($D$5:$H$5,0,N$8))+M86)))</f>
        <v>85.092975947649279</v>
      </c>
      <c r="O86" s="11" cm="1">
        <f t="array" ref="O86">IF(O$8=-1,P86,IF(O$8=99,N86,IF(O$8=0,INDEX($E86:$I86,0,O$6),(INDEX($E86:$I86,0,O$8+1)-INDEX($E86:$I86,0,O$8))/(INDEX($D$5:$H$5,0,O$8+1)-INDEX($D$5:$H$5,0,O$8))+N86)))</f>
        <v>91.186227092414939</v>
      </c>
      <c r="P86" s="11" cm="1">
        <f t="array" ref="P86">IF(P$8=-1,Q86,IF(P$8=99,O86,IF(P$8=0,INDEX($E86:$I86,0,P$6),(INDEX($E86:$I86,0,P$8+1)-INDEX($E86:$I86,0,P$8))/(INDEX($D$5:$H$5,0,P$8+1)-INDEX($D$5:$H$5,0,P$8))+O86)))</f>
        <v>97.279478237180598</v>
      </c>
      <c r="Q86" s="11" cm="1">
        <f t="array" ref="Q86">IF(Q$8=-1,R86,IF(Q$8=99,P86,IF(Q$8=0,INDEX($E86:$I86,0,Q$6),(INDEX($E86:$I86,0,Q$8+1)-INDEX($E86:$I86,0,Q$8))/(INDEX($D$5:$H$5,0,Q$8+1)-INDEX($D$5:$H$5,0,Q$8))+P86)))</f>
        <v>103.37272938194623</v>
      </c>
      <c r="R86" s="11" cm="1">
        <f t="array" ref="R86">IF(R$8=-1,S86,IF(R$8=99,Q86,IF(R$8=0,INDEX($E86:$I86,0,R$6),(INDEX($E86:$I86,0,R$8+1)-INDEX($E86:$I86,0,R$8))/(INDEX($D$5:$H$5,0,R$8+1)-INDEX($D$5:$H$5,0,R$8))+Q86)))</f>
        <v>103.37272938194623</v>
      </c>
      <c r="S86" s="11" cm="1">
        <f t="array" ref="S86">IF(S$8=-1,T86,IF(S$8=99,R86,IF(S$8=0,INDEX($E86:$I86,0,S$6),(INDEX($E86:$I86,0,S$8+1)-INDEX($E86:$I86,0,S$8))/(INDEX($D$5:$H$5,0,S$8+1)-INDEX($D$5:$H$5,0,S$8))+R86)))</f>
        <v>103.37272938194623</v>
      </c>
      <c r="T86" s="11" cm="1">
        <f t="array" ref="T86">IF(T$8=-1,U86,IF(T$8=99,S86,IF(T$8=0,INDEX($E86:$I86,0,T$6),(INDEX($E86:$I86,0,T$8+1)-INDEX($E86:$I86,0,T$8))/(INDEX($D$5:$H$5,0,T$8+1)-INDEX($D$5:$H$5,0,T$8))+S86)))</f>
        <v>103.37272938194623</v>
      </c>
      <c r="U86" s="11" cm="1">
        <f t="array" ref="U86">IF(U$8=-1,V86,IF(U$8=99,T86,IF(U$8=0,INDEX($E86:$I86,0,U$6),(INDEX($E86:$I86,0,U$8+1)-INDEX($E86:$I86,0,U$8))/(INDEX($D$5:$H$5,0,U$8+1)-INDEX($D$5:$H$5,0,U$8))+T86)))</f>
        <v>103.37272938194623</v>
      </c>
      <c r="V86" s="11" cm="1">
        <f t="array" ref="V86">IF(V$8=-1,W86,IF(V$8=99,U86,IF(V$8=0,INDEX($E86:$I86,0,V$6),(INDEX($E86:$I86,0,V$8+1)-INDEX($E86:$I86,0,V$8))/(INDEX($D$5:$H$5,0,V$8+1)-INDEX($D$5:$H$5,0,V$8))+U86)))</f>
        <v>103.37272938194623</v>
      </c>
      <c r="W86" s="11" cm="1">
        <f t="array" ref="W86">IF(W$8=-1,X86,IF(W$8=99,V86,IF(W$8=0,INDEX($E86:$I86,0,W$6),(INDEX($E86:$I86,0,W$8+1)-INDEX($E86:$I86,0,W$8))/(INDEX($D$5:$H$5,0,W$8+1)-INDEX($D$5:$H$5,0,W$8))+V86)))</f>
        <v>103.37272938194623</v>
      </c>
      <c r="X86" s="11" cm="1">
        <f t="array" ref="X86">IF(X$8=-1,Y86,IF(X$8=99,W86,IF(X$8=0,INDEX($E86:$I86,0,X$6),(INDEX($E86:$I86,0,X$8+1)-INDEX($E86:$I86,0,X$8))/(INDEX($D$5:$H$5,0,X$8+1)-INDEX($D$5:$H$5,0,X$8))+W86)))</f>
        <v>103.37272938194623</v>
      </c>
      <c r="Y86" s="11" cm="1">
        <f t="array" ref="Y86">IF(Y$8=-1,Z86,IF(Y$8=99,X86,IF(Y$8=0,INDEX($E86:$I86,0,Y$6),(INDEX($E86:$I86,0,Y$8+1)-INDEX($E86:$I86,0,Y$8))/(INDEX($D$5:$H$5,0,Y$8+1)-INDEX($D$5:$H$5,0,Y$8))+X86)))</f>
        <v>103.37272938194623</v>
      </c>
      <c r="Z86" s="11" cm="1">
        <f t="array" ref="Z86">IF(Z$8=-1,AA86,IF(Z$8=99,Y86,IF(Z$8=0,INDEX($E86:$I86,0,Z$6),(INDEX($E86:$I86,0,Z$8+1)-INDEX($E86:$I86,0,Z$8))/(INDEX($D$5:$H$5,0,Z$8+1)-INDEX($D$5:$H$5,0,Z$8))+Y86)))</f>
        <v>103.37272938194623</v>
      </c>
      <c r="AA86" s="11" cm="1">
        <f t="array" ref="AA86">IF(AA$8=-1,AB86,IF(AA$8=99,Z86,IF(AA$8=0,INDEX($E86:$I86,0,AA$6),(INDEX($E86:$I86,0,AA$8+1)-INDEX($E86:$I86,0,AA$8))/(INDEX($D$5:$H$5,0,AA$8+1)-INDEX($D$5:$H$5,0,AA$8))+Z86)))</f>
        <v>103.37272938194623</v>
      </c>
      <c r="AB86" s="11" cm="1">
        <f t="array" ref="AB86">IF(AB$8=-1,AC86,IF(AB$8=99,AA86,IF(AB$8=0,INDEX($E86:$I86,0,AB$6),(INDEX($E86:$I86,0,AB$8+1)-INDEX($E86:$I86,0,AB$8))/(INDEX($D$5:$H$5,0,AB$8+1)-INDEX($D$5:$H$5,0,AB$8))+AA86)))</f>
        <v>103.37272938194623</v>
      </c>
      <c r="AC86" s="11" cm="1">
        <f t="array" ref="AC86">IF(AC$8=-1,AD86,IF(AC$8=99,AB86,IF(AC$8=0,INDEX($E86:$I86,0,AC$6),(INDEX($E86:$I86,0,AC$8+1)-INDEX($E86:$I86,0,AC$8))/(INDEX($D$5:$H$5,0,AC$8+1)-INDEX($D$5:$H$5,0,AC$8))+AB86)))</f>
        <v>103.37272938194623</v>
      </c>
      <c r="AD86" s="11" cm="1">
        <f t="array" ref="AD86">IF(AD$8=-1,AE86,IF(AD$8=99,AC86,IF(AD$8=0,INDEX($E86:$I86,0,AD$6),(INDEX($E86:$I86,0,AD$8+1)-INDEX($E86:$I86,0,AD$8))/(INDEX($D$5:$H$5,0,AD$8+1)-INDEX($D$5:$H$5,0,AD$8))+AC86)))</f>
        <v>103.37272938194623</v>
      </c>
      <c r="AE86" s="11" cm="1">
        <f t="array" ref="AE86">IF(AE$8=-1,AF86,IF(AE$8=99,AD86,IF(AE$8=0,INDEX($E86:$I86,0,AE$6),(INDEX($E86:$I86,0,AE$8+1)-INDEX($E86:$I86,0,AE$8))/(INDEX($D$5:$H$5,0,AE$8+1)-INDEX($D$5:$H$5,0,AE$8))+AD86)))</f>
        <v>103.37272938194623</v>
      </c>
      <c r="AF86" s="11" cm="1">
        <f t="array" ref="AF86">IF(AF$8=-1,AG86,IF(AF$8=99,AE86,IF(AF$8=0,INDEX($E86:$I86,0,AF$6),(INDEX($E86:$I86,0,AF$8+1)-INDEX($E86:$I86,0,AF$8))/(INDEX($D$5:$H$5,0,AF$8+1)-INDEX($D$5:$H$5,0,AF$8))+AE86)))</f>
        <v>103.37272938194623</v>
      </c>
      <c r="AG86" s="11" cm="1">
        <f t="array" ref="AG86">IF(AG$8=-1,AH86,IF(AG$8=99,AF86,IF(AG$8=0,INDEX($E86:$I86,0,AG$6),(INDEX($E86:$I86,0,AG$8+1)-INDEX($E86:$I86,0,AG$8))/(INDEX($D$5:$H$5,0,AG$8+1)-INDEX($D$5:$H$5,0,AG$8))+AF86)))</f>
        <v>103.37272938194623</v>
      </c>
      <c r="AH86" s="11" cm="1">
        <f t="array" ref="AH86">IF(AH$8=-1,AI86,IF(AH$8=99,AG86,IF(AH$8=0,INDEX($E86:$I86,0,AH$6),(INDEX($E86:$I86,0,AH$8+1)-INDEX($E86:$I86,0,AH$8))/(INDEX($D$5:$H$5,0,AH$8+1)-INDEX($D$5:$H$5,0,AH$8))+AG86)))</f>
        <v>103.37272938194623</v>
      </c>
      <c r="AI86" s="11" cm="1">
        <f t="array" ref="AI86">IF(AI$8=-1,AJ86,IF(AI$8=99,AH86,IF(AI$8=0,INDEX($E86:$I86,0,AI$6),(INDEX($E86:$I86,0,AI$8+1)-INDEX($E86:$I86,0,AI$8))/(INDEX($D$5:$H$5,0,AI$8+1)-INDEX($D$5:$H$5,0,AI$8))+AH86)))</f>
        <v>103.37272938194623</v>
      </c>
      <c r="AJ86" s="11" cm="1">
        <f t="array" ref="AJ86">IF(AJ$8=-1,AK86,IF(AJ$8=99,AI86,IF(AJ$8=0,INDEX($E86:$I86,0,AJ$6),(INDEX($E86:$I86,0,AJ$8+1)-INDEX($E86:$I86,0,AJ$8))/(INDEX($D$5:$H$5,0,AJ$8+1)-INDEX($D$5:$H$5,0,AJ$8))+AI86)))</f>
        <v>103.37272938194623</v>
      </c>
      <c r="AK86" s="11" cm="1">
        <f t="array" ref="AK86">IF(AK$8=-1,AL86,IF(AK$8=99,AJ86,IF(AK$8=0,INDEX($E86:$I86,0,AK$6),(INDEX($E86:$I86,0,AK$8+1)-INDEX($E86:$I86,0,AK$8))/(INDEX($D$5:$H$5,0,AK$8+1)-INDEX($D$5:$H$5,0,AK$8))+AJ86)))</f>
        <v>103.37272938194623</v>
      </c>
      <c r="AL86" s="11" cm="1">
        <f t="array" ref="AL86">IF(AL$8=-1,AM86,IF(AL$8=99,AK86,IF(AL$8=0,INDEX($E86:$I86,0,AL$6),(INDEX($E86:$I86,0,AL$8+1)-INDEX($E86:$I86,0,AL$8))/(INDEX($D$5:$H$5,0,AL$8+1)-INDEX($D$5:$H$5,0,AL$8))+AK86)))</f>
        <v>103.37272938194623</v>
      </c>
      <c r="AM86" s="11" cm="1">
        <f t="array" ref="AM86">IF(AM$8=-1,AN86,IF(AM$8=99,AL86,IF(AM$8=0,INDEX($E86:$I86,0,AM$6),(INDEX($E86:$I86,0,AM$8+1)-INDEX($E86:$I86,0,AM$8))/(INDEX($D$5:$H$5,0,AM$8+1)-INDEX($D$5:$H$5,0,AM$8))+AL86)))</f>
        <v>103.37272938194623</v>
      </c>
      <c r="AN86" s="11" cm="1">
        <f t="array" ref="AN86">IF(AN$8=-1,AO86,IF(AN$8=99,AM86,IF(AN$8=0,INDEX($E86:$I86,0,AN$6),(INDEX($E86:$I86,0,AN$8+1)-INDEX($E86:$I86,0,AN$8))/(INDEX($D$5:$H$5,0,AN$8+1)-INDEX($D$5:$H$5,0,AN$8))+AM86)))</f>
        <v>103.37272938194623</v>
      </c>
      <c r="AO86" s="11" cm="1">
        <f t="array" ref="AO86">IF(AO$8=-1,AP86,IF(AO$8=99,AN86,IF(AO$8=0,INDEX($E86:$K86,0,AO$6),(INDEX($E86:$K86,0,AO$8+1)-INDEX($E86:$K86,0,AO$8))/(INDEX($D$5:$J$5,0,AO$8+1)-INDEX($D$5:$J$5,0,AO$8))+AN86)))</f>
        <v>103.37272938194623</v>
      </c>
      <c r="AP86" s="11" cm="1">
        <f t="array" ref="AP86">IF(AP$8=-1,AQ86,IF(AP$8=99,AO86,IF(AP$8=0,INDEX($E86:$K86,0,AP$6),(INDEX($E86:$K86,0,AP$8+1)-INDEX($E86:$K86,0,AP$8))/(INDEX($D$5:$J$5,0,AP$8+1)-INDEX($D$5:$J$5,0,AP$8))+AO86)))</f>
        <v>103.37272938194623</v>
      </c>
      <c r="AQ86" s="11" cm="1">
        <f t="array" ref="AQ86">IF(AQ$8=-1,AR86,IF(AQ$8=99,AP86,IF(AQ$8=0,INDEX($E86:$K86,0,AQ$6),(INDEX($E86:$K86,0,AQ$8+1)-INDEX($E86:$K86,0,AQ$8))/(INDEX($D$5:$J$5,0,AQ$8+1)-INDEX($D$5:$J$5,0,AQ$8))+AP86)))</f>
        <v>103.37272938194623</v>
      </c>
      <c r="AR86" s="11" cm="1">
        <f t="array" ref="AR86">IF(AR$8=-1,AS86,IF(AR$8=99,AQ86,IF(AR$8=0,INDEX($E86:$K86,0,AR$6),(INDEX($E86:$K86,0,AR$8+1)-INDEX($E86:$K86,0,AR$8))/(INDEX($D$5:$J$5,0,AR$8+1)-INDEX($D$5:$J$5,0,AR$8))+AQ86)))</f>
        <v>103.37272938194623</v>
      </c>
      <c r="AS86" s="11" cm="1">
        <f t="array" ref="AS86">IF(AS$8=-1,AT86,IF(AS$8=99,AR86,IF(AS$8=0,INDEX($E86:$K86,0,AS$6),(INDEX($E86:$K86,0,AS$8+1)-INDEX($E86:$K86,0,AS$8))/(INDEX($D$5:$J$5,0,AS$8+1)-INDEX($D$5:$J$5,0,AS$8))+AR86)))</f>
        <v>103.37272938194623</v>
      </c>
      <c r="AT86" s="11" cm="1">
        <f t="array" ref="AT86">IF(AT$8=-1,AU86,IF(AT$8=99,AS86,IF(AT$8=0,INDEX($E86:$K86,0,AT$6),(INDEX($E86:$K86,0,AT$8+1)-INDEX($E86:$K86,0,AT$8))/(INDEX($D$5:$J$5,0,AT$8+1)-INDEX($D$5:$J$5,0,AT$8))+AS86)))</f>
        <v>103.37272938194623</v>
      </c>
      <c r="AU86" s="11" cm="1">
        <f t="array" ref="AU86">IF(AU$8=-1,AV86,IF(AU$8=99,AT86,IF(AU$8=0,INDEX($E86:$K86,0,AU$6),(INDEX($E86:$K86,0,AU$8+1)-INDEX($E86:$K86,0,AU$8))/(INDEX($D$5:$J$5,0,AU$8+1)-INDEX($D$5:$J$5,0,AU$8))+AT86)))</f>
        <v>103.37272938194623</v>
      </c>
      <c r="AV86" s="11" cm="1">
        <f t="array" ref="AV86">IF(AV$8=-1,AW86,IF(AV$8=99,AU86,IF(AV$8=0,INDEX($E86:$K86,0,AV$6),(INDEX($E86:$K86,0,AV$8+1)-INDEX($E86:$K86,0,AV$8))/(INDEX($D$5:$J$5,0,AV$8+1)-INDEX($D$5:$J$5,0,AV$8))+AU86)))</f>
        <v>103.37272938194623</v>
      </c>
      <c r="AW86" s="11" cm="1">
        <f t="array" ref="AW86">IF(AW$8=-1,AX86,IF(AW$8=99,AV86,IF(AW$8=0,INDEX($E86:$K86,0,AW$6),(INDEX($E86:$K86,0,AW$8+1)-INDEX($E86:$K86,0,AW$8))/(INDEX($D$5:$J$5,0,AW$8+1)-INDEX($D$5:$J$5,0,AW$8))+AV86)))</f>
        <v>103.37272938194623</v>
      </c>
      <c r="AX86" s="11" cm="1">
        <f t="array" ref="AX86">IF(AX$8=-1,AY86,IF(AX$8=99,AW86,IF(AX$8=0,INDEX($E86:$K86,0,AX$6),(INDEX($E86:$K86,0,AX$8+1)-INDEX($E86:$K86,0,AX$8))/(INDEX($D$5:$J$5,0,AX$8+1)-INDEX($D$5:$J$5,0,AX$8))+AW86)))</f>
        <v>103.37272938194623</v>
      </c>
      <c r="AY86" s="11" cm="1">
        <f t="array" ref="AY86">IF(AY$8=-1,AZ86,IF(AY$8=99,AX86,IF(AY$8=0,INDEX($E86:$K86,0,AY$6),(INDEX($E86:$K86,0,AY$8+1)-INDEX($E86:$K86,0,AY$8))/(INDEX($D$5:$J$5,0,AY$8+1)-INDEX($D$5:$J$5,0,AY$8))+AX86)))</f>
        <v>103.37272938194623</v>
      </c>
      <c r="AZ86" s="11" cm="1">
        <f t="array" ref="AZ86">IF(AZ$8=-1,BA86,IF(AZ$8=99,AY86,IF(AZ$8=0,INDEX($E86:$K86,0,AZ$6),(INDEX($E86:$K86,0,AZ$8+1)-INDEX($E86:$K86,0,AZ$8))/(INDEX($D$5:$J$5,0,AZ$8+1)-INDEX($D$5:$J$5,0,AZ$8))+AY86)))</f>
        <v>103.37272938194623</v>
      </c>
      <c r="BA86" s="11" cm="1">
        <f t="array" ref="BA86">IF(BA$8=-1,BB86,IF(BA$8=99,AZ86,IF(BA$8=0,INDEX($E86:$K86,0,BA$6),(INDEX($E86:$K86,0,BA$8+1)-INDEX($E86:$K86,0,BA$8))/(INDEX($D$5:$J$5,0,BA$8+1)-INDEX($D$5:$J$5,0,BA$8))+AZ86)))</f>
        <v>103.37272938194623</v>
      </c>
      <c r="BB86" s="11" cm="1">
        <f t="array" ref="BB86">IF(BB$8=-1,BC86,IF(BB$8=99,BA86,IF(BB$8=0,INDEX($E86:$K86,0,BB$6),(INDEX($E86:$K86,0,BB$8+1)-INDEX($E86:$K86,0,BB$8))/(INDEX($D$5:$J$5,0,BB$8+1)-INDEX($D$5:$J$5,0,BB$8))+BA86)))</f>
        <v>103.37272938194623</v>
      </c>
      <c r="BC86" s="11" cm="1">
        <f t="array" ref="BC86">IF(BC$8=-1,BD86,IF(BC$8=99,BB86,IF(BC$8=0,INDEX($E86:$K86,0,BC$6),(INDEX($E86:$K86,0,BC$8+1)-INDEX($E86:$K86,0,BC$8))/(INDEX($D$5:$J$5,0,BC$8+1)-INDEX($D$5:$J$5,0,BC$8))+BB86)))</f>
        <v>103.37272938194623</v>
      </c>
      <c r="BD86" s="11" cm="1">
        <f t="array" ref="BD86">IF(BD$8=-1,BE86,IF(BD$8=99,BC86,IF(BD$8=0,INDEX($E86:$K86,0,BD$6),(INDEX($E86:$K86,0,BD$8+1)-INDEX($E86:$K86,0,BD$8))/(INDEX($D$5:$J$5,0,BD$8+1)-INDEX($D$5:$J$5,0,BD$8))+BC86)))</f>
        <v>103.37272938194623</v>
      </c>
      <c r="BE86" s="11" cm="1">
        <f t="array" ref="BE86">IF(BE$8=-1,BF86,IF(BE$8=99,BD86,IF(BE$8=0,INDEX($E86:$K86,0,BE$6),(INDEX($E86:$K86,0,BE$8+1)-INDEX($E86:$K86,0,BE$8))/(INDEX($D$5:$J$5,0,BE$8+1)-INDEX($D$5:$J$5,0,BE$8))+BD86)))</f>
        <v>103.37272938194623</v>
      </c>
      <c r="BF86" s="11" cm="1">
        <f t="array" ref="BF86">IF(BF$8=-1,BG86,IF(BF$8=99,BE86,IF(BF$8=0,INDEX($E86:$K86,0,BF$6),(INDEX($E86:$K86,0,BF$8+1)-INDEX($E86:$K86,0,BF$8))/(INDEX($D$5:$J$5,0,BF$8+1)-INDEX($D$5:$J$5,0,BF$8))+BE86)))</f>
        <v>103.37272938194623</v>
      </c>
      <c r="BG86" s="11" cm="1">
        <f t="array" ref="BG86">IF(BG$8=-1,BH86,IF(BG$8=99,BF86,IF(BG$8=0,INDEX($E86:$K86,0,BG$6),(INDEX($E86:$K86,0,BG$8+1)-INDEX($E86:$K86,0,BG$8))/(INDEX($D$5:$J$5,0,BG$8+1)-INDEX($D$5:$J$5,0,BG$8))+BF86)))</f>
        <v>103.37272938194623</v>
      </c>
      <c r="BH86" s="11" cm="1">
        <f t="array" ref="BH86">IF(BH$8=-1,BI86,IF(BH$8=99,BG86,IF(BH$8=0,INDEX($E86:$K86,0,BH$6),(INDEX($E86:$K86,0,BH$8+1)-INDEX($E86:$K86,0,BH$8))/(INDEX($D$5:$J$5,0,BH$8+1)-INDEX($D$5:$J$5,0,BH$8))+BG86)))</f>
        <v>103.37272938194623</v>
      </c>
      <c r="BI86" s="11" cm="1">
        <f t="array" ref="BI86">IF(BI$8=-1,BJ86,IF(BI$8=99,BH86,IF(BI$8=0,INDEX($E86:$K86,0,BI$6),(INDEX($E86:$K86,0,BI$8+1)-INDEX($E86:$K86,0,BI$8))/(INDEX($D$5:$J$5,0,BI$8+1)-INDEX($D$5:$J$5,0,BI$8))+BH86)))</f>
        <v>103.37272938194623</v>
      </c>
      <c r="BJ86" s="11" cm="1">
        <f t="array" ref="BJ86">IF(BJ$8=-1,BK86,IF(BJ$8=99,BI86,IF(BJ$8=0,INDEX($E86:$K86,0,BJ$6),(INDEX($E86:$K86,0,BJ$8+1)-INDEX($E86:$K86,0,BJ$8))/(INDEX($D$5:$J$5,0,BJ$8+1)-INDEX($D$5:$J$5,0,BJ$8))+BI86)))</f>
        <v>103.37272938194623</v>
      </c>
      <c r="BK86" s="11" cm="1">
        <f t="array" ref="BK86">IF(BK$8=-1,BL86,IF(BK$8=99,BJ86,IF(BK$8=0,INDEX($E86:$K86,0,BK$6),(INDEX($E86:$K86,0,BK$8+1)-INDEX($E86:$K86,0,BK$8))/(INDEX($D$5:$J$5,0,BK$8+1)-INDEX($D$5:$J$5,0,BK$8))+BJ86)))</f>
        <v>103.37272938194623</v>
      </c>
      <c r="BL86" s="11" cm="1">
        <f t="array" ref="BL86">IF(BL$8=-1,BM86,IF(BL$8=99,BK86,IF(BL$8=0,INDEX($E86:$K86,0,BL$6),(INDEX($E86:$K86,0,BL$8+1)-INDEX($E86:$K86,0,BL$8))/(INDEX($D$5:$J$5,0,BL$8+1)-INDEX($D$5:$J$5,0,BL$8))+BK86)))</f>
        <v>103.37272938194623</v>
      </c>
      <c r="BM86" s="11" cm="1">
        <f t="array" ref="BM86">IF(BM$8=-1,BN86,IF(BM$8=99,BL86,IF(BM$8=0,INDEX($E86:$K86,0,BM$6),(INDEX($E86:$K86,0,BM$8+1)-INDEX($E86:$K86,0,BM$8))/(INDEX($D$5:$J$5,0,BM$8+1)-INDEX($D$5:$J$5,0,BM$8))+BL86)))</f>
        <v>103.37272938194623</v>
      </c>
      <c r="BN86" s="11" cm="1">
        <f t="array" ref="BN86">IF(BN$8=-1,BO86,IF(BN$8=99,BM86,IF(BN$8=0,INDEX($E86:$K86,0,BN$6),(INDEX($E86:$K86,0,BN$8+1)-INDEX($E86:$K86,0,BN$8))/(INDEX($D$5:$J$5,0,BN$8+1)-INDEX($D$5:$J$5,0,BN$8))+BM86)))</f>
        <v>103.37272938194623</v>
      </c>
      <c r="BO86" s="11" cm="1">
        <f t="array" ref="BO86">IF(BO$8=-1,BP86,IF(BO$8=99,BN86,IF(BO$8=0,INDEX($E86:$K86,0,BO$6),(INDEX($E86:$K86,0,BO$8+1)-INDEX($E86:$K86,0,BO$8))/(INDEX($D$5:$J$5,0,BO$8+1)-INDEX($D$5:$J$5,0,BO$8))+BN86)))</f>
        <v>103.37272938194623</v>
      </c>
      <c r="BP86" s="11" cm="1">
        <f t="array" ref="BP86">IF(BP$8=-1,BQ86,IF(BP$8=99,BO86,IF(BP$8=0,INDEX($E86:$K86,0,BP$6),(INDEX($E86:$K86,0,BP$8+1)-INDEX($E86:$K86,0,BP$8))/(INDEX($D$5:$J$5,0,BP$8+1)-INDEX($D$5:$J$5,0,BP$8))+BO86)))</f>
        <v>103.37272938194623</v>
      </c>
      <c r="BQ86" s="11" cm="1">
        <f t="array" ref="BQ86">IF(BQ$8=-1,BR86,IF(BQ$8=99,BP86,IF(BQ$8=0,INDEX($E86:$K86,0,BQ$6),(INDEX($E86:$K86,0,BQ$8+1)-INDEX($E86:$K86,0,BQ$8))/(INDEX($D$5:$J$5,0,BQ$8+1)-INDEX($D$5:$J$5,0,BQ$8))+BP86)))</f>
        <v>103.37272938194623</v>
      </c>
      <c r="BR86" s="11" cm="1">
        <f t="array" ref="BR86">IF(BR$8=-1,BS86,IF(BR$8=99,BQ86,IF(BR$8=0,INDEX($E86:$K86,0,BR$6),(INDEX($E86:$K86,0,BR$8+1)-INDEX($E86:$K86,0,BR$8))/(INDEX($D$5:$J$5,0,BR$8+1)-INDEX($D$5:$J$5,0,BR$8))+BQ86)))</f>
        <v>103.37272938194623</v>
      </c>
    </row>
    <row r="87" spans="1:70" ht="15">
      <c r="A87" t="s">
        <v>16</v>
      </c>
      <c r="B87" s="5" t="s">
        <v>240</v>
      </c>
      <c r="C87" s="95" t="str">
        <f t="shared" si="143"/>
        <v>Commercial - Public lights</v>
      </c>
      <c r="D87" s="95" t="s">
        <v>66</v>
      </c>
      <c r="E87" s="150">
        <f t="shared" si="148"/>
        <v>0</v>
      </c>
      <c r="F87" s="92">
        <f t="shared" si="148"/>
        <v>0</v>
      </c>
      <c r="G87" s="151">
        <f t="shared" si="144"/>
        <v>0</v>
      </c>
      <c r="H87" s="92">
        <f t="shared" si="149"/>
        <v>0</v>
      </c>
      <c r="I87" s="152">
        <f t="shared" si="145"/>
        <v>0</v>
      </c>
      <c r="J87" s="152">
        <f t="shared" si="146"/>
        <v>0</v>
      </c>
      <c r="K87" s="152">
        <f t="shared" si="147"/>
        <v>0</v>
      </c>
      <c r="L87" s="11" cm="1">
        <f t="array" ref="L87">IF(L$8=-1,M87,IF(L$8=99,I87,IF(L$8=0,INDEX($E87:$I87,0,L$6),(INDEX($E87:$I87,0,L$8+1)-INDEX($E87:$I87,0,L$8))/(INDEX($D$5:$H$5,0,L$8+1)-INDEX($D$5:$H$5,0,L$8))+I87)))</f>
        <v>0</v>
      </c>
      <c r="M87" s="11" cm="1">
        <f t="array" ref="M87">IF(M$8=-1,N87,IF(M$8=99,L87,IF(M$8=0,INDEX($E87:$I87,0,M$6),(INDEX($E87:$I87,0,M$8+1)-INDEX($E87:$I87,0,M$8))/(INDEX($D$5:$H$5,0,M$8+1)-INDEX($D$5:$H$5,0,M$8))+L87)))</f>
        <v>0</v>
      </c>
      <c r="N87" s="11" cm="1">
        <f t="array" ref="N87">IF(N$8=-1,O87,IF(N$8=99,M87,IF(N$8=0,INDEX($E87:$I87,0,N$6),(INDEX($E87:$I87,0,N$8+1)-INDEX($E87:$I87,0,N$8))/(INDEX($D$5:$H$5,0,N$8+1)-INDEX($D$5:$H$5,0,N$8))+M87)))</f>
        <v>0</v>
      </c>
      <c r="O87" s="11" cm="1">
        <f t="array" ref="O87">IF(O$8=-1,P87,IF(O$8=99,N87,IF(O$8=0,INDEX($E87:$I87,0,O$6),(INDEX($E87:$I87,0,O$8+1)-INDEX($E87:$I87,0,O$8))/(INDEX($D$5:$H$5,0,O$8+1)-INDEX($D$5:$H$5,0,O$8))+N87)))</f>
        <v>0</v>
      </c>
      <c r="P87" s="11" cm="1">
        <f t="array" ref="P87">IF(P$8=-1,Q87,IF(P$8=99,O87,IF(P$8=0,INDEX($E87:$I87,0,P$6),(INDEX($E87:$I87,0,P$8+1)-INDEX($E87:$I87,0,P$8))/(INDEX($D$5:$H$5,0,P$8+1)-INDEX($D$5:$H$5,0,P$8))+O87)))</f>
        <v>0</v>
      </c>
      <c r="Q87" s="11" cm="1">
        <f t="array" ref="Q87">IF(Q$8=-1,R87,IF(Q$8=99,P87,IF(Q$8=0,INDEX($E87:$I87,0,Q$6),(INDEX($E87:$I87,0,Q$8+1)-INDEX($E87:$I87,0,Q$8))/(INDEX($D$5:$H$5,0,Q$8+1)-INDEX($D$5:$H$5,0,Q$8))+P87)))</f>
        <v>0</v>
      </c>
      <c r="R87" s="11" cm="1">
        <f t="array" ref="R87">IF(R$8=-1,S87,IF(R$8=99,Q87,IF(R$8=0,INDEX($E87:$I87,0,R$6),(INDEX($E87:$I87,0,R$8+1)-INDEX($E87:$I87,0,R$8))/(INDEX($D$5:$H$5,0,R$8+1)-INDEX($D$5:$H$5,0,R$8))+Q87)))</f>
        <v>0</v>
      </c>
      <c r="S87" s="11" cm="1">
        <f t="array" ref="S87">IF(S$8=-1,T87,IF(S$8=99,R87,IF(S$8=0,INDEX($E87:$I87,0,S$6),(INDEX($E87:$I87,0,S$8+1)-INDEX($E87:$I87,0,S$8))/(INDEX($D$5:$H$5,0,S$8+1)-INDEX($D$5:$H$5,0,S$8))+R87)))</f>
        <v>0</v>
      </c>
      <c r="T87" s="11" cm="1">
        <f t="array" ref="T87">IF(T$8=-1,U87,IF(T$8=99,S87,IF(T$8=0,INDEX($E87:$I87,0,T$6),(INDEX($E87:$I87,0,T$8+1)-INDEX($E87:$I87,0,T$8))/(INDEX($D$5:$H$5,0,T$8+1)-INDEX($D$5:$H$5,0,T$8))+S87)))</f>
        <v>0</v>
      </c>
      <c r="U87" s="11" cm="1">
        <f t="array" ref="U87">IF(U$8=-1,V87,IF(U$8=99,T87,IF(U$8=0,INDEX($E87:$I87,0,U$6),(INDEX($E87:$I87,0,U$8+1)-INDEX($E87:$I87,0,U$8))/(INDEX($D$5:$H$5,0,U$8+1)-INDEX($D$5:$H$5,0,U$8))+T87)))</f>
        <v>0</v>
      </c>
      <c r="V87" s="11" cm="1">
        <f t="array" ref="V87">IF(V$8=-1,W87,IF(V$8=99,U87,IF(V$8=0,INDEX($E87:$I87,0,V$6),(INDEX($E87:$I87,0,V$8+1)-INDEX($E87:$I87,0,V$8))/(INDEX($D$5:$H$5,0,V$8+1)-INDEX($D$5:$H$5,0,V$8))+U87)))</f>
        <v>0</v>
      </c>
      <c r="W87" s="11" cm="1">
        <f t="array" ref="W87">IF(W$8=-1,X87,IF(W$8=99,V87,IF(W$8=0,INDEX($E87:$I87,0,W$6),(INDEX($E87:$I87,0,W$8+1)-INDEX($E87:$I87,0,W$8))/(INDEX($D$5:$H$5,0,W$8+1)-INDEX($D$5:$H$5,0,W$8))+V87)))</f>
        <v>0</v>
      </c>
      <c r="X87" s="11" cm="1">
        <f t="array" ref="X87">IF(X$8=-1,Y87,IF(X$8=99,W87,IF(X$8=0,INDEX($E87:$I87,0,X$6),(INDEX($E87:$I87,0,X$8+1)-INDEX($E87:$I87,0,X$8))/(INDEX($D$5:$H$5,0,X$8+1)-INDEX($D$5:$H$5,0,X$8))+W87)))</f>
        <v>0</v>
      </c>
      <c r="Y87" s="11" cm="1">
        <f t="array" ref="Y87">IF(Y$8=-1,Z87,IF(Y$8=99,X87,IF(Y$8=0,INDEX($E87:$I87,0,Y$6),(INDEX($E87:$I87,0,Y$8+1)-INDEX($E87:$I87,0,Y$8))/(INDEX($D$5:$H$5,0,Y$8+1)-INDEX($D$5:$H$5,0,Y$8))+X87)))</f>
        <v>0</v>
      </c>
      <c r="Z87" s="11" cm="1">
        <f t="array" ref="Z87">IF(Z$8=-1,AA87,IF(Z$8=99,Y87,IF(Z$8=0,INDEX($E87:$I87,0,Z$6),(INDEX($E87:$I87,0,Z$8+1)-INDEX($E87:$I87,0,Z$8))/(INDEX($D$5:$H$5,0,Z$8+1)-INDEX($D$5:$H$5,0,Z$8))+Y87)))</f>
        <v>0</v>
      </c>
      <c r="AA87" s="11" cm="1">
        <f t="array" ref="AA87">IF(AA$8=-1,AB87,IF(AA$8=99,Z87,IF(AA$8=0,INDEX($E87:$I87,0,AA$6),(INDEX($E87:$I87,0,AA$8+1)-INDEX($E87:$I87,0,AA$8))/(INDEX($D$5:$H$5,0,AA$8+1)-INDEX($D$5:$H$5,0,AA$8))+Z87)))</f>
        <v>0</v>
      </c>
      <c r="AB87" s="11" cm="1">
        <f t="array" ref="AB87">IF(AB$8=-1,AC87,IF(AB$8=99,AA87,IF(AB$8=0,INDEX($E87:$I87,0,AB$6),(INDEX($E87:$I87,0,AB$8+1)-INDEX($E87:$I87,0,AB$8))/(INDEX($D$5:$H$5,0,AB$8+1)-INDEX($D$5:$H$5,0,AB$8))+AA87)))</f>
        <v>0</v>
      </c>
      <c r="AC87" s="11" cm="1">
        <f t="array" ref="AC87">IF(AC$8=-1,AD87,IF(AC$8=99,AB87,IF(AC$8=0,INDEX($E87:$I87,0,AC$6),(INDEX($E87:$I87,0,AC$8+1)-INDEX($E87:$I87,0,AC$8))/(INDEX($D$5:$H$5,0,AC$8+1)-INDEX($D$5:$H$5,0,AC$8))+AB87)))</f>
        <v>0</v>
      </c>
      <c r="AD87" s="11" cm="1">
        <f t="array" ref="AD87">IF(AD$8=-1,AE87,IF(AD$8=99,AC87,IF(AD$8=0,INDEX($E87:$I87,0,AD$6),(INDEX($E87:$I87,0,AD$8+1)-INDEX($E87:$I87,0,AD$8))/(INDEX($D$5:$H$5,0,AD$8+1)-INDEX($D$5:$H$5,0,AD$8))+AC87)))</f>
        <v>0</v>
      </c>
      <c r="AE87" s="11" cm="1">
        <f t="array" ref="AE87">IF(AE$8=-1,AF87,IF(AE$8=99,AD87,IF(AE$8=0,INDEX($E87:$I87,0,AE$6),(INDEX($E87:$I87,0,AE$8+1)-INDEX($E87:$I87,0,AE$8))/(INDEX($D$5:$H$5,0,AE$8+1)-INDEX($D$5:$H$5,0,AE$8))+AD87)))</f>
        <v>0</v>
      </c>
      <c r="AF87" s="11" cm="1">
        <f t="array" ref="AF87">IF(AF$8=-1,AG87,IF(AF$8=99,AE87,IF(AF$8=0,INDEX($E87:$I87,0,AF$6),(INDEX($E87:$I87,0,AF$8+1)-INDEX($E87:$I87,0,AF$8))/(INDEX($D$5:$H$5,0,AF$8+1)-INDEX($D$5:$H$5,0,AF$8))+AE87)))</f>
        <v>0</v>
      </c>
      <c r="AG87" s="11" cm="1">
        <f t="array" ref="AG87">IF(AG$8=-1,AH87,IF(AG$8=99,AF87,IF(AG$8=0,INDEX($E87:$I87,0,AG$6),(INDEX($E87:$I87,0,AG$8+1)-INDEX($E87:$I87,0,AG$8))/(INDEX($D$5:$H$5,0,AG$8+1)-INDEX($D$5:$H$5,0,AG$8))+AF87)))</f>
        <v>0</v>
      </c>
      <c r="AH87" s="11" cm="1">
        <f t="array" ref="AH87">IF(AH$8=-1,AI87,IF(AH$8=99,AG87,IF(AH$8=0,INDEX($E87:$I87,0,AH$6),(INDEX($E87:$I87,0,AH$8+1)-INDEX($E87:$I87,0,AH$8))/(INDEX($D$5:$H$5,0,AH$8+1)-INDEX($D$5:$H$5,0,AH$8))+AG87)))</f>
        <v>0</v>
      </c>
      <c r="AI87" s="11" cm="1">
        <f t="array" ref="AI87">IF(AI$8=-1,AJ87,IF(AI$8=99,AH87,IF(AI$8=0,INDEX($E87:$I87,0,AI$6),(INDEX($E87:$I87,0,AI$8+1)-INDEX($E87:$I87,0,AI$8))/(INDEX($D$5:$H$5,0,AI$8+1)-INDEX($D$5:$H$5,0,AI$8))+AH87)))</f>
        <v>0</v>
      </c>
      <c r="AJ87" s="11" cm="1">
        <f t="array" ref="AJ87">IF(AJ$8=-1,AK87,IF(AJ$8=99,AI87,IF(AJ$8=0,INDEX($E87:$I87,0,AJ$6),(INDEX($E87:$I87,0,AJ$8+1)-INDEX($E87:$I87,0,AJ$8))/(INDEX($D$5:$H$5,0,AJ$8+1)-INDEX($D$5:$H$5,0,AJ$8))+AI87)))</f>
        <v>0</v>
      </c>
      <c r="AK87" s="11" cm="1">
        <f t="array" ref="AK87">IF(AK$8=-1,AL87,IF(AK$8=99,AJ87,IF(AK$8=0,INDEX($E87:$I87,0,AK$6),(INDEX($E87:$I87,0,AK$8+1)-INDEX($E87:$I87,0,AK$8))/(INDEX($D$5:$H$5,0,AK$8+1)-INDEX($D$5:$H$5,0,AK$8))+AJ87)))</f>
        <v>0</v>
      </c>
      <c r="AL87" s="11" cm="1">
        <f t="array" ref="AL87">IF(AL$8=-1,AM87,IF(AL$8=99,AK87,IF(AL$8=0,INDEX($E87:$I87,0,AL$6),(INDEX($E87:$I87,0,AL$8+1)-INDEX($E87:$I87,0,AL$8))/(INDEX($D$5:$H$5,0,AL$8+1)-INDEX($D$5:$H$5,0,AL$8))+AK87)))</f>
        <v>0</v>
      </c>
      <c r="AM87" s="11" cm="1">
        <f t="array" ref="AM87">IF(AM$8=-1,AN87,IF(AM$8=99,AL87,IF(AM$8=0,INDEX($E87:$I87,0,AM$6),(INDEX($E87:$I87,0,AM$8+1)-INDEX($E87:$I87,0,AM$8))/(INDEX($D$5:$H$5,0,AM$8+1)-INDEX($D$5:$H$5,0,AM$8))+AL87)))</f>
        <v>0</v>
      </c>
      <c r="AN87" s="11" cm="1">
        <f t="array" ref="AN87">IF(AN$8=-1,AO87,IF(AN$8=99,AM87,IF(AN$8=0,INDEX($E87:$I87,0,AN$6),(INDEX($E87:$I87,0,AN$8+1)-INDEX($E87:$I87,0,AN$8))/(INDEX($D$5:$H$5,0,AN$8+1)-INDEX($D$5:$H$5,0,AN$8))+AM87)))</f>
        <v>0</v>
      </c>
      <c r="AO87" s="11" cm="1">
        <f t="array" ref="AO87">IF(AO$8=-1,AP87,IF(AO$8=99,AN87,IF(AO$8=0,INDEX($E87:$K87,0,AO$6),(INDEX($E87:$K87,0,AO$8+1)-INDEX($E87:$K87,0,AO$8))/(INDEX($D$5:$J$5,0,AO$8+1)-INDEX($D$5:$J$5,0,AO$8))+AN87)))</f>
        <v>0</v>
      </c>
      <c r="AP87" s="11" cm="1">
        <f t="array" ref="AP87">IF(AP$8=-1,AQ87,IF(AP$8=99,AO87,IF(AP$8=0,INDEX($E87:$K87,0,AP$6),(INDEX($E87:$K87,0,AP$8+1)-INDEX($E87:$K87,0,AP$8))/(INDEX($D$5:$J$5,0,AP$8+1)-INDEX($D$5:$J$5,0,AP$8))+AO87)))</f>
        <v>0</v>
      </c>
      <c r="AQ87" s="11" cm="1">
        <f t="array" ref="AQ87">IF(AQ$8=-1,AR87,IF(AQ$8=99,AP87,IF(AQ$8=0,INDEX($E87:$K87,0,AQ$6),(INDEX($E87:$K87,0,AQ$8+1)-INDEX($E87:$K87,0,AQ$8))/(INDEX($D$5:$J$5,0,AQ$8+1)-INDEX($D$5:$J$5,0,AQ$8))+AP87)))</f>
        <v>0</v>
      </c>
      <c r="AR87" s="11" cm="1">
        <f t="array" ref="AR87">IF(AR$8=-1,AS87,IF(AR$8=99,AQ87,IF(AR$8=0,INDEX($E87:$K87,0,AR$6),(INDEX($E87:$K87,0,AR$8+1)-INDEX($E87:$K87,0,AR$8))/(INDEX($D$5:$J$5,0,AR$8+1)-INDEX($D$5:$J$5,0,AR$8))+AQ87)))</f>
        <v>0</v>
      </c>
      <c r="AS87" s="11" cm="1">
        <f t="array" ref="AS87">IF(AS$8=-1,AT87,IF(AS$8=99,AR87,IF(AS$8=0,INDEX($E87:$K87,0,AS$6),(INDEX($E87:$K87,0,AS$8+1)-INDEX($E87:$K87,0,AS$8))/(INDEX($D$5:$J$5,0,AS$8+1)-INDEX($D$5:$J$5,0,AS$8))+AR87)))</f>
        <v>0</v>
      </c>
      <c r="AT87" s="11" cm="1">
        <f t="array" ref="AT87">IF(AT$8=-1,AU87,IF(AT$8=99,AS87,IF(AT$8=0,INDEX($E87:$K87,0,AT$6),(INDEX($E87:$K87,0,AT$8+1)-INDEX($E87:$K87,0,AT$8))/(INDEX($D$5:$J$5,0,AT$8+1)-INDEX($D$5:$J$5,0,AT$8))+AS87)))</f>
        <v>0</v>
      </c>
      <c r="AU87" s="11" cm="1">
        <f t="array" ref="AU87">IF(AU$8=-1,AV87,IF(AU$8=99,AT87,IF(AU$8=0,INDEX($E87:$K87,0,AU$6),(INDEX($E87:$K87,0,AU$8+1)-INDEX($E87:$K87,0,AU$8))/(INDEX($D$5:$J$5,0,AU$8+1)-INDEX($D$5:$J$5,0,AU$8))+AT87)))</f>
        <v>0</v>
      </c>
      <c r="AV87" s="11" cm="1">
        <f t="array" ref="AV87">IF(AV$8=-1,AW87,IF(AV$8=99,AU87,IF(AV$8=0,INDEX($E87:$K87,0,AV$6),(INDEX($E87:$K87,0,AV$8+1)-INDEX($E87:$K87,0,AV$8))/(INDEX($D$5:$J$5,0,AV$8+1)-INDEX($D$5:$J$5,0,AV$8))+AU87)))</f>
        <v>0</v>
      </c>
      <c r="AW87" s="11" cm="1">
        <f t="array" ref="AW87">IF(AW$8=-1,AX87,IF(AW$8=99,AV87,IF(AW$8=0,INDEX($E87:$K87,0,AW$6),(INDEX($E87:$K87,0,AW$8+1)-INDEX($E87:$K87,0,AW$8))/(INDEX($D$5:$J$5,0,AW$8+1)-INDEX($D$5:$J$5,0,AW$8))+AV87)))</f>
        <v>0</v>
      </c>
      <c r="AX87" s="11" cm="1">
        <f t="array" ref="AX87">IF(AX$8=-1,AY87,IF(AX$8=99,AW87,IF(AX$8=0,INDEX($E87:$K87,0,AX$6),(INDEX($E87:$K87,0,AX$8+1)-INDEX($E87:$K87,0,AX$8))/(INDEX($D$5:$J$5,0,AX$8+1)-INDEX($D$5:$J$5,0,AX$8))+AW87)))</f>
        <v>0</v>
      </c>
      <c r="AY87" s="11" cm="1">
        <f t="array" ref="AY87">IF(AY$8=-1,AZ87,IF(AY$8=99,AX87,IF(AY$8=0,INDEX($E87:$K87,0,AY$6),(INDEX($E87:$K87,0,AY$8+1)-INDEX($E87:$K87,0,AY$8))/(INDEX($D$5:$J$5,0,AY$8+1)-INDEX($D$5:$J$5,0,AY$8))+AX87)))</f>
        <v>0</v>
      </c>
      <c r="AZ87" s="11" cm="1">
        <f t="array" ref="AZ87">IF(AZ$8=-1,BA87,IF(AZ$8=99,AY87,IF(AZ$8=0,INDEX($E87:$K87,0,AZ$6),(INDEX($E87:$K87,0,AZ$8+1)-INDEX($E87:$K87,0,AZ$8))/(INDEX($D$5:$J$5,0,AZ$8+1)-INDEX($D$5:$J$5,0,AZ$8))+AY87)))</f>
        <v>0</v>
      </c>
      <c r="BA87" s="11" cm="1">
        <f t="array" ref="BA87">IF(BA$8=-1,BB87,IF(BA$8=99,AZ87,IF(BA$8=0,INDEX($E87:$K87,0,BA$6),(INDEX($E87:$K87,0,BA$8+1)-INDEX($E87:$K87,0,BA$8))/(INDEX($D$5:$J$5,0,BA$8+1)-INDEX($D$5:$J$5,0,BA$8))+AZ87)))</f>
        <v>0</v>
      </c>
      <c r="BB87" s="11" cm="1">
        <f t="array" ref="BB87">IF(BB$8=-1,BC87,IF(BB$8=99,BA87,IF(BB$8=0,INDEX($E87:$K87,0,BB$6),(INDEX($E87:$K87,0,BB$8+1)-INDEX($E87:$K87,0,BB$8))/(INDEX($D$5:$J$5,0,BB$8+1)-INDEX($D$5:$J$5,0,BB$8))+BA87)))</f>
        <v>0</v>
      </c>
      <c r="BC87" s="11" cm="1">
        <f t="array" ref="BC87">IF(BC$8=-1,BD87,IF(BC$8=99,BB87,IF(BC$8=0,INDEX($E87:$K87,0,BC$6),(INDEX($E87:$K87,0,BC$8+1)-INDEX($E87:$K87,0,BC$8))/(INDEX($D$5:$J$5,0,BC$8+1)-INDEX($D$5:$J$5,0,BC$8))+BB87)))</f>
        <v>0</v>
      </c>
      <c r="BD87" s="11" cm="1">
        <f t="array" ref="BD87">IF(BD$8=-1,BE87,IF(BD$8=99,BC87,IF(BD$8=0,INDEX($E87:$K87,0,BD$6),(INDEX($E87:$K87,0,BD$8+1)-INDEX($E87:$K87,0,BD$8))/(INDEX($D$5:$J$5,0,BD$8+1)-INDEX($D$5:$J$5,0,BD$8))+BC87)))</f>
        <v>0</v>
      </c>
      <c r="BE87" s="11" cm="1">
        <f t="array" ref="BE87">IF(BE$8=-1,BF87,IF(BE$8=99,BD87,IF(BE$8=0,INDEX($E87:$K87,0,BE$6),(INDEX($E87:$K87,0,BE$8+1)-INDEX($E87:$K87,0,BE$8))/(INDEX($D$5:$J$5,0,BE$8+1)-INDEX($D$5:$J$5,0,BE$8))+BD87)))</f>
        <v>0</v>
      </c>
      <c r="BF87" s="11" cm="1">
        <f t="array" ref="BF87">IF(BF$8=-1,BG87,IF(BF$8=99,BE87,IF(BF$8=0,INDEX($E87:$K87,0,BF$6),(INDEX($E87:$K87,0,BF$8+1)-INDEX($E87:$K87,0,BF$8))/(INDEX($D$5:$J$5,0,BF$8+1)-INDEX($D$5:$J$5,0,BF$8))+BE87)))</f>
        <v>0</v>
      </c>
      <c r="BG87" s="11" cm="1">
        <f t="array" ref="BG87">IF(BG$8=-1,BH87,IF(BG$8=99,BF87,IF(BG$8=0,INDEX($E87:$K87,0,BG$6),(INDEX($E87:$K87,0,BG$8+1)-INDEX($E87:$K87,0,BG$8))/(INDEX($D$5:$J$5,0,BG$8+1)-INDEX($D$5:$J$5,0,BG$8))+BF87)))</f>
        <v>0</v>
      </c>
      <c r="BH87" s="11" cm="1">
        <f t="array" ref="BH87">IF(BH$8=-1,BI87,IF(BH$8=99,BG87,IF(BH$8=0,INDEX($E87:$K87,0,BH$6),(INDEX($E87:$K87,0,BH$8+1)-INDEX($E87:$K87,0,BH$8))/(INDEX($D$5:$J$5,0,BH$8+1)-INDEX($D$5:$J$5,0,BH$8))+BG87)))</f>
        <v>0</v>
      </c>
      <c r="BI87" s="11" cm="1">
        <f t="array" ref="BI87">IF(BI$8=-1,BJ87,IF(BI$8=99,BH87,IF(BI$8=0,INDEX($E87:$K87,0,BI$6),(INDEX($E87:$K87,0,BI$8+1)-INDEX($E87:$K87,0,BI$8))/(INDEX($D$5:$J$5,0,BI$8+1)-INDEX($D$5:$J$5,0,BI$8))+BH87)))</f>
        <v>0</v>
      </c>
      <c r="BJ87" s="11" cm="1">
        <f t="array" ref="BJ87">IF(BJ$8=-1,BK87,IF(BJ$8=99,BI87,IF(BJ$8=0,INDEX($E87:$K87,0,BJ$6),(INDEX($E87:$K87,0,BJ$8+1)-INDEX($E87:$K87,0,BJ$8))/(INDEX($D$5:$J$5,0,BJ$8+1)-INDEX($D$5:$J$5,0,BJ$8))+BI87)))</f>
        <v>0</v>
      </c>
      <c r="BK87" s="11" cm="1">
        <f t="array" ref="BK87">IF(BK$8=-1,BL87,IF(BK$8=99,BJ87,IF(BK$8=0,INDEX($E87:$K87,0,BK$6),(INDEX($E87:$K87,0,BK$8+1)-INDEX($E87:$K87,0,BK$8))/(INDEX($D$5:$J$5,0,BK$8+1)-INDEX($D$5:$J$5,0,BK$8))+BJ87)))</f>
        <v>0</v>
      </c>
      <c r="BL87" s="11" cm="1">
        <f t="array" ref="BL87">IF(BL$8=-1,BM87,IF(BL$8=99,BK87,IF(BL$8=0,INDEX($E87:$K87,0,BL$6),(INDEX($E87:$K87,0,BL$8+1)-INDEX($E87:$K87,0,BL$8))/(INDEX($D$5:$J$5,0,BL$8+1)-INDEX($D$5:$J$5,0,BL$8))+BK87)))</f>
        <v>0</v>
      </c>
      <c r="BM87" s="11" cm="1">
        <f t="array" ref="BM87">IF(BM$8=-1,BN87,IF(BM$8=99,BL87,IF(BM$8=0,INDEX($E87:$K87,0,BM$6),(INDEX($E87:$K87,0,BM$8+1)-INDEX($E87:$K87,0,BM$8))/(INDEX($D$5:$J$5,0,BM$8+1)-INDEX($D$5:$J$5,0,BM$8))+BL87)))</f>
        <v>0</v>
      </c>
      <c r="BN87" s="11" cm="1">
        <f t="array" ref="BN87">IF(BN$8=-1,BO87,IF(BN$8=99,BM87,IF(BN$8=0,INDEX($E87:$K87,0,BN$6),(INDEX($E87:$K87,0,BN$8+1)-INDEX($E87:$K87,0,BN$8))/(INDEX($D$5:$J$5,0,BN$8+1)-INDEX($D$5:$J$5,0,BN$8))+BM87)))</f>
        <v>0</v>
      </c>
      <c r="BO87" s="11" cm="1">
        <f t="array" ref="BO87">IF(BO$8=-1,BP87,IF(BO$8=99,BN87,IF(BO$8=0,INDEX($E87:$K87,0,BO$6),(INDEX($E87:$K87,0,BO$8+1)-INDEX($E87:$K87,0,BO$8))/(INDEX($D$5:$J$5,0,BO$8+1)-INDEX($D$5:$J$5,0,BO$8))+BN87)))</f>
        <v>0</v>
      </c>
      <c r="BP87" s="11" cm="1">
        <f t="array" ref="BP87">IF(BP$8=-1,BQ87,IF(BP$8=99,BO87,IF(BP$8=0,INDEX($E87:$K87,0,BP$6),(INDEX($E87:$K87,0,BP$8+1)-INDEX($E87:$K87,0,BP$8))/(INDEX($D$5:$J$5,0,BP$8+1)-INDEX($D$5:$J$5,0,BP$8))+BO87)))</f>
        <v>0</v>
      </c>
      <c r="BQ87" s="11" cm="1">
        <f t="array" ref="BQ87">IF(BQ$8=-1,BR87,IF(BQ$8=99,BP87,IF(BQ$8=0,INDEX($E87:$K87,0,BQ$6),(INDEX($E87:$K87,0,BQ$8+1)-INDEX($E87:$K87,0,BQ$8))/(INDEX($D$5:$J$5,0,BQ$8+1)-INDEX($D$5:$J$5,0,BQ$8))+BP87)))</f>
        <v>0</v>
      </c>
      <c r="BR87" s="11" cm="1">
        <f t="array" ref="BR87">IF(BR$8=-1,BS87,IF(BR$8=99,BQ87,IF(BR$8=0,INDEX($E87:$K87,0,BR$6),(INDEX($E87:$K87,0,BR$8+1)-INDEX($E87:$K87,0,BR$8))/(INDEX($D$5:$J$5,0,BR$8+1)-INDEX($D$5:$J$5,0,BR$8))+BQ87)))</f>
        <v>0</v>
      </c>
    </row>
    <row r="88" spans="1:70" ht="15">
      <c r="A88" t="s">
        <v>16</v>
      </c>
      <c r="B88" s="5" t="s">
        <v>241</v>
      </c>
      <c r="C88" s="95" t="str">
        <f t="shared" si="143"/>
        <v>Commercial - Public Water</v>
      </c>
      <c r="D88" s="95" t="s">
        <v>66</v>
      </c>
      <c r="E88" s="150">
        <f t="shared" si="148"/>
        <v>0</v>
      </c>
      <c r="F88" s="92">
        <f t="shared" si="148"/>
        <v>0</v>
      </c>
      <c r="G88" s="151">
        <f t="shared" si="144"/>
        <v>0</v>
      </c>
      <c r="H88" s="92">
        <f t="shared" si="149"/>
        <v>0</v>
      </c>
      <c r="I88" s="152">
        <f t="shared" si="145"/>
        <v>0</v>
      </c>
      <c r="J88" s="152">
        <f t="shared" si="146"/>
        <v>0</v>
      </c>
      <c r="K88" s="152">
        <f t="shared" si="147"/>
        <v>0</v>
      </c>
      <c r="L88" s="11" cm="1">
        <f t="array" ref="L88">IF(L$8=-1,M88,IF(L$8=99,I88,IF(L$8=0,INDEX($E88:$I88,0,L$6),(INDEX($E88:$I88,0,L$8+1)-INDEX($E88:$I88,0,L$8))/(INDEX($D$5:$H$5,0,L$8+1)-INDEX($D$5:$H$5,0,L$8))+I88)))</f>
        <v>0</v>
      </c>
      <c r="M88" s="11" cm="1">
        <f t="array" ref="M88">IF(M$8=-1,N88,IF(M$8=99,L88,IF(M$8=0,INDEX($E88:$I88,0,M$6),(INDEX($E88:$I88,0,M$8+1)-INDEX($E88:$I88,0,M$8))/(INDEX($D$5:$H$5,0,M$8+1)-INDEX($D$5:$H$5,0,M$8))+L88)))</f>
        <v>0</v>
      </c>
      <c r="N88" s="11" cm="1">
        <f t="array" ref="N88">IF(N$8=-1,O88,IF(N$8=99,M88,IF(N$8=0,INDEX($E88:$I88,0,N$6),(INDEX($E88:$I88,0,N$8+1)-INDEX($E88:$I88,0,N$8))/(INDEX($D$5:$H$5,0,N$8+1)-INDEX($D$5:$H$5,0,N$8))+M88)))</f>
        <v>0</v>
      </c>
      <c r="O88" s="11" cm="1">
        <f t="array" ref="O88">IF(O$8=-1,P88,IF(O$8=99,N88,IF(O$8=0,INDEX($E88:$I88,0,O$6),(INDEX($E88:$I88,0,O$8+1)-INDEX($E88:$I88,0,O$8))/(INDEX($D$5:$H$5,0,O$8+1)-INDEX($D$5:$H$5,0,O$8))+N88)))</f>
        <v>0</v>
      </c>
      <c r="P88" s="11" cm="1">
        <f t="array" ref="P88">IF(P$8=-1,Q88,IF(P$8=99,O88,IF(P$8=0,INDEX($E88:$I88,0,P$6),(INDEX($E88:$I88,0,P$8+1)-INDEX($E88:$I88,0,P$8))/(INDEX($D$5:$H$5,0,P$8+1)-INDEX($D$5:$H$5,0,P$8))+O88)))</f>
        <v>0</v>
      </c>
      <c r="Q88" s="11" cm="1">
        <f t="array" ref="Q88">IF(Q$8=-1,R88,IF(Q$8=99,P88,IF(Q$8=0,INDEX($E88:$I88,0,Q$6),(INDEX($E88:$I88,0,Q$8+1)-INDEX($E88:$I88,0,Q$8))/(INDEX($D$5:$H$5,0,Q$8+1)-INDEX($D$5:$H$5,0,Q$8))+P88)))</f>
        <v>0</v>
      </c>
      <c r="R88" s="11" cm="1">
        <f t="array" ref="R88">IF(R$8=-1,S88,IF(R$8=99,Q88,IF(R$8=0,INDEX($E88:$I88,0,R$6),(INDEX($E88:$I88,0,R$8+1)-INDEX($E88:$I88,0,R$8))/(INDEX($D$5:$H$5,0,R$8+1)-INDEX($D$5:$H$5,0,R$8))+Q88)))</f>
        <v>0</v>
      </c>
      <c r="S88" s="11" cm="1">
        <f t="array" ref="S88">IF(S$8=-1,T88,IF(S$8=99,R88,IF(S$8=0,INDEX($E88:$I88,0,S$6),(INDEX($E88:$I88,0,S$8+1)-INDEX($E88:$I88,0,S$8))/(INDEX($D$5:$H$5,0,S$8+1)-INDEX($D$5:$H$5,0,S$8))+R88)))</f>
        <v>0</v>
      </c>
      <c r="T88" s="11" cm="1">
        <f t="array" ref="T88">IF(T$8=-1,U88,IF(T$8=99,S88,IF(T$8=0,INDEX($E88:$I88,0,T$6),(INDEX($E88:$I88,0,T$8+1)-INDEX($E88:$I88,0,T$8))/(INDEX($D$5:$H$5,0,T$8+1)-INDEX($D$5:$H$5,0,T$8))+S88)))</f>
        <v>0</v>
      </c>
      <c r="U88" s="11" cm="1">
        <f t="array" ref="U88">IF(U$8=-1,V88,IF(U$8=99,T88,IF(U$8=0,INDEX($E88:$I88,0,U$6),(INDEX($E88:$I88,0,U$8+1)-INDEX($E88:$I88,0,U$8))/(INDEX($D$5:$H$5,0,U$8+1)-INDEX($D$5:$H$5,0,U$8))+T88)))</f>
        <v>0</v>
      </c>
      <c r="V88" s="11" cm="1">
        <f t="array" ref="V88">IF(V$8=-1,W88,IF(V$8=99,U88,IF(V$8=0,INDEX($E88:$I88,0,V$6),(INDEX($E88:$I88,0,V$8+1)-INDEX($E88:$I88,0,V$8))/(INDEX($D$5:$H$5,0,V$8+1)-INDEX($D$5:$H$5,0,V$8))+U88)))</f>
        <v>0</v>
      </c>
      <c r="W88" s="11" cm="1">
        <f t="array" ref="W88">IF(W$8=-1,X88,IF(W$8=99,V88,IF(W$8=0,INDEX($E88:$I88,0,W$6),(INDEX($E88:$I88,0,W$8+1)-INDEX($E88:$I88,0,W$8))/(INDEX($D$5:$H$5,0,W$8+1)-INDEX($D$5:$H$5,0,W$8))+V88)))</f>
        <v>0</v>
      </c>
      <c r="X88" s="11" cm="1">
        <f t="array" ref="X88">IF(X$8=-1,Y88,IF(X$8=99,W88,IF(X$8=0,INDEX($E88:$I88,0,X$6),(INDEX($E88:$I88,0,X$8+1)-INDEX($E88:$I88,0,X$8))/(INDEX($D$5:$H$5,0,X$8+1)-INDEX($D$5:$H$5,0,X$8))+W88)))</f>
        <v>0</v>
      </c>
      <c r="Y88" s="11" cm="1">
        <f t="array" ref="Y88">IF(Y$8=-1,Z88,IF(Y$8=99,X88,IF(Y$8=0,INDEX($E88:$I88,0,Y$6),(INDEX($E88:$I88,0,Y$8+1)-INDEX($E88:$I88,0,Y$8))/(INDEX($D$5:$H$5,0,Y$8+1)-INDEX($D$5:$H$5,0,Y$8))+X88)))</f>
        <v>0</v>
      </c>
      <c r="Z88" s="11" cm="1">
        <f t="array" ref="Z88">IF(Z$8=-1,AA88,IF(Z$8=99,Y88,IF(Z$8=0,INDEX($E88:$I88,0,Z$6),(INDEX($E88:$I88,0,Z$8+1)-INDEX($E88:$I88,0,Z$8))/(INDEX($D$5:$H$5,0,Z$8+1)-INDEX($D$5:$H$5,0,Z$8))+Y88)))</f>
        <v>0</v>
      </c>
      <c r="AA88" s="11" cm="1">
        <f t="array" ref="AA88">IF(AA$8=-1,AB88,IF(AA$8=99,Z88,IF(AA$8=0,INDEX($E88:$I88,0,AA$6),(INDEX($E88:$I88,0,AA$8+1)-INDEX($E88:$I88,0,AA$8))/(INDEX($D$5:$H$5,0,AA$8+1)-INDEX($D$5:$H$5,0,AA$8))+Z88)))</f>
        <v>0</v>
      </c>
      <c r="AB88" s="11" cm="1">
        <f t="array" ref="AB88">IF(AB$8=-1,AC88,IF(AB$8=99,AA88,IF(AB$8=0,INDEX($E88:$I88,0,AB$6),(INDEX($E88:$I88,0,AB$8+1)-INDEX($E88:$I88,0,AB$8))/(INDEX($D$5:$H$5,0,AB$8+1)-INDEX($D$5:$H$5,0,AB$8))+AA88)))</f>
        <v>0</v>
      </c>
      <c r="AC88" s="11" cm="1">
        <f t="array" ref="AC88">IF(AC$8=-1,AD88,IF(AC$8=99,AB88,IF(AC$8=0,INDEX($E88:$I88,0,AC$6),(INDEX($E88:$I88,0,AC$8+1)-INDEX($E88:$I88,0,AC$8))/(INDEX($D$5:$H$5,0,AC$8+1)-INDEX($D$5:$H$5,0,AC$8))+AB88)))</f>
        <v>0</v>
      </c>
      <c r="AD88" s="11" cm="1">
        <f t="array" ref="AD88">IF(AD$8=-1,AE88,IF(AD$8=99,AC88,IF(AD$8=0,INDEX($E88:$I88,0,AD$6),(INDEX($E88:$I88,0,AD$8+1)-INDEX($E88:$I88,0,AD$8))/(INDEX($D$5:$H$5,0,AD$8+1)-INDEX($D$5:$H$5,0,AD$8))+AC88)))</f>
        <v>0</v>
      </c>
      <c r="AE88" s="11" cm="1">
        <f t="array" ref="AE88">IF(AE$8=-1,AF88,IF(AE$8=99,AD88,IF(AE$8=0,INDEX($E88:$I88,0,AE$6),(INDEX($E88:$I88,0,AE$8+1)-INDEX($E88:$I88,0,AE$8))/(INDEX($D$5:$H$5,0,AE$8+1)-INDEX($D$5:$H$5,0,AE$8))+AD88)))</f>
        <v>0</v>
      </c>
      <c r="AF88" s="11" cm="1">
        <f t="array" ref="AF88">IF(AF$8=-1,AG88,IF(AF$8=99,AE88,IF(AF$8=0,INDEX($E88:$I88,0,AF$6),(INDEX($E88:$I88,0,AF$8+1)-INDEX($E88:$I88,0,AF$8))/(INDEX($D$5:$H$5,0,AF$8+1)-INDEX($D$5:$H$5,0,AF$8))+AE88)))</f>
        <v>0</v>
      </c>
      <c r="AG88" s="11" cm="1">
        <f t="array" ref="AG88">IF(AG$8=-1,AH88,IF(AG$8=99,AF88,IF(AG$8=0,INDEX($E88:$I88,0,AG$6),(INDEX($E88:$I88,0,AG$8+1)-INDEX($E88:$I88,0,AG$8))/(INDEX($D$5:$H$5,0,AG$8+1)-INDEX($D$5:$H$5,0,AG$8))+AF88)))</f>
        <v>0</v>
      </c>
      <c r="AH88" s="11" cm="1">
        <f t="array" ref="AH88">IF(AH$8=-1,AI88,IF(AH$8=99,AG88,IF(AH$8=0,INDEX($E88:$I88,0,AH$6),(INDEX($E88:$I88,0,AH$8+1)-INDEX($E88:$I88,0,AH$8))/(INDEX($D$5:$H$5,0,AH$8+1)-INDEX($D$5:$H$5,0,AH$8))+AG88)))</f>
        <v>0</v>
      </c>
      <c r="AI88" s="11" cm="1">
        <f t="array" ref="AI88">IF(AI$8=-1,AJ88,IF(AI$8=99,AH88,IF(AI$8=0,INDEX($E88:$I88,0,AI$6),(INDEX($E88:$I88,0,AI$8+1)-INDEX($E88:$I88,0,AI$8))/(INDEX($D$5:$H$5,0,AI$8+1)-INDEX($D$5:$H$5,0,AI$8))+AH88)))</f>
        <v>0</v>
      </c>
      <c r="AJ88" s="11" cm="1">
        <f t="array" ref="AJ88">IF(AJ$8=-1,AK88,IF(AJ$8=99,AI88,IF(AJ$8=0,INDEX($E88:$I88,0,AJ$6),(INDEX($E88:$I88,0,AJ$8+1)-INDEX($E88:$I88,0,AJ$8))/(INDEX($D$5:$H$5,0,AJ$8+1)-INDEX($D$5:$H$5,0,AJ$8))+AI88)))</f>
        <v>0</v>
      </c>
      <c r="AK88" s="11" cm="1">
        <f t="array" ref="AK88">IF(AK$8=-1,AL88,IF(AK$8=99,AJ88,IF(AK$8=0,INDEX($E88:$I88,0,AK$6),(INDEX($E88:$I88,0,AK$8+1)-INDEX($E88:$I88,0,AK$8))/(INDEX($D$5:$H$5,0,AK$8+1)-INDEX($D$5:$H$5,0,AK$8))+AJ88)))</f>
        <v>0</v>
      </c>
      <c r="AL88" s="11" cm="1">
        <f t="array" ref="AL88">IF(AL$8=-1,AM88,IF(AL$8=99,AK88,IF(AL$8=0,INDEX($E88:$I88,0,AL$6),(INDEX($E88:$I88,0,AL$8+1)-INDEX($E88:$I88,0,AL$8))/(INDEX($D$5:$H$5,0,AL$8+1)-INDEX($D$5:$H$5,0,AL$8))+AK88)))</f>
        <v>0</v>
      </c>
      <c r="AM88" s="11" cm="1">
        <f t="array" ref="AM88">IF(AM$8=-1,AN88,IF(AM$8=99,AL88,IF(AM$8=0,INDEX($E88:$I88,0,AM$6),(INDEX($E88:$I88,0,AM$8+1)-INDEX($E88:$I88,0,AM$8))/(INDEX($D$5:$H$5,0,AM$8+1)-INDEX($D$5:$H$5,0,AM$8))+AL88)))</f>
        <v>0</v>
      </c>
      <c r="AN88" s="11" cm="1">
        <f t="array" ref="AN88">IF(AN$8=-1,AO88,IF(AN$8=99,AM88,IF(AN$8=0,INDEX($E88:$I88,0,AN$6),(INDEX($E88:$I88,0,AN$8+1)-INDEX($E88:$I88,0,AN$8))/(INDEX($D$5:$H$5,0,AN$8+1)-INDEX($D$5:$H$5,0,AN$8))+AM88)))</f>
        <v>0</v>
      </c>
      <c r="AO88" s="11" cm="1">
        <f t="array" ref="AO88">IF(AO$8=-1,AP88,IF(AO$8=99,AN88,IF(AO$8=0,INDEX($E88:$K88,0,AO$6),(INDEX($E88:$K88,0,AO$8+1)-INDEX($E88:$K88,0,AO$8))/(INDEX($D$5:$J$5,0,AO$8+1)-INDEX($D$5:$J$5,0,AO$8))+AN88)))</f>
        <v>0</v>
      </c>
      <c r="AP88" s="11" cm="1">
        <f t="array" ref="AP88">IF(AP$8=-1,AQ88,IF(AP$8=99,AO88,IF(AP$8=0,INDEX($E88:$K88,0,AP$6),(INDEX($E88:$K88,0,AP$8+1)-INDEX($E88:$K88,0,AP$8))/(INDEX($D$5:$J$5,0,AP$8+1)-INDEX($D$5:$J$5,0,AP$8))+AO88)))</f>
        <v>0</v>
      </c>
      <c r="AQ88" s="11" cm="1">
        <f t="array" ref="AQ88">IF(AQ$8=-1,AR88,IF(AQ$8=99,AP88,IF(AQ$8=0,INDEX($E88:$K88,0,AQ$6),(INDEX($E88:$K88,0,AQ$8+1)-INDEX($E88:$K88,0,AQ$8))/(INDEX($D$5:$J$5,0,AQ$8+1)-INDEX($D$5:$J$5,0,AQ$8))+AP88)))</f>
        <v>0</v>
      </c>
      <c r="AR88" s="11" cm="1">
        <f t="array" ref="AR88">IF(AR$8=-1,AS88,IF(AR$8=99,AQ88,IF(AR$8=0,INDEX($E88:$K88,0,AR$6),(INDEX($E88:$K88,0,AR$8+1)-INDEX($E88:$K88,0,AR$8))/(INDEX($D$5:$J$5,0,AR$8+1)-INDEX($D$5:$J$5,0,AR$8))+AQ88)))</f>
        <v>0</v>
      </c>
      <c r="AS88" s="11" cm="1">
        <f t="array" ref="AS88">IF(AS$8=-1,AT88,IF(AS$8=99,AR88,IF(AS$8=0,INDEX($E88:$K88,0,AS$6),(INDEX($E88:$K88,0,AS$8+1)-INDEX($E88:$K88,0,AS$8))/(INDEX($D$5:$J$5,0,AS$8+1)-INDEX($D$5:$J$5,0,AS$8))+AR88)))</f>
        <v>0</v>
      </c>
      <c r="AT88" s="11" cm="1">
        <f t="array" ref="AT88">IF(AT$8=-1,AU88,IF(AT$8=99,AS88,IF(AT$8=0,INDEX($E88:$K88,0,AT$6),(INDEX($E88:$K88,0,AT$8+1)-INDEX($E88:$K88,0,AT$8))/(INDEX($D$5:$J$5,0,AT$8+1)-INDEX($D$5:$J$5,0,AT$8))+AS88)))</f>
        <v>0</v>
      </c>
      <c r="AU88" s="11" cm="1">
        <f t="array" ref="AU88">IF(AU$8=-1,AV88,IF(AU$8=99,AT88,IF(AU$8=0,INDEX($E88:$K88,0,AU$6),(INDEX($E88:$K88,0,AU$8+1)-INDEX($E88:$K88,0,AU$8))/(INDEX($D$5:$J$5,0,AU$8+1)-INDEX($D$5:$J$5,0,AU$8))+AT88)))</f>
        <v>0</v>
      </c>
      <c r="AV88" s="11" cm="1">
        <f t="array" ref="AV88">IF(AV$8=-1,AW88,IF(AV$8=99,AU88,IF(AV$8=0,INDEX($E88:$K88,0,AV$6),(INDEX($E88:$K88,0,AV$8+1)-INDEX($E88:$K88,0,AV$8))/(INDEX($D$5:$J$5,0,AV$8+1)-INDEX($D$5:$J$5,0,AV$8))+AU88)))</f>
        <v>0</v>
      </c>
      <c r="AW88" s="11" cm="1">
        <f t="array" ref="AW88">IF(AW$8=-1,AX88,IF(AW$8=99,AV88,IF(AW$8=0,INDEX($E88:$K88,0,AW$6),(INDEX($E88:$K88,0,AW$8+1)-INDEX($E88:$K88,0,AW$8))/(INDEX($D$5:$J$5,0,AW$8+1)-INDEX($D$5:$J$5,0,AW$8))+AV88)))</f>
        <v>0</v>
      </c>
      <c r="AX88" s="11" cm="1">
        <f t="array" ref="AX88">IF(AX$8=-1,AY88,IF(AX$8=99,AW88,IF(AX$8=0,INDEX($E88:$K88,0,AX$6),(INDEX($E88:$K88,0,AX$8+1)-INDEX($E88:$K88,0,AX$8))/(INDEX($D$5:$J$5,0,AX$8+1)-INDEX($D$5:$J$5,0,AX$8))+AW88)))</f>
        <v>0</v>
      </c>
      <c r="AY88" s="11" cm="1">
        <f t="array" ref="AY88">IF(AY$8=-1,AZ88,IF(AY$8=99,AX88,IF(AY$8=0,INDEX($E88:$K88,0,AY$6),(INDEX($E88:$K88,0,AY$8+1)-INDEX($E88:$K88,0,AY$8))/(INDEX($D$5:$J$5,0,AY$8+1)-INDEX($D$5:$J$5,0,AY$8))+AX88)))</f>
        <v>0</v>
      </c>
      <c r="AZ88" s="11" cm="1">
        <f t="array" ref="AZ88">IF(AZ$8=-1,BA88,IF(AZ$8=99,AY88,IF(AZ$8=0,INDEX($E88:$K88,0,AZ$6),(INDEX($E88:$K88,0,AZ$8+1)-INDEX($E88:$K88,0,AZ$8))/(INDEX($D$5:$J$5,0,AZ$8+1)-INDEX($D$5:$J$5,0,AZ$8))+AY88)))</f>
        <v>0</v>
      </c>
      <c r="BA88" s="11" cm="1">
        <f t="array" ref="BA88">IF(BA$8=-1,BB88,IF(BA$8=99,AZ88,IF(BA$8=0,INDEX($E88:$K88,0,BA$6),(INDEX($E88:$K88,0,BA$8+1)-INDEX($E88:$K88,0,BA$8))/(INDEX($D$5:$J$5,0,BA$8+1)-INDEX($D$5:$J$5,0,BA$8))+AZ88)))</f>
        <v>0</v>
      </c>
      <c r="BB88" s="11" cm="1">
        <f t="array" ref="BB88">IF(BB$8=-1,BC88,IF(BB$8=99,BA88,IF(BB$8=0,INDEX($E88:$K88,0,BB$6),(INDEX($E88:$K88,0,BB$8+1)-INDEX($E88:$K88,0,BB$8))/(INDEX($D$5:$J$5,0,BB$8+1)-INDEX($D$5:$J$5,0,BB$8))+BA88)))</f>
        <v>0</v>
      </c>
      <c r="BC88" s="11" cm="1">
        <f t="array" ref="BC88">IF(BC$8=-1,BD88,IF(BC$8=99,BB88,IF(BC$8=0,INDEX($E88:$K88,0,BC$6),(INDEX($E88:$K88,0,BC$8+1)-INDEX($E88:$K88,0,BC$8))/(INDEX($D$5:$J$5,0,BC$8+1)-INDEX($D$5:$J$5,0,BC$8))+BB88)))</f>
        <v>0</v>
      </c>
      <c r="BD88" s="11" cm="1">
        <f t="array" ref="BD88">IF(BD$8=-1,BE88,IF(BD$8=99,BC88,IF(BD$8=0,INDEX($E88:$K88,0,BD$6),(INDEX($E88:$K88,0,BD$8+1)-INDEX($E88:$K88,0,BD$8))/(INDEX($D$5:$J$5,0,BD$8+1)-INDEX($D$5:$J$5,0,BD$8))+BC88)))</f>
        <v>0</v>
      </c>
      <c r="BE88" s="11" cm="1">
        <f t="array" ref="BE88">IF(BE$8=-1,BF88,IF(BE$8=99,BD88,IF(BE$8=0,INDEX($E88:$K88,0,BE$6),(INDEX($E88:$K88,0,BE$8+1)-INDEX($E88:$K88,0,BE$8))/(INDEX($D$5:$J$5,0,BE$8+1)-INDEX($D$5:$J$5,0,BE$8))+BD88)))</f>
        <v>0</v>
      </c>
      <c r="BF88" s="11" cm="1">
        <f t="array" ref="BF88">IF(BF$8=-1,BG88,IF(BF$8=99,BE88,IF(BF$8=0,INDEX($E88:$K88,0,BF$6),(INDEX($E88:$K88,0,BF$8+1)-INDEX($E88:$K88,0,BF$8))/(INDEX($D$5:$J$5,0,BF$8+1)-INDEX($D$5:$J$5,0,BF$8))+BE88)))</f>
        <v>0</v>
      </c>
      <c r="BG88" s="11" cm="1">
        <f t="array" ref="BG88">IF(BG$8=-1,BH88,IF(BG$8=99,BF88,IF(BG$8=0,INDEX($E88:$K88,0,BG$6),(INDEX($E88:$K88,0,BG$8+1)-INDEX($E88:$K88,0,BG$8))/(INDEX($D$5:$J$5,0,BG$8+1)-INDEX($D$5:$J$5,0,BG$8))+BF88)))</f>
        <v>0</v>
      </c>
      <c r="BH88" s="11" cm="1">
        <f t="array" ref="BH88">IF(BH$8=-1,BI88,IF(BH$8=99,BG88,IF(BH$8=0,INDEX($E88:$K88,0,BH$6),(INDEX($E88:$K88,0,BH$8+1)-INDEX($E88:$K88,0,BH$8))/(INDEX($D$5:$J$5,0,BH$8+1)-INDEX($D$5:$J$5,0,BH$8))+BG88)))</f>
        <v>0</v>
      </c>
      <c r="BI88" s="11" cm="1">
        <f t="array" ref="BI88">IF(BI$8=-1,BJ88,IF(BI$8=99,BH88,IF(BI$8=0,INDEX($E88:$K88,0,BI$6),(INDEX($E88:$K88,0,BI$8+1)-INDEX($E88:$K88,0,BI$8))/(INDEX($D$5:$J$5,0,BI$8+1)-INDEX($D$5:$J$5,0,BI$8))+BH88)))</f>
        <v>0</v>
      </c>
      <c r="BJ88" s="11" cm="1">
        <f t="array" ref="BJ88">IF(BJ$8=-1,BK88,IF(BJ$8=99,BI88,IF(BJ$8=0,INDEX($E88:$K88,0,BJ$6),(INDEX($E88:$K88,0,BJ$8+1)-INDEX($E88:$K88,0,BJ$8))/(INDEX($D$5:$J$5,0,BJ$8+1)-INDEX($D$5:$J$5,0,BJ$8))+BI88)))</f>
        <v>0</v>
      </c>
      <c r="BK88" s="11" cm="1">
        <f t="array" ref="BK88">IF(BK$8=-1,BL88,IF(BK$8=99,BJ88,IF(BK$8=0,INDEX($E88:$K88,0,BK$6),(INDEX($E88:$K88,0,BK$8+1)-INDEX($E88:$K88,0,BK$8))/(INDEX($D$5:$J$5,0,BK$8+1)-INDEX($D$5:$J$5,0,BK$8))+BJ88)))</f>
        <v>0</v>
      </c>
      <c r="BL88" s="11" cm="1">
        <f t="array" ref="BL88">IF(BL$8=-1,BM88,IF(BL$8=99,BK88,IF(BL$8=0,INDEX($E88:$K88,0,BL$6),(INDEX($E88:$K88,0,BL$8+1)-INDEX($E88:$K88,0,BL$8))/(INDEX($D$5:$J$5,0,BL$8+1)-INDEX($D$5:$J$5,0,BL$8))+BK88)))</f>
        <v>0</v>
      </c>
      <c r="BM88" s="11" cm="1">
        <f t="array" ref="BM88">IF(BM$8=-1,BN88,IF(BM$8=99,BL88,IF(BM$8=0,INDEX($E88:$K88,0,BM$6),(INDEX($E88:$K88,0,BM$8+1)-INDEX($E88:$K88,0,BM$8))/(INDEX($D$5:$J$5,0,BM$8+1)-INDEX($D$5:$J$5,0,BM$8))+BL88)))</f>
        <v>0</v>
      </c>
      <c r="BN88" s="11" cm="1">
        <f t="array" ref="BN88">IF(BN$8=-1,BO88,IF(BN$8=99,BM88,IF(BN$8=0,INDEX($E88:$K88,0,BN$6),(INDEX($E88:$K88,0,BN$8+1)-INDEX($E88:$K88,0,BN$8))/(INDEX($D$5:$J$5,0,BN$8+1)-INDEX($D$5:$J$5,0,BN$8))+BM88)))</f>
        <v>0</v>
      </c>
      <c r="BO88" s="11" cm="1">
        <f t="array" ref="BO88">IF(BO$8=-1,BP88,IF(BO$8=99,BN88,IF(BO$8=0,INDEX($E88:$K88,0,BO$6),(INDEX($E88:$K88,0,BO$8+1)-INDEX($E88:$K88,0,BO$8))/(INDEX($D$5:$J$5,0,BO$8+1)-INDEX($D$5:$J$5,0,BO$8))+BN88)))</f>
        <v>0</v>
      </c>
      <c r="BP88" s="11" cm="1">
        <f t="array" ref="BP88">IF(BP$8=-1,BQ88,IF(BP$8=99,BO88,IF(BP$8=0,INDEX($E88:$K88,0,BP$6),(INDEX($E88:$K88,0,BP$8+1)-INDEX($E88:$K88,0,BP$8))/(INDEX($D$5:$J$5,0,BP$8+1)-INDEX($D$5:$J$5,0,BP$8))+BO88)))</f>
        <v>0</v>
      </c>
      <c r="BQ88" s="11" cm="1">
        <f t="array" ref="BQ88">IF(BQ$8=-1,BR88,IF(BQ$8=99,BP88,IF(BQ$8=0,INDEX($E88:$K88,0,BQ$6),(INDEX($E88:$K88,0,BQ$8+1)-INDEX($E88:$K88,0,BQ$8))/(INDEX($D$5:$J$5,0,BQ$8+1)-INDEX($D$5:$J$5,0,BQ$8))+BP88)))</f>
        <v>0</v>
      </c>
      <c r="BR88" s="11" cm="1">
        <f t="array" ref="BR88">IF(BR$8=-1,BS88,IF(BR$8=99,BQ88,IF(BR$8=0,INDEX($E88:$K88,0,BR$6),(INDEX($E88:$K88,0,BR$8+1)-INDEX($E88:$K88,0,BR$8))/(INDEX($D$5:$J$5,0,BR$8+1)-INDEX($D$5:$J$5,0,BR$8))+BQ88)))</f>
        <v>0</v>
      </c>
    </row>
    <row r="89" spans="1:70" ht="15">
      <c r="A89" t="s">
        <v>16</v>
      </c>
      <c r="B89" s="5" t="s">
        <v>242</v>
      </c>
      <c r="C89" s="75" t="str">
        <f t="shared" si="143"/>
        <v>Commercial - Other</v>
      </c>
      <c r="D89" s="75" t="s">
        <v>66</v>
      </c>
      <c r="E89" s="84">
        <f t="shared" si="148"/>
        <v>141.24997285391106</v>
      </c>
      <c r="F89" s="92">
        <f t="shared" si="148"/>
        <v>145.08075848468391</v>
      </c>
      <c r="G89" s="92">
        <f t="shared" si="144"/>
        <v>145.08075848468391</v>
      </c>
      <c r="H89" s="92">
        <f t="shared" si="149"/>
        <v>145.08075848468391</v>
      </c>
      <c r="I89" s="134">
        <f t="shared" si="145"/>
        <v>145.08075848468391</v>
      </c>
      <c r="J89" s="134">
        <f t="shared" si="146"/>
        <v>145.08075848468391</v>
      </c>
      <c r="K89" s="134">
        <f t="shared" si="147"/>
        <v>145.08075848468391</v>
      </c>
      <c r="L89" s="11" cm="1">
        <f t="array" ref="L89">IF(L$8=-1,M89,IF(L$8=99,I89,IF(L$8=0,INDEX($E89:$I89,0,L$6),(INDEX($E89:$I89,0,L$8+1)-INDEX($E89:$I89,0,L$8))/(INDEX($D$5:$H$5,0,L$8+1)-INDEX($D$5:$H$5,0,L$8))+I89)))</f>
        <v>141.24997285391106</v>
      </c>
      <c r="M89" s="11" cm="1">
        <f t="array" ref="M89">IF(M$8=-1,N89,IF(M$8=99,L89,IF(M$8=0,INDEX($E89:$I89,0,M$6),(INDEX($E89:$I89,0,M$8+1)-INDEX($E89:$I89,0,M$8))/(INDEX($D$5:$H$5,0,M$8+1)-INDEX($D$5:$H$5,0,M$8))+L89)))</f>
        <v>142.01612998006564</v>
      </c>
      <c r="N89" s="11" cm="1">
        <f t="array" ref="N89">IF(N$8=-1,O89,IF(N$8=99,M89,IF(N$8=0,INDEX($E89:$I89,0,N$6),(INDEX($E89:$I89,0,N$8+1)-INDEX($E89:$I89,0,N$8))/(INDEX($D$5:$H$5,0,N$8+1)-INDEX($D$5:$H$5,0,N$8))+M89)))</f>
        <v>142.78228710622022</v>
      </c>
      <c r="O89" s="11" cm="1">
        <f t="array" ref="O89">IF(O$8=-1,P89,IF(O$8=99,N89,IF(O$8=0,INDEX($E89:$I89,0,O$6),(INDEX($E89:$I89,0,O$8+1)-INDEX($E89:$I89,0,O$8))/(INDEX($D$5:$H$5,0,O$8+1)-INDEX($D$5:$H$5,0,O$8))+N89)))</f>
        <v>143.54844423237481</v>
      </c>
      <c r="P89" s="11" cm="1">
        <f t="array" ref="P89">IF(P$8=-1,Q89,IF(P$8=99,O89,IF(P$8=0,INDEX($E89:$I89,0,P$6),(INDEX($E89:$I89,0,P$8+1)-INDEX($E89:$I89,0,P$8))/(INDEX($D$5:$H$5,0,P$8+1)-INDEX($D$5:$H$5,0,P$8))+O89)))</f>
        <v>144.31460135852939</v>
      </c>
      <c r="Q89" s="11" cm="1">
        <f t="array" ref="Q89">IF(Q$8=-1,R89,IF(Q$8=99,P89,IF(Q$8=0,INDEX($E89:$I89,0,Q$6),(INDEX($E89:$I89,0,Q$8+1)-INDEX($E89:$I89,0,Q$8))/(INDEX($D$5:$H$5,0,Q$8+1)-INDEX($D$5:$H$5,0,Q$8))+P89)))</f>
        <v>145.08075848468391</v>
      </c>
      <c r="R89" s="11" cm="1">
        <f t="array" ref="R89">IF(R$8=-1,S89,IF(R$8=99,Q89,IF(R$8=0,INDEX($E89:$I89,0,R$6),(INDEX($E89:$I89,0,R$8+1)-INDEX($E89:$I89,0,R$8))/(INDEX($D$5:$H$5,0,R$8+1)-INDEX($D$5:$H$5,0,R$8))+Q89)))</f>
        <v>145.08075848468391</v>
      </c>
      <c r="S89" s="11" cm="1">
        <f t="array" ref="S89">IF(S$8=-1,T89,IF(S$8=99,R89,IF(S$8=0,INDEX($E89:$I89,0,S$6),(INDEX($E89:$I89,0,S$8+1)-INDEX($E89:$I89,0,S$8))/(INDEX($D$5:$H$5,0,S$8+1)-INDEX($D$5:$H$5,0,S$8))+R89)))</f>
        <v>145.08075848468391</v>
      </c>
      <c r="T89" s="11" cm="1">
        <f t="array" ref="T89">IF(T$8=-1,U89,IF(T$8=99,S89,IF(T$8=0,INDEX($E89:$I89,0,T$6),(INDEX($E89:$I89,0,T$8+1)-INDEX($E89:$I89,0,T$8))/(INDEX($D$5:$H$5,0,T$8+1)-INDEX($D$5:$H$5,0,T$8))+S89)))</f>
        <v>145.08075848468391</v>
      </c>
      <c r="U89" s="11" cm="1">
        <f t="array" ref="U89">IF(U$8=-1,V89,IF(U$8=99,T89,IF(U$8=0,INDEX($E89:$I89,0,U$6),(INDEX($E89:$I89,0,U$8+1)-INDEX($E89:$I89,0,U$8))/(INDEX($D$5:$H$5,0,U$8+1)-INDEX($D$5:$H$5,0,U$8))+T89)))</f>
        <v>145.08075848468391</v>
      </c>
      <c r="V89" s="11" cm="1">
        <f t="array" ref="V89">IF(V$8=-1,W89,IF(V$8=99,U89,IF(V$8=0,INDEX($E89:$I89,0,V$6),(INDEX($E89:$I89,0,V$8+1)-INDEX($E89:$I89,0,V$8))/(INDEX($D$5:$H$5,0,V$8+1)-INDEX($D$5:$H$5,0,V$8))+U89)))</f>
        <v>145.08075848468391</v>
      </c>
      <c r="W89" s="11" cm="1">
        <f t="array" ref="W89">IF(W$8=-1,X89,IF(W$8=99,V89,IF(W$8=0,INDEX($E89:$I89,0,W$6),(INDEX($E89:$I89,0,W$8+1)-INDEX($E89:$I89,0,W$8))/(INDEX($D$5:$H$5,0,W$8+1)-INDEX($D$5:$H$5,0,W$8))+V89)))</f>
        <v>145.08075848468391</v>
      </c>
      <c r="X89" s="11" cm="1">
        <f t="array" ref="X89">IF(X$8=-1,Y89,IF(X$8=99,W89,IF(X$8=0,INDEX($E89:$I89,0,X$6),(INDEX($E89:$I89,0,X$8+1)-INDEX($E89:$I89,0,X$8))/(INDEX($D$5:$H$5,0,X$8+1)-INDEX($D$5:$H$5,0,X$8))+W89)))</f>
        <v>145.08075848468391</v>
      </c>
      <c r="Y89" s="11" cm="1">
        <f t="array" ref="Y89">IF(Y$8=-1,Z89,IF(Y$8=99,X89,IF(Y$8=0,INDEX($E89:$I89,0,Y$6),(INDEX($E89:$I89,0,Y$8+1)-INDEX($E89:$I89,0,Y$8))/(INDEX($D$5:$H$5,0,Y$8+1)-INDEX($D$5:$H$5,0,Y$8))+X89)))</f>
        <v>145.08075848468391</v>
      </c>
      <c r="Z89" s="11" cm="1">
        <f t="array" ref="Z89">IF(Z$8=-1,AA89,IF(Z$8=99,Y89,IF(Z$8=0,INDEX($E89:$I89,0,Z$6),(INDEX($E89:$I89,0,Z$8+1)-INDEX($E89:$I89,0,Z$8))/(INDEX($D$5:$H$5,0,Z$8+1)-INDEX($D$5:$H$5,0,Z$8))+Y89)))</f>
        <v>145.08075848468391</v>
      </c>
      <c r="AA89" s="11" cm="1">
        <f t="array" ref="AA89">IF(AA$8=-1,AB89,IF(AA$8=99,Z89,IF(AA$8=0,INDEX($E89:$I89,0,AA$6),(INDEX($E89:$I89,0,AA$8+1)-INDEX($E89:$I89,0,AA$8))/(INDEX($D$5:$H$5,0,AA$8+1)-INDEX($D$5:$H$5,0,AA$8))+Z89)))</f>
        <v>145.08075848468391</v>
      </c>
      <c r="AB89" s="11" cm="1">
        <f t="array" ref="AB89">IF(AB$8=-1,AC89,IF(AB$8=99,AA89,IF(AB$8=0,INDEX($E89:$I89,0,AB$6),(INDEX($E89:$I89,0,AB$8+1)-INDEX($E89:$I89,0,AB$8))/(INDEX($D$5:$H$5,0,AB$8+1)-INDEX($D$5:$H$5,0,AB$8))+AA89)))</f>
        <v>145.08075848468391</v>
      </c>
      <c r="AC89" s="11" cm="1">
        <f t="array" ref="AC89">IF(AC$8=-1,AD89,IF(AC$8=99,AB89,IF(AC$8=0,INDEX($E89:$I89,0,AC$6),(INDEX($E89:$I89,0,AC$8+1)-INDEX($E89:$I89,0,AC$8))/(INDEX($D$5:$H$5,0,AC$8+1)-INDEX($D$5:$H$5,0,AC$8))+AB89)))</f>
        <v>145.08075848468391</v>
      </c>
      <c r="AD89" s="11" cm="1">
        <f t="array" ref="AD89">IF(AD$8=-1,AE89,IF(AD$8=99,AC89,IF(AD$8=0,INDEX($E89:$I89,0,AD$6),(INDEX($E89:$I89,0,AD$8+1)-INDEX($E89:$I89,0,AD$8))/(INDEX($D$5:$H$5,0,AD$8+1)-INDEX($D$5:$H$5,0,AD$8))+AC89)))</f>
        <v>145.08075848468391</v>
      </c>
      <c r="AE89" s="11" cm="1">
        <f t="array" ref="AE89">IF(AE$8=-1,AF89,IF(AE$8=99,AD89,IF(AE$8=0,INDEX($E89:$I89,0,AE$6),(INDEX($E89:$I89,0,AE$8+1)-INDEX($E89:$I89,0,AE$8))/(INDEX($D$5:$H$5,0,AE$8+1)-INDEX($D$5:$H$5,0,AE$8))+AD89)))</f>
        <v>145.08075848468391</v>
      </c>
      <c r="AF89" s="11" cm="1">
        <f t="array" ref="AF89">IF(AF$8=-1,AG89,IF(AF$8=99,AE89,IF(AF$8=0,INDEX($E89:$I89,0,AF$6),(INDEX($E89:$I89,0,AF$8+1)-INDEX($E89:$I89,0,AF$8))/(INDEX($D$5:$H$5,0,AF$8+1)-INDEX($D$5:$H$5,0,AF$8))+AE89)))</f>
        <v>145.08075848468391</v>
      </c>
      <c r="AG89" s="11" cm="1">
        <f t="array" ref="AG89">IF(AG$8=-1,AH89,IF(AG$8=99,AF89,IF(AG$8=0,INDEX($E89:$I89,0,AG$6),(INDEX($E89:$I89,0,AG$8+1)-INDEX($E89:$I89,0,AG$8))/(INDEX($D$5:$H$5,0,AG$8+1)-INDEX($D$5:$H$5,0,AG$8))+AF89)))</f>
        <v>145.08075848468391</v>
      </c>
      <c r="AH89" s="11" cm="1">
        <f t="array" ref="AH89">IF(AH$8=-1,AI89,IF(AH$8=99,AG89,IF(AH$8=0,INDEX($E89:$I89,0,AH$6),(INDEX($E89:$I89,0,AH$8+1)-INDEX($E89:$I89,0,AH$8))/(INDEX($D$5:$H$5,0,AH$8+1)-INDEX($D$5:$H$5,0,AH$8))+AG89)))</f>
        <v>145.08075848468391</v>
      </c>
      <c r="AI89" s="11" cm="1">
        <f t="array" ref="AI89">IF(AI$8=-1,AJ89,IF(AI$8=99,AH89,IF(AI$8=0,INDEX($E89:$I89,0,AI$6),(INDEX($E89:$I89,0,AI$8+1)-INDEX($E89:$I89,0,AI$8))/(INDEX($D$5:$H$5,0,AI$8+1)-INDEX($D$5:$H$5,0,AI$8))+AH89)))</f>
        <v>145.08075848468391</v>
      </c>
      <c r="AJ89" s="11" cm="1">
        <f t="array" ref="AJ89">IF(AJ$8=-1,AK89,IF(AJ$8=99,AI89,IF(AJ$8=0,INDEX($E89:$I89,0,AJ$6),(INDEX($E89:$I89,0,AJ$8+1)-INDEX($E89:$I89,0,AJ$8))/(INDEX($D$5:$H$5,0,AJ$8+1)-INDEX($D$5:$H$5,0,AJ$8))+AI89)))</f>
        <v>145.08075848468391</v>
      </c>
      <c r="AK89" s="11" cm="1">
        <f t="array" ref="AK89">IF(AK$8=-1,AL89,IF(AK$8=99,AJ89,IF(AK$8=0,INDEX($E89:$I89,0,AK$6),(INDEX($E89:$I89,0,AK$8+1)-INDEX($E89:$I89,0,AK$8))/(INDEX($D$5:$H$5,0,AK$8+1)-INDEX($D$5:$H$5,0,AK$8))+AJ89)))</f>
        <v>145.08075848468391</v>
      </c>
      <c r="AL89" s="11" cm="1">
        <f t="array" ref="AL89">IF(AL$8=-1,AM89,IF(AL$8=99,AK89,IF(AL$8=0,INDEX($E89:$I89,0,AL$6),(INDEX($E89:$I89,0,AL$8+1)-INDEX($E89:$I89,0,AL$8))/(INDEX($D$5:$H$5,0,AL$8+1)-INDEX($D$5:$H$5,0,AL$8))+AK89)))</f>
        <v>145.08075848468391</v>
      </c>
      <c r="AM89" s="11" cm="1">
        <f t="array" ref="AM89">IF(AM$8=-1,AN89,IF(AM$8=99,AL89,IF(AM$8=0,INDEX($E89:$I89,0,AM$6),(INDEX($E89:$I89,0,AM$8+1)-INDEX($E89:$I89,0,AM$8))/(INDEX($D$5:$H$5,0,AM$8+1)-INDEX($D$5:$H$5,0,AM$8))+AL89)))</f>
        <v>145.08075848468391</v>
      </c>
      <c r="AN89" s="11" cm="1">
        <f t="array" ref="AN89">IF(AN$8=-1,AO89,IF(AN$8=99,AM89,IF(AN$8=0,INDEX($E89:$I89,0,AN$6),(INDEX($E89:$I89,0,AN$8+1)-INDEX($E89:$I89,0,AN$8))/(INDEX($D$5:$H$5,0,AN$8+1)-INDEX($D$5:$H$5,0,AN$8))+AM89)))</f>
        <v>145.08075848468391</v>
      </c>
      <c r="AO89" s="11" cm="1">
        <f t="array" ref="AO89">IF(AO$8=-1,AP89,IF(AO$8=99,AN89,IF(AO$8=0,INDEX($E89:$K89,0,AO$6),(INDEX($E89:$K89,0,AO$8+1)-INDEX($E89:$K89,0,AO$8))/(INDEX($D$5:$J$5,0,AO$8+1)-INDEX($D$5:$J$5,0,AO$8))+AN89)))</f>
        <v>145.08075848468391</v>
      </c>
      <c r="AP89" s="11" cm="1">
        <f t="array" ref="AP89">IF(AP$8=-1,AQ89,IF(AP$8=99,AO89,IF(AP$8=0,INDEX($E89:$K89,0,AP$6),(INDEX($E89:$K89,0,AP$8+1)-INDEX($E89:$K89,0,AP$8))/(INDEX($D$5:$J$5,0,AP$8+1)-INDEX($D$5:$J$5,0,AP$8))+AO89)))</f>
        <v>145.08075848468391</v>
      </c>
      <c r="AQ89" s="11" cm="1">
        <f t="array" ref="AQ89">IF(AQ$8=-1,AR89,IF(AQ$8=99,AP89,IF(AQ$8=0,INDEX($E89:$K89,0,AQ$6),(INDEX($E89:$K89,0,AQ$8+1)-INDEX($E89:$K89,0,AQ$8))/(INDEX($D$5:$J$5,0,AQ$8+1)-INDEX($D$5:$J$5,0,AQ$8))+AP89)))</f>
        <v>145.08075848468391</v>
      </c>
      <c r="AR89" s="11" cm="1">
        <f t="array" ref="AR89">IF(AR$8=-1,AS89,IF(AR$8=99,AQ89,IF(AR$8=0,INDEX($E89:$K89,0,AR$6),(INDEX($E89:$K89,0,AR$8+1)-INDEX($E89:$K89,0,AR$8))/(INDEX($D$5:$J$5,0,AR$8+1)-INDEX($D$5:$J$5,0,AR$8))+AQ89)))</f>
        <v>145.08075848468391</v>
      </c>
      <c r="AS89" s="11" cm="1">
        <f t="array" ref="AS89">IF(AS$8=-1,AT89,IF(AS$8=99,AR89,IF(AS$8=0,INDEX($E89:$K89,0,AS$6),(INDEX($E89:$K89,0,AS$8+1)-INDEX($E89:$K89,0,AS$8))/(INDEX($D$5:$J$5,0,AS$8+1)-INDEX($D$5:$J$5,0,AS$8))+AR89)))</f>
        <v>145.08075848468391</v>
      </c>
      <c r="AT89" s="11" cm="1">
        <f t="array" ref="AT89">IF(AT$8=-1,AU89,IF(AT$8=99,AS89,IF(AT$8=0,INDEX($E89:$K89,0,AT$6),(INDEX($E89:$K89,0,AT$8+1)-INDEX($E89:$K89,0,AT$8))/(INDEX($D$5:$J$5,0,AT$8+1)-INDEX($D$5:$J$5,0,AT$8))+AS89)))</f>
        <v>145.08075848468391</v>
      </c>
      <c r="AU89" s="11" cm="1">
        <f t="array" ref="AU89">IF(AU$8=-1,AV89,IF(AU$8=99,AT89,IF(AU$8=0,INDEX($E89:$K89,0,AU$6),(INDEX($E89:$K89,0,AU$8+1)-INDEX($E89:$K89,0,AU$8))/(INDEX($D$5:$J$5,0,AU$8+1)-INDEX($D$5:$J$5,0,AU$8))+AT89)))</f>
        <v>145.08075848468391</v>
      </c>
      <c r="AV89" s="11" cm="1">
        <f t="array" ref="AV89">IF(AV$8=-1,AW89,IF(AV$8=99,AU89,IF(AV$8=0,INDEX($E89:$K89,0,AV$6),(INDEX($E89:$K89,0,AV$8+1)-INDEX($E89:$K89,0,AV$8))/(INDEX($D$5:$J$5,0,AV$8+1)-INDEX($D$5:$J$5,0,AV$8))+AU89)))</f>
        <v>145.08075848468391</v>
      </c>
      <c r="AW89" s="11" cm="1">
        <f t="array" ref="AW89">IF(AW$8=-1,AX89,IF(AW$8=99,AV89,IF(AW$8=0,INDEX($E89:$K89,0,AW$6),(INDEX($E89:$K89,0,AW$8+1)-INDEX($E89:$K89,0,AW$8))/(INDEX($D$5:$J$5,0,AW$8+1)-INDEX($D$5:$J$5,0,AW$8))+AV89)))</f>
        <v>145.08075848468391</v>
      </c>
      <c r="AX89" s="11" cm="1">
        <f t="array" ref="AX89">IF(AX$8=-1,AY89,IF(AX$8=99,AW89,IF(AX$8=0,INDEX($E89:$K89,0,AX$6),(INDEX($E89:$K89,0,AX$8+1)-INDEX($E89:$K89,0,AX$8))/(INDEX($D$5:$J$5,0,AX$8+1)-INDEX($D$5:$J$5,0,AX$8))+AW89)))</f>
        <v>145.08075848468391</v>
      </c>
      <c r="AY89" s="11" cm="1">
        <f t="array" ref="AY89">IF(AY$8=-1,AZ89,IF(AY$8=99,AX89,IF(AY$8=0,INDEX($E89:$K89,0,AY$6),(INDEX($E89:$K89,0,AY$8+1)-INDEX($E89:$K89,0,AY$8))/(INDEX($D$5:$J$5,0,AY$8+1)-INDEX($D$5:$J$5,0,AY$8))+AX89)))</f>
        <v>145.08075848468391</v>
      </c>
      <c r="AZ89" s="11" cm="1">
        <f t="array" ref="AZ89">IF(AZ$8=-1,BA89,IF(AZ$8=99,AY89,IF(AZ$8=0,INDEX($E89:$K89,0,AZ$6),(INDEX($E89:$K89,0,AZ$8+1)-INDEX($E89:$K89,0,AZ$8))/(INDEX($D$5:$J$5,0,AZ$8+1)-INDEX($D$5:$J$5,0,AZ$8))+AY89)))</f>
        <v>145.08075848468391</v>
      </c>
      <c r="BA89" s="11" cm="1">
        <f t="array" ref="BA89">IF(BA$8=-1,BB89,IF(BA$8=99,AZ89,IF(BA$8=0,INDEX($E89:$K89,0,BA$6),(INDEX($E89:$K89,0,BA$8+1)-INDEX($E89:$K89,0,BA$8))/(INDEX($D$5:$J$5,0,BA$8+1)-INDEX($D$5:$J$5,0,BA$8))+AZ89)))</f>
        <v>145.08075848468391</v>
      </c>
      <c r="BB89" s="11" cm="1">
        <f t="array" ref="BB89">IF(BB$8=-1,BC89,IF(BB$8=99,BA89,IF(BB$8=0,INDEX($E89:$K89,0,BB$6),(INDEX($E89:$K89,0,BB$8+1)-INDEX($E89:$K89,0,BB$8))/(INDEX($D$5:$J$5,0,BB$8+1)-INDEX($D$5:$J$5,0,BB$8))+BA89)))</f>
        <v>145.08075848468391</v>
      </c>
      <c r="BC89" s="11" cm="1">
        <f t="array" ref="BC89">IF(BC$8=-1,BD89,IF(BC$8=99,BB89,IF(BC$8=0,INDEX($E89:$K89,0,BC$6),(INDEX($E89:$K89,0,BC$8+1)-INDEX($E89:$K89,0,BC$8))/(INDEX($D$5:$J$5,0,BC$8+1)-INDEX($D$5:$J$5,0,BC$8))+BB89)))</f>
        <v>145.08075848468391</v>
      </c>
      <c r="BD89" s="11" cm="1">
        <f t="array" ref="BD89">IF(BD$8=-1,BE89,IF(BD$8=99,BC89,IF(BD$8=0,INDEX($E89:$K89,0,BD$6),(INDEX($E89:$K89,0,BD$8+1)-INDEX($E89:$K89,0,BD$8))/(INDEX($D$5:$J$5,0,BD$8+1)-INDEX($D$5:$J$5,0,BD$8))+BC89)))</f>
        <v>145.08075848468391</v>
      </c>
      <c r="BE89" s="11" cm="1">
        <f t="array" ref="BE89">IF(BE$8=-1,BF89,IF(BE$8=99,BD89,IF(BE$8=0,INDEX($E89:$K89,0,BE$6),(INDEX($E89:$K89,0,BE$8+1)-INDEX($E89:$K89,0,BE$8))/(INDEX($D$5:$J$5,0,BE$8+1)-INDEX($D$5:$J$5,0,BE$8))+BD89)))</f>
        <v>145.08075848468391</v>
      </c>
      <c r="BF89" s="11" cm="1">
        <f t="array" ref="BF89">IF(BF$8=-1,BG89,IF(BF$8=99,BE89,IF(BF$8=0,INDEX($E89:$K89,0,BF$6),(INDEX($E89:$K89,0,BF$8+1)-INDEX($E89:$K89,0,BF$8))/(INDEX($D$5:$J$5,0,BF$8+1)-INDEX($D$5:$J$5,0,BF$8))+BE89)))</f>
        <v>145.08075848468391</v>
      </c>
      <c r="BG89" s="11" cm="1">
        <f t="array" ref="BG89">IF(BG$8=-1,BH89,IF(BG$8=99,BF89,IF(BG$8=0,INDEX($E89:$K89,0,BG$6),(INDEX($E89:$K89,0,BG$8+1)-INDEX($E89:$K89,0,BG$8))/(INDEX($D$5:$J$5,0,BG$8+1)-INDEX($D$5:$J$5,0,BG$8))+BF89)))</f>
        <v>145.08075848468391</v>
      </c>
      <c r="BH89" s="11" cm="1">
        <f t="array" ref="BH89">IF(BH$8=-1,BI89,IF(BH$8=99,BG89,IF(BH$8=0,INDEX($E89:$K89,0,BH$6),(INDEX($E89:$K89,0,BH$8+1)-INDEX($E89:$K89,0,BH$8))/(INDEX($D$5:$J$5,0,BH$8+1)-INDEX($D$5:$J$5,0,BH$8))+BG89)))</f>
        <v>145.08075848468391</v>
      </c>
      <c r="BI89" s="11" cm="1">
        <f t="array" ref="BI89">IF(BI$8=-1,BJ89,IF(BI$8=99,BH89,IF(BI$8=0,INDEX($E89:$K89,0,BI$6),(INDEX($E89:$K89,0,BI$8+1)-INDEX($E89:$K89,0,BI$8))/(INDEX($D$5:$J$5,0,BI$8+1)-INDEX($D$5:$J$5,0,BI$8))+BH89)))</f>
        <v>145.08075848468391</v>
      </c>
      <c r="BJ89" s="11" cm="1">
        <f t="array" ref="BJ89">IF(BJ$8=-1,BK89,IF(BJ$8=99,BI89,IF(BJ$8=0,INDEX($E89:$K89,0,BJ$6),(INDEX($E89:$K89,0,BJ$8+1)-INDEX($E89:$K89,0,BJ$8))/(INDEX($D$5:$J$5,0,BJ$8+1)-INDEX($D$5:$J$5,0,BJ$8))+BI89)))</f>
        <v>145.08075848468391</v>
      </c>
      <c r="BK89" s="11" cm="1">
        <f t="array" ref="BK89">IF(BK$8=-1,BL89,IF(BK$8=99,BJ89,IF(BK$8=0,INDEX($E89:$K89,0,BK$6),(INDEX($E89:$K89,0,BK$8+1)-INDEX($E89:$K89,0,BK$8))/(INDEX($D$5:$J$5,0,BK$8+1)-INDEX($D$5:$J$5,0,BK$8))+BJ89)))</f>
        <v>145.08075848468391</v>
      </c>
      <c r="BL89" s="11" cm="1">
        <f t="array" ref="BL89">IF(BL$8=-1,BM89,IF(BL$8=99,BK89,IF(BL$8=0,INDEX($E89:$K89,0,BL$6),(INDEX($E89:$K89,0,BL$8+1)-INDEX($E89:$K89,0,BL$8))/(INDEX($D$5:$J$5,0,BL$8+1)-INDEX($D$5:$J$5,0,BL$8))+BK89)))</f>
        <v>145.08075848468391</v>
      </c>
      <c r="BM89" s="11" cm="1">
        <f t="array" ref="BM89">IF(BM$8=-1,BN89,IF(BM$8=99,BL89,IF(BM$8=0,INDEX($E89:$K89,0,BM$6),(INDEX($E89:$K89,0,BM$8+1)-INDEX($E89:$K89,0,BM$8))/(INDEX($D$5:$J$5,0,BM$8+1)-INDEX($D$5:$J$5,0,BM$8))+BL89)))</f>
        <v>145.08075848468391</v>
      </c>
      <c r="BN89" s="11" cm="1">
        <f t="array" ref="BN89">IF(BN$8=-1,BO89,IF(BN$8=99,BM89,IF(BN$8=0,INDEX($E89:$K89,0,BN$6),(INDEX($E89:$K89,0,BN$8+1)-INDEX($E89:$K89,0,BN$8))/(INDEX($D$5:$J$5,0,BN$8+1)-INDEX($D$5:$J$5,0,BN$8))+BM89)))</f>
        <v>145.08075848468391</v>
      </c>
      <c r="BO89" s="11" cm="1">
        <f t="array" ref="BO89">IF(BO$8=-1,BP89,IF(BO$8=99,BN89,IF(BO$8=0,INDEX($E89:$K89,0,BO$6),(INDEX($E89:$K89,0,BO$8+1)-INDEX($E89:$K89,0,BO$8))/(INDEX($D$5:$J$5,0,BO$8+1)-INDEX($D$5:$J$5,0,BO$8))+BN89)))</f>
        <v>145.08075848468391</v>
      </c>
      <c r="BP89" s="11" cm="1">
        <f t="array" ref="BP89">IF(BP$8=-1,BQ89,IF(BP$8=99,BO89,IF(BP$8=0,INDEX($E89:$K89,0,BP$6),(INDEX($E89:$K89,0,BP$8+1)-INDEX($E89:$K89,0,BP$8))/(INDEX($D$5:$J$5,0,BP$8+1)-INDEX($D$5:$J$5,0,BP$8))+BO89)))</f>
        <v>145.08075848468391</v>
      </c>
      <c r="BQ89" s="11" cm="1">
        <f t="array" ref="BQ89">IF(BQ$8=-1,BR89,IF(BQ$8=99,BP89,IF(BQ$8=0,INDEX($E89:$K89,0,BQ$6),(INDEX($E89:$K89,0,BQ$8+1)-INDEX($E89:$K89,0,BQ$8))/(INDEX($D$5:$J$5,0,BQ$8+1)-INDEX($D$5:$J$5,0,BQ$8))+BP89)))</f>
        <v>145.08075848468391</v>
      </c>
      <c r="BR89" s="11" cm="1">
        <f t="array" ref="BR89">IF(BR$8=-1,BS89,IF(BR$8=99,BQ89,IF(BR$8=0,INDEX($E89:$K89,0,BR$6),(INDEX($E89:$K89,0,BR$8+1)-INDEX($E89:$K89,0,BR$8))/(INDEX($D$5:$J$5,0,BR$8+1)-INDEX($D$5:$J$5,0,BR$8))+BQ89)))</f>
        <v>145.08075848468391</v>
      </c>
    </row>
    <row r="90" spans="1:70" ht="15">
      <c r="A90" t="s">
        <v>16</v>
      </c>
      <c r="B90" s="5"/>
      <c r="I90" s="135"/>
      <c r="J90" s="135"/>
      <c r="K90" s="135"/>
      <c r="M90" s="75"/>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row>
    <row r="91" spans="1:70" ht="15.75" thickBot="1">
      <c r="A91" t="s">
        <v>16</v>
      </c>
      <c r="B91" s="91" t="s">
        <v>469</v>
      </c>
      <c r="C91" s="72"/>
      <c r="D91" s="73"/>
      <c r="H91" s="158">
        <f>VLOOKUP($N$57,$M$59:$Q$66,4)</f>
        <v>0</v>
      </c>
      <c r="I91" s="159">
        <f>VLOOKUP($N$57,$M$59:$Q$66,5)</f>
        <v>0</v>
      </c>
      <c r="J91" s="159">
        <f t="shared" si="150" ref="J91:K91">VLOOKUP($N$57,$M$59:$Q$66,5)</f>
        <v>0</v>
      </c>
      <c r="K91" s="159">
        <f t="shared" si="150"/>
        <v>0</v>
      </c>
      <c r="M91" s="75"/>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c r="BP91" s="11"/>
      <c r="BQ91" s="11"/>
      <c r="BR91" s="11"/>
    </row>
    <row r="92" spans="1:70" ht="15">
      <c r="A92" t="s">
        <v>16</v>
      </c>
      <c r="B92" s="5" t="str">
        <f>B70</f>
        <v>CEC</v>
      </c>
      <c r="C92" s="75" t="str">
        <f t="shared" si="151" ref="C92:C100">C81</f>
        <v>Commercial - Cooling</v>
      </c>
      <c r="D92" s="75" t="s">
        <v>66</v>
      </c>
      <c r="E92" s="84">
        <f>E81</f>
        <v>1051.567060091289</v>
      </c>
      <c r="F92" s="92">
        <f>F81</f>
        <v>922.3353159822409</v>
      </c>
      <c r="G92" s="92">
        <f t="shared" si="152" ref="G92:G100">F92</f>
        <v>922.3353159822409</v>
      </c>
      <c r="H92" s="92">
        <f>IF($N$57=-1,G92,((F92-E92)*2/5+E92)*(1+$H$91))</f>
        <v>922.3353159822409</v>
      </c>
      <c r="I92" s="134">
        <f>H92</f>
        <v>922.3353159822409</v>
      </c>
      <c r="J92" s="134">
        <f t="shared" si="153" ref="J92:K100">I92</f>
        <v>922.3353159822409</v>
      </c>
      <c r="K92" s="134">
        <f t="shared" si="153"/>
        <v>922.3353159822409</v>
      </c>
      <c r="L92" s="11" cm="1">
        <f t="array" ref="L92">IF(L$8=-1,M92,IF(L$8=99,I92,IF(L$8=0,INDEX($E92:$I92,0,L$6),(INDEX($E92:$I92,0,L$8+1)-INDEX($E92:$I92,0,L$8))/(INDEX($D$5:$H$5,0,L$8+1)-INDEX($D$5:$H$5,0,L$8))+I92)))</f>
        <v>1051.567060091289</v>
      </c>
      <c r="M92" s="11" cm="1">
        <f t="array" ref="M92">IF(M$8=-1,N92,IF(M$8=99,L92,IF(M$8=0,INDEX($E92:$I92,0,M$6),(INDEX($E92:$I92,0,M$8+1)-INDEX($E92:$I92,0,M$8))/(INDEX($D$5:$H$5,0,M$8+1)-INDEX($D$5:$H$5,0,M$8))+L92)))</f>
        <v>1025.7207112694794</v>
      </c>
      <c r="N92" s="11" cm="1">
        <f t="array" ref="N92">IF(N$8=-1,O92,IF(N$8=99,M92,IF(N$8=0,INDEX($E92:$I92,0,N$6),(INDEX($E92:$I92,0,N$8+1)-INDEX($E92:$I92,0,N$8))/(INDEX($D$5:$H$5,0,N$8+1)-INDEX($D$5:$H$5,0,N$8))+M92)))</f>
        <v>999.87436244766968</v>
      </c>
      <c r="O92" s="11" cm="1">
        <f t="array" ref="O92">IF(O$8=-1,P92,IF(O$8=99,N92,IF(O$8=0,INDEX($E92:$I92,0,O$6),(INDEX($E92:$I92,0,O$8+1)-INDEX($E92:$I92,0,O$8))/(INDEX($D$5:$H$5,0,O$8+1)-INDEX($D$5:$H$5,0,O$8))+N92)))</f>
        <v>974.02801362586001</v>
      </c>
      <c r="P92" s="11" cm="1">
        <f t="array" ref="P92">IF(P$8=-1,Q92,IF(P$8=99,O92,IF(P$8=0,INDEX($E92:$I92,0,P$6),(INDEX($E92:$I92,0,P$8+1)-INDEX($E92:$I92,0,P$8))/(INDEX($D$5:$H$5,0,P$8+1)-INDEX($D$5:$H$5,0,P$8))+O92)))</f>
        <v>948.18166480405034</v>
      </c>
      <c r="Q92" s="11" cm="1">
        <f t="array" ref="Q92">IF(Q$8=-1,R92,IF(Q$8=99,P92,IF(Q$8=0,INDEX($E92:$I92,0,Q$6),(INDEX($E92:$I92,0,Q$8+1)-INDEX($E92:$I92,0,Q$8))/(INDEX($D$5:$H$5,0,Q$8+1)-INDEX($D$5:$H$5,0,Q$8))+P92)))</f>
        <v>922.3353159822409</v>
      </c>
      <c r="R92" s="11" cm="1">
        <f t="array" ref="R92">IF(R$8=-1,S92,IF(R$8=99,Q92,IF(R$8=0,INDEX($E92:$I92,0,R$6),(INDEX($E92:$I92,0,R$8+1)-INDEX($E92:$I92,0,R$8))/(INDEX($D$5:$H$5,0,R$8+1)-INDEX($D$5:$H$5,0,R$8))+Q92)))</f>
        <v>922.3353159822409</v>
      </c>
      <c r="S92" s="11" cm="1">
        <f t="array" ref="S92">IF(S$8=-1,T92,IF(S$8=99,R92,IF(S$8=0,INDEX($E92:$I92,0,S$6),(INDEX($E92:$I92,0,S$8+1)-INDEX($E92:$I92,0,S$8))/(INDEX($D$5:$H$5,0,S$8+1)-INDEX($D$5:$H$5,0,S$8))+R92)))</f>
        <v>922.3353159822409</v>
      </c>
      <c r="T92" s="11" cm="1">
        <f t="array" ref="T92">IF(T$8=-1,U92,IF(T$8=99,S92,IF(T$8=0,INDEX($E92:$I92,0,T$6),(INDEX($E92:$I92,0,T$8+1)-INDEX($E92:$I92,0,T$8))/(INDEX($D$5:$H$5,0,T$8+1)-INDEX($D$5:$H$5,0,T$8))+S92)))</f>
        <v>922.3353159822409</v>
      </c>
      <c r="U92" s="11" cm="1">
        <f t="array" ref="U92">IF(U$8=-1,V92,IF(U$8=99,T92,IF(U$8=0,INDEX($E92:$I92,0,U$6),(INDEX($E92:$I92,0,U$8+1)-INDEX($E92:$I92,0,U$8))/(INDEX($D$5:$H$5,0,U$8+1)-INDEX($D$5:$H$5,0,U$8))+T92)))</f>
        <v>922.3353159822409</v>
      </c>
      <c r="V92" s="11" cm="1">
        <f t="array" ref="V92">IF(V$8=-1,W92,IF(V$8=99,U92,IF(V$8=0,INDEX($E92:$I92,0,V$6),(INDEX($E92:$I92,0,V$8+1)-INDEX($E92:$I92,0,V$8))/(INDEX($D$5:$H$5,0,V$8+1)-INDEX($D$5:$H$5,0,V$8))+U92)))</f>
        <v>922.3353159822409</v>
      </c>
      <c r="W92" s="11" cm="1">
        <f t="array" ref="W92">IF(W$8=-1,X92,IF(W$8=99,V92,IF(W$8=0,INDEX($E92:$I92,0,W$6),(INDEX($E92:$I92,0,W$8+1)-INDEX($E92:$I92,0,W$8))/(INDEX($D$5:$H$5,0,W$8+1)-INDEX($D$5:$H$5,0,W$8))+V92)))</f>
        <v>922.3353159822409</v>
      </c>
      <c r="X92" s="11" cm="1">
        <f t="array" ref="X92">IF(X$8=-1,Y92,IF(X$8=99,W92,IF(X$8=0,INDEX($E92:$I92,0,X$6),(INDEX($E92:$I92,0,X$8+1)-INDEX($E92:$I92,0,X$8))/(INDEX($D$5:$H$5,0,X$8+1)-INDEX($D$5:$H$5,0,X$8))+W92)))</f>
        <v>922.3353159822409</v>
      </c>
      <c r="Y92" s="11" cm="1">
        <f t="array" ref="Y92">IF(Y$8=-1,Z92,IF(Y$8=99,X92,IF(Y$8=0,INDEX($E92:$I92,0,Y$6),(INDEX($E92:$I92,0,Y$8+1)-INDEX($E92:$I92,0,Y$8))/(INDEX($D$5:$H$5,0,Y$8+1)-INDEX($D$5:$H$5,0,Y$8))+X92)))</f>
        <v>922.3353159822409</v>
      </c>
      <c r="Z92" s="11" cm="1">
        <f t="array" ref="Z92">IF(Z$8=-1,AA92,IF(Z$8=99,Y92,IF(Z$8=0,INDEX($E92:$I92,0,Z$6),(INDEX($E92:$I92,0,Z$8+1)-INDEX($E92:$I92,0,Z$8))/(INDEX($D$5:$H$5,0,Z$8+1)-INDEX($D$5:$H$5,0,Z$8))+Y92)))</f>
        <v>922.3353159822409</v>
      </c>
      <c r="AA92" s="11" cm="1">
        <f t="array" ref="AA92">IF(AA$8=-1,AB92,IF(AA$8=99,Z92,IF(AA$8=0,INDEX($E92:$I92,0,AA$6),(INDEX($E92:$I92,0,AA$8+1)-INDEX($E92:$I92,0,AA$8))/(INDEX($D$5:$H$5,0,AA$8+1)-INDEX($D$5:$H$5,0,AA$8))+Z92)))</f>
        <v>922.3353159822409</v>
      </c>
      <c r="AB92" s="11" cm="1">
        <f t="array" ref="AB92">IF(AB$8=-1,AC92,IF(AB$8=99,AA92,IF(AB$8=0,INDEX($E92:$I92,0,AB$6),(INDEX($E92:$I92,0,AB$8+1)-INDEX($E92:$I92,0,AB$8))/(INDEX($D$5:$H$5,0,AB$8+1)-INDEX($D$5:$H$5,0,AB$8))+AA92)))</f>
        <v>922.3353159822409</v>
      </c>
      <c r="AC92" s="11" cm="1">
        <f t="array" ref="AC92">IF(AC$8=-1,AD92,IF(AC$8=99,AB92,IF(AC$8=0,INDEX($E92:$I92,0,AC$6),(INDEX($E92:$I92,0,AC$8+1)-INDEX($E92:$I92,0,AC$8))/(INDEX($D$5:$H$5,0,AC$8+1)-INDEX($D$5:$H$5,0,AC$8))+AB92)))</f>
        <v>922.3353159822409</v>
      </c>
      <c r="AD92" s="11" cm="1">
        <f t="array" ref="AD92">IF(AD$8=-1,AE92,IF(AD$8=99,AC92,IF(AD$8=0,INDEX($E92:$I92,0,AD$6),(INDEX($E92:$I92,0,AD$8+1)-INDEX($E92:$I92,0,AD$8))/(INDEX($D$5:$H$5,0,AD$8+1)-INDEX($D$5:$H$5,0,AD$8))+AC92)))</f>
        <v>922.3353159822409</v>
      </c>
      <c r="AE92" s="11" cm="1">
        <f t="array" ref="AE92">IF(AE$8=-1,AF92,IF(AE$8=99,AD92,IF(AE$8=0,INDEX($E92:$I92,0,AE$6),(INDEX($E92:$I92,0,AE$8+1)-INDEX($E92:$I92,0,AE$8))/(INDEX($D$5:$H$5,0,AE$8+1)-INDEX($D$5:$H$5,0,AE$8))+AD92)))</f>
        <v>922.3353159822409</v>
      </c>
      <c r="AF92" s="11" cm="1">
        <f t="array" ref="AF92">IF(AF$8=-1,AG92,IF(AF$8=99,AE92,IF(AF$8=0,INDEX($E92:$I92,0,AF$6),(INDEX($E92:$I92,0,AF$8+1)-INDEX($E92:$I92,0,AF$8))/(INDEX($D$5:$H$5,0,AF$8+1)-INDEX($D$5:$H$5,0,AF$8))+AE92)))</f>
        <v>922.3353159822409</v>
      </c>
      <c r="AG92" s="11" cm="1">
        <f t="array" ref="AG92">IF(AG$8=-1,AH92,IF(AG$8=99,AF92,IF(AG$8=0,INDEX($E92:$I92,0,AG$6),(INDEX($E92:$I92,0,AG$8+1)-INDEX($E92:$I92,0,AG$8))/(INDEX($D$5:$H$5,0,AG$8+1)-INDEX($D$5:$H$5,0,AG$8))+AF92)))</f>
        <v>922.3353159822409</v>
      </c>
      <c r="AH92" s="11" cm="1">
        <f t="array" ref="AH92">IF(AH$8=-1,AI92,IF(AH$8=99,AG92,IF(AH$8=0,INDEX($E92:$I92,0,AH$6),(INDEX($E92:$I92,0,AH$8+1)-INDEX($E92:$I92,0,AH$8))/(INDEX($D$5:$H$5,0,AH$8+1)-INDEX($D$5:$H$5,0,AH$8))+AG92)))</f>
        <v>922.3353159822409</v>
      </c>
      <c r="AI92" s="11" cm="1">
        <f t="array" ref="AI92">IF(AI$8=-1,AJ92,IF(AI$8=99,AH92,IF(AI$8=0,INDEX($E92:$I92,0,AI$6),(INDEX($E92:$I92,0,AI$8+1)-INDEX($E92:$I92,0,AI$8))/(INDEX($D$5:$H$5,0,AI$8+1)-INDEX($D$5:$H$5,0,AI$8))+AH92)))</f>
        <v>922.3353159822409</v>
      </c>
      <c r="AJ92" s="11" cm="1">
        <f t="array" ref="AJ92">IF(AJ$8=-1,AK92,IF(AJ$8=99,AI92,IF(AJ$8=0,INDEX($E92:$I92,0,AJ$6),(INDEX($E92:$I92,0,AJ$8+1)-INDEX($E92:$I92,0,AJ$8))/(INDEX($D$5:$H$5,0,AJ$8+1)-INDEX($D$5:$H$5,0,AJ$8))+AI92)))</f>
        <v>922.3353159822409</v>
      </c>
      <c r="AK92" s="11" cm="1">
        <f t="array" ref="AK92">IF(AK$8=-1,AL92,IF(AK$8=99,AJ92,IF(AK$8=0,INDEX($E92:$I92,0,AK$6),(INDEX($E92:$I92,0,AK$8+1)-INDEX($E92:$I92,0,AK$8))/(INDEX($D$5:$H$5,0,AK$8+1)-INDEX($D$5:$H$5,0,AK$8))+AJ92)))</f>
        <v>922.3353159822409</v>
      </c>
      <c r="AL92" s="11" cm="1">
        <f t="array" ref="AL92">IF(AL$8=-1,AM92,IF(AL$8=99,AK92,IF(AL$8=0,INDEX($E92:$I92,0,AL$6),(INDEX($E92:$I92,0,AL$8+1)-INDEX($E92:$I92,0,AL$8))/(INDEX($D$5:$H$5,0,AL$8+1)-INDEX($D$5:$H$5,0,AL$8))+AK92)))</f>
        <v>922.3353159822409</v>
      </c>
      <c r="AM92" s="11" cm="1">
        <f t="array" ref="AM92">IF(AM$8=-1,AN92,IF(AM$8=99,AL92,IF(AM$8=0,INDEX($E92:$I92,0,AM$6),(INDEX($E92:$I92,0,AM$8+1)-INDEX($E92:$I92,0,AM$8))/(INDEX($D$5:$H$5,0,AM$8+1)-INDEX($D$5:$H$5,0,AM$8))+AL92)))</f>
        <v>922.3353159822409</v>
      </c>
      <c r="AN92" s="11" cm="1">
        <f t="array" ref="AN92">IF(AN$8=-1,AO92,IF(AN$8=99,AM92,IF(AN$8=0,INDEX($E92:$I92,0,AN$6),(INDEX($E92:$I92,0,AN$8+1)-INDEX($E92:$I92,0,AN$8))/(INDEX($D$5:$H$5,0,AN$8+1)-INDEX($D$5:$H$5,0,AN$8))+AM92)))</f>
        <v>922.3353159822409</v>
      </c>
      <c r="AO92" s="11" cm="1">
        <f t="array" ref="AO92">IF(AO$8=-1,AP92,IF(AO$8=99,AN92,IF(AO$8=0,INDEX($E92:$K92,0,AO$6),(INDEX($E92:$K92,0,AO$8+1)-INDEX($E92:$K92,0,AO$8))/(INDEX($D$5:$J$5,0,AO$8+1)-INDEX($D$5:$J$5,0,AO$8))+AN92)))</f>
        <v>922.3353159822409</v>
      </c>
      <c r="AP92" s="11" cm="1">
        <f t="array" ref="AP92">IF(AP$8=-1,AQ92,IF(AP$8=99,AO92,IF(AP$8=0,INDEX($E92:$K92,0,AP$6),(INDEX($E92:$K92,0,AP$8+1)-INDEX($E92:$K92,0,AP$8))/(INDEX($D$5:$J$5,0,AP$8+1)-INDEX($D$5:$J$5,0,AP$8))+AO92)))</f>
        <v>922.3353159822409</v>
      </c>
      <c r="AQ92" s="11" cm="1">
        <f t="array" ref="AQ92">IF(AQ$8=-1,AR92,IF(AQ$8=99,AP92,IF(AQ$8=0,INDEX($E92:$K92,0,AQ$6),(INDEX($E92:$K92,0,AQ$8+1)-INDEX($E92:$K92,0,AQ$8))/(INDEX($D$5:$J$5,0,AQ$8+1)-INDEX($D$5:$J$5,0,AQ$8))+AP92)))</f>
        <v>922.3353159822409</v>
      </c>
      <c r="AR92" s="11" cm="1">
        <f t="array" ref="AR92">IF(AR$8=-1,AS92,IF(AR$8=99,AQ92,IF(AR$8=0,INDEX($E92:$K92,0,AR$6),(INDEX($E92:$K92,0,AR$8+1)-INDEX($E92:$K92,0,AR$8))/(INDEX($D$5:$J$5,0,AR$8+1)-INDEX($D$5:$J$5,0,AR$8))+AQ92)))</f>
        <v>922.3353159822409</v>
      </c>
      <c r="AS92" s="11" cm="1">
        <f t="array" ref="AS92">IF(AS$8=-1,AT92,IF(AS$8=99,AR92,IF(AS$8=0,INDEX($E92:$K92,0,AS$6),(INDEX($E92:$K92,0,AS$8+1)-INDEX($E92:$K92,0,AS$8))/(INDEX($D$5:$J$5,0,AS$8+1)-INDEX($D$5:$J$5,0,AS$8))+AR92)))</f>
        <v>922.3353159822409</v>
      </c>
      <c r="AT92" s="11" cm="1">
        <f t="array" ref="AT92">IF(AT$8=-1,AU92,IF(AT$8=99,AS92,IF(AT$8=0,INDEX($E92:$K92,0,AT$6),(INDEX($E92:$K92,0,AT$8+1)-INDEX($E92:$K92,0,AT$8))/(INDEX($D$5:$J$5,0,AT$8+1)-INDEX($D$5:$J$5,0,AT$8))+AS92)))</f>
        <v>922.3353159822409</v>
      </c>
      <c r="AU92" s="11" cm="1">
        <f t="array" ref="AU92">IF(AU$8=-1,AV92,IF(AU$8=99,AT92,IF(AU$8=0,INDEX($E92:$K92,0,AU$6),(INDEX($E92:$K92,0,AU$8+1)-INDEX($E92:$K92,0,AU$8))/(INDEX($D$5:$J$5,0,AU$8+1)-INDEX($D$5:$J$5,0,AU$8))+AT92)))</f>
        <v>922.3353159822409</v>
      </c>
      <c r="AV92" s="11" cm="1">
        <f t="array" ref="AV92">IF(AV$8=-1,AW92,IF(AV$8=99,AU92,IF(AV$8=0,INDEX($E92:$K92,0,AV$6),(INDEX($E92:$K92,0,AV$8+1)-INDEX($E92:$K92,0,AV$8))/(INDEX($D$5:$J$5,0,AV$8+1)-INDEX($D$5:$J$5,0,AV$8))+AU92)))</f>
        <v>922.3353159822409</v>
      </c>
      <c r="AW92" s="11" cm="1">
        <f t="array" ref="AW92">IF(AW$8=-1,AX92,IF(AW$8=99,AV92,IF(AW$8=0,INDEX($E92:$K92,0,AW$6),(INDEX($E92:$K92,0,AW$8+1)-INDEX($E92:$K92,0,AW$8))/(INDEX($D$5:$J$5,0,AW$8+1)-INDEX($D$5:$J$5,0,AW$8))+AV92)))</f>
        <v>922.3353159822409</v>
      </c>
      <c r="AX92" s="11" cm="1">
        <f t="array" ref="AX92">IF(AX$8=-1,AY92,IF(AX$8=99,AW92,IF(AX$8=0,INDEX($E92:$K92,0,AX$6),(INDEX($E92:$K92,0,AX$8+1)-INDEX($E92:$K92,0,AX$8))/(INDEX($D$5:$J$5,0,AX$8+1)-INDEX($D$5:$J$5,0,AX$8))+AW92)))</f>
        <v>922.3353159822409</v>
      </c>
      <c r="AY92" s="11" cm="1">
        <f t="array" ref="AY92">IF(AY$8=-1,AZ92,IF(AY$8=99,AX92,IF(AY$8=0,INDEX($E92:$K92,0,AY$6),(INDEX($E92:$K92,0,AY$8+1)-INDEX($E92:$K92,0,AY$8))/(INDEX($D$5:$J$5,0,AY$8+1)-INDEX($D$5:$J$5,0,AY$8))+AX92)))</f>
        <v>922.3353159822409</v>
      </c>
      <c r="AZ92" s="11" cm="1">
        <f t="array" ref="AZ92">IF(AZ$8=-1,BA92,IF(AZ$8=99,AY92,IF(AZ$8=0,INDEX($E92:$K92,0,AZ$6),(INDEX($E92:$K92,0,AZ$8+1)-INDEX($E92:$K92,0,AZ$8))/(INDEX($D$5:$J$5,0,AZ$8+1)-INDEX($D$5:$J$5,0,AZ$8))+AY92)))</f>
        <v>922.3353159822409</v>
      </c>
      <c r="BA92" s="11" cm="1">
        <f t="array" ref="BA92">IF(BA$8=-1,BB92,IF(BA$8=99,AZ92,IF(BA$8=0,INDEX($E92:$K92,0,BA$6),(INDEX($E92:$K92,0,BA$8+1)-INDEX($E92:$K92,0,BA$8))/(INDEX($D$5:$J$5,0,BA$8+1)-INDEX($D$5:$J$5,0,BA$8))+AZ92)))</f>
        <v>922.3353159822409</v>
      </c>
      <c r="BB92" s="11" cm="1">
        <f t="array" ref="BB92">IF(BB$8=-1,BC92,IF(BB$8=99,BA92,IF(BB$8=0,INDEX($E92:$K92,0,BB$6),(INDEX($E92:$K92,0,BB$8+1)-INDEX($E92:$K92,0,BB$8))/(INDEX($D$5:$J$5,0,BB$8+1)-INDEX($D$5:$J$5,0,BB$8))+BA92)))</f>
        <v>922.3353159822409</v>
      </c>
      <c r="BC92" s="11" cm="1">
        <f t="array" ref="BC92">IF(BC$8=-1,BD92,IF(BC$8=99,BB92,IF(BC$8=0,INDEX($E92:$K92,0,BC$6),(INDEX($E92:$K92,0,BC$8+1)-INDEX($E92:$K92,0,BC$8))/(INDEX($D$5:$J$5,0,BC$8+1)-INDEX($D$5:$J$5,0,BC$8))+BB92)))</f>
        <v>922.3353159822409</v>
      </c>
      <c r="BD92" s="11" cm="1">
        <f t="array" ref="BD92">IF(BD$8=-1,BE92,IF(BD$8=99,BC92,IF(BD$8=0,INDEX($E92:$K92,0,BD$6),(INDEX($E92:$K92,0,BD$8+1)-INDEX($E92:$K92,0,BD$8))/(INDEX($D$5:$J$5,0,BD$8+1)-INDEX($D$5:$J$5,0,BD$8))+BC92)))</f>
        <v>922.3353159822409</v>
      </c>
      <c r="BE92" s="11" cm="1">
        <f t="array" ref="BE92">IF(BE$8=-1,BF92,IF(BE$8=99,BD92,IF(BE$8=0,INDEX($E92:$K92,0,BE$6),(INDEX($E92:$K92,0,BE$8+1)-INDEX($E92:$K92,0,BE$8))/(INDEX($D$5:$J$5,0,BE$8+1)-INDEX($D$5:$J$5,0,BE$8))+BD92)))</f>
        <v>922.3353159822409</v>
      </c>
      <c r="BF92" s="11" cm="1">
        <f t="array" ref="BF92">IF(BF$8=-1,BG92,IF(BF$8=99,BE92,IF(BF$8=0,INDEX($E92:$K92,0,BF$6),(INDEX($E92:$K92,0,BF$8+1)-INDEX($E92:$K92,0,BF$8))/(INDEX($D$5:$J$5,0,BF$8+1)-INDEX($D$5:$J$5,0,BF$8))+BE92)))</f>
        <v>922.3353159822409</v>
      </c>
      <c r="BG92" s="11" cm="1">
        <f t="array" ref="BG92">IF(BG$8=-1,BH92,IF(BG$8=99,BF92,IF(BG$8=0,INDEX($E92:$K92,0,BG$6),(INDEX($E92:$K92,0,BG$8+1)-INDEX($E92:$K92,0,BG$8))/(INDEX($D$5:$J$5,0,BG$8+1)-INDEX($D$5:$J$5,0,BG$8))+BF92)))</f>
        <v>922.3353159822409</v>
      </c>
      <c r="BH92" s="11" cm="1">
        <f t="array" ref="BH92">IF(BH$8=-1,BI92,IF(BH$8=99,BG92,IF(BH$8=0,INDEX($E92:$K92,0,BH$6),(INDEX($E92:$K92,0,BH$8+1)-INDEX($E92:$K92,0,BH$8))/(INDEX($D$5:$J$5,0,BH$8+1)-INDEX($D$5:$J$5,0,BH$8))+BG92)))</f>
        <v>922.3353159822409</v>
      </c>
      <c r="BI92" s="11" cm="1">
        <f t="array" ref="BI92">IF(BI$8=-1,BJ92,IF(BI$8=99,BH92,IF(BI$8=0,INDEX($E92:$K92,0,BI$6),(INDEX($E92:$K92,0,BI$8+1)-INDEX($E92:$K92,0,BI$8))/(INDEX($D$5:$J$5,0,BI$8+1)-INDEX($D$5:$J$5,0,BI$8))+BH92)))</f>
        <v>922.3353159822409</v>
      </c>
      <c r="BJ92" s="11" cm="1">
        <f t="array" ref="BJ92">IF(BJ$8=-1,BK92,IF(BJ$8=99,BI92,IF(BJ$8=0,INDEX($E92:$K92,0,BJ$6),(INDEX($E92:$K92,0,BJ$8+1)-INDEX($E92:$K92,0,BJ$8))/(INDEX($D$5:$J$5,0,BJ$8+1)-INDEX($D$5:$J$5,0,BJ$8))+BI92)))</f>
        <v>922.3353159822409</v>
      </c>
      <c r="BK92" s="11" cm="1">
        <f t="array" ref="BK92">IF(BK$8=-1,BL92,IF(BK$8=99,BJ92,IF(BK$8=0,INDEX($E92:$K92,0,BK$6),(INDEX($E92:$K92,0,BK$8+1)-INDEX($E92:$K92,0,BK$8))/(INDEX($D$5:$J$5,0,BK$8+1)-INDEX($D$5:$J$5,0,BK$8))+BJ92)))</f>
        <v>922.3353159822409</v>
      </c>
      <c r="BL92" s="11" cm="1">
        <f t="array" ref="BL92">IF(BL$8=-1,BM92,IF(BL$8=99,BK92,IF(BL$8=0,INDEX($E92:$K92,0,BL$6),(INDEX($E92:$K92,0,BL$8+1)-INDEX($E92:$K92,0,BL$8))/(INDEX($D$5:$J$5,0,BL$8+1)-INDEX($D$5:$J$5,0,BL$8))+BK92)))</f>
        <v>922.3353159822409</v>
      </c>
      <c r="BM92" s="11" cm="1">
        <f t="array" ref="BM92">IF(BM$8=-1,BN92,IF(BM$8=99,BL92,IF(BM$8=0,INDEX($E92:$K92,0,BM$6),(INDEX($E92:$K92,0,BM$8+1)-INDEX($E92:$K92,0,BM$8))/(INDEX($D$5:$J$5,0,BM$8+1)-INDEX($D$5:$J$5,0,BM$8))+BL92)))</f>
        <v>922.3353159822409</v>
      </c>
      <c r="BN92" s="11" cm="1">
        <f t="array" ref="BN92">IF(BN$8=-1,BO92,IF(BN$8=99,BM92,IF(BN$8=0,INDEX($E92:$K92,0,BN$6),(INDEX($E92:$K92,0,BN$8+1)-INDEX($E92:$K92,0,BN$8))/(INDEX($D$5:$J$5,0,BN$8+1)-INDEX($D$5:$J$5,0,BN$8))+BM92)))</f>
        <v>922.3353159822409</v>
      </c>
      <c r="BO92" s="11" cm="1">
        <f t="array" ref="BO92">IF(BO$8=-1,BP92,IF(BO$8=99,BN92,IF(BO$8=0,INDEX($E92:$K92,0,BO$6),(INDEX($E92:$K92,0,BO$8+1)-INDEX($E92:$K92,0,BO$8))/(INDEX($D$5:$J$5,0,BO$8+1)-INDEX($D$5:$J$5,0,BO$8))+BN92)))</f>
        <v>922.3353159822409</v>
      </c>
      <c r="BP92" s="11" cm="1">
        <f t="array" ref="BP92">IF(BP$8=-1,BQ92,IF(BP$8=99,BO92,IF(BP$8=0,INDEX($E92:$K92,0,BP$6),(INDEX($E92:$K92,0,BP$8+1)-INDEX($E92:$K92,0,BP$8))/(INDEX($D$5:$J$5,0,BP$8+1)-INDEX($D$5:$J$5,0,BP$8))+BO92)))</f>
        <v>922.3353159822409</v>
      </c>
      <c r="BQ92" s="11" cm="1">
        <f t="array" ref="BQ92">IF(BQ$8=-1,BR92,IF(BQ$8=99,BP92,IF(BQ$8=0,INDEX($E92:$K92,0,BQ$6),(INDEX($E92:$K92,0,BQ$8+1)-INDEX($E92:$K92,0,BQ$8))/(INDEX($D$5:$J$5,0,BQ$8+1)-INDEX($D$5:$J$5,0,BQ$8))+BP92)))</f>
        <v>922.3353159822409</v>
      </c>
      <c r="BR92" s="11" cm="1">
        <f t="array" ref="BR92">IF(BR$8=-1,BS92,IF(BR$8=99,BQ92,IF(BR$8=0,INDEX($E92:$K92,0,BR$6),(INDEX($E92:$K92,0,BR$8+1)-INDEX($E92:$K92,0,BR$8))/(INDEX($D$5:$J$5,0,BR$8+1)-INDEX($D$5:$J$5,0,BR$8))+BQ92)))</f>
        <v>922.3353159822409</v>
      </c>
    </row>
    <row r="93" spans="1:70" ht="15">
      <c r="A93" t="s">
        <v>16</v>
      </c>
      <c r="B93" s="5" t="str">
        <f t="shared" si="154" ref="B93:B100">B71</f>
        <v>CEH</v>
      </c>
      <c r="C93" s="75" t="str">
        <f t="shared" si="151"/>
        <v>Commercial - Space Heating</v>
      </c>
      <c r="D93" s="75" t="s">
        <v>66</v>
      </c>
      <c r="E93" s="84">
        <f t="shared" si="155" ref="E93:F100">E82</f>
        <v>59.117764859369181</v>
      </c>
      <c r="F93" s="92">
        <f t="shared" si="155"/>
        <v>86.140082210951618</v>
      </c>
      <c r="G93" s="92">
        <f t="shared" si="152"/>
        <v>86.140082210951618</v>
      </c>
      <c r="H93" s="92">
        <f t="shared" si="156" ref="H93:H97">IF($N$57=-1,G93,((F93-E93)*2/5+E93)*(1+$H$91))</f>
        <v>86.140082210951618</v>
      </c>
      <c r="I93" s="134">
        <f t="shared" si="157" ref="I93:I100">H93</f>
        <v>86.140082210951618</v>
      </c>
      <c r="J93" s="134">
        <f t="shared" si="153"/>
        <v>86.140082210951618</v>
      </c>
      <c r="K93" s="134">
        <f t="shared" si="153"/>
        <v>86.140082210951618</v>
      </c>
      <c r="L93" s="11" cm="1">
        <f t="array" ref="L93">IF(L$8=-1,M93,IF(L$8=99,I93,IF(L$8=0,INDEX($E93:$I93,0,L$6),(INDEX($E93:$I93,0,L$8+1)-INDEX($E93:$I93,0,L$8))/(INDEX($D$5:$H$5,0,L$8+1)-INDEX($D$5:$H$5,0,L$8))+I93)))</f>
        <v>59.117764859369181</v>
      </c>
      <c r="M93" s="11" cm="1">
        <f t="array" ref="M93">IF(M$8=-1,N93,IF(M$8=99,L93,IF(M$8=0,INDEX($E93:$I93,0,M$6),(INDEX($E93:$I93,0,M$8+1)-INDEX($E93:$I93,0,M$8))/(INDEX($D$5:$H$5,0,M$8+1)-INDEX($D$5:$H$5,0,M$8))+L93)))</f>
        <v>64.522228329685674</v>
      </c>
      <c r="N93" s="11" cm="1">
        <f t="array" ref="N93">IF(N$8=-1,O93,IF(N$8=99,M93,IF(N$8=0,INDEX($E93:$I93,0,N$6),(INDEX($E93:$I93,0,N$8+1)-INDEX($E93:$I93,0,N$8))/(INDEX($D$5:$H$5,0,N$8+1)-INDEX($D$5:$H$5,0,N$8))+M93)))</f>
        <v>69.92669180000216</v>
      </c>
      <c r="O93" s="11" cm="1">
        <f t="array" ref="O93">IF(O$8=-1,P93,IF(O$8=99,N93,IF(O$8=0,INDEX($E93:$I93,0,O$6),(INDEX($E93:$I93,0,O$8+1)-INDEX($E93:$I93,0,O$8))/(INDEX($D$5:$H$5,0,O$8+1)-INDEX($D$5:$H$5,0,O$8))+N93)))</f>
        <v>75.331155270318646</v>
      </c>
      <c r="P93" s="11" cm="1">
        <f t="array" ref="P93">IF(P$8=-1,Q93,IF(P$8=99,O93,IF(P$8=0,INDEX($E93:$I93,0,P$6),(INDEX($E93:$I93,0,P$8+1)-INDEX($E93:$I93,0,P$8))/(INDEX($D$5:$H$5,0,P$8+1)-INDEX($D$5:$H$5,0,P$8))+O93)))</f>
        <v>80.735618740635132</v>
      </c>
      <c r="Q93" s="11" cm="1">
        <f t="array" ref="Q93">IF(Q$8=-1,R93,IF(Q$8=99,P93,IF(Q$8=0,INDEX($E93:$I93,0,Q$6),(INDEX($E93:$I93,0,Q$8+1)-INDEX($E93:$I93,0,Q$8))/(INDEX($D$5:$H$5,0,Q$8+1)-INDEX($D$5:$H$5,0,Q$8))+P93)))</f>
        <v>86.140082210951618</v>
      </c>
      <c r="R93" s="11" cm="1">
        <f t="array" ref="R93">IF(R$8=-1,S93,IF(R$8=99,Q93,IF(R$8=0,INDEX($E93:$I93,0,R$6),(INDEX($E93:$I93,0,R$8+1)-INDEX($E93:$I93,0,R$8))/(INDEX($D$5:$H$5,0,R$8+1)-INDEX($D$5:$H$5,0,R$8))+Q93)))</f>
        <v>86.140082210951618</v>
      </c>
      <c r="S93" s="11" cm="1">
        <f t="array" ref="S93">IF(S$8=-1,T93,IF(S$8=99,R93,IF(S$8=0,INDEX($E93:$I93,0,S$6),(INDEX($E93:$I93,0,S$8+1)-INDEX($E93:$I93,0,S$8))/(INDEX($D$5:$H$5,0,S$8+1)-INDEX($D$5:$H$5,0,S$8))+R93)))</f>
        <v>86.140082210951618</v>
      </c>
      <c r="T93" s="11" cm="1">
        <f t="array" ref="T93">IF(T$8=-1,U93,IF(T$8=99,S93,IF(T$8=0,INDEX($E93:$I93,0,T$6),(INDEX($E93:$I93,0,T$8+1)-INDEX($E93:$I93,0,T$8))/(INDEX($D$5:$H$5,0,T$8+1)-INDEX($D$5:$H$5,0,T$8))+S93)))</f>
        <v>86.140082210951618</v>
      </c>
      <c r="U93" s="11" cm="1">
        <f t="array" ref="U93">IF(U$8=-1,V93,IF(U$8=99,T93,IF(U$8=0,INDEX($E93:$I93,0,U$6),(INDEX($E93:$I93,0,U$8+1)-INDEX($E93:$I93,0,U$8))/(INDEX($D$5:$H$5,0,U$8+1)-INDEX($D$5:$H$5,0,U$8))+T93)))</f>
        <v>86.140082210951618</v>
      </c>
      <c r="V93" s="11" cm="1">
        <f t="array" ref="V93">IF(V$8=-1,W93,IF(V$8=99,U93,IF(V$8=0,INDEX($E93:$I93,0,V$6),(INDEX($E93:$I93,0,V$8+1)-INDEX($E93:$I93,0,V$8))/(INDEX($D$5:$H$5,0,V$8+1)-INDEX($D$5:$H$5,0,V$8))+U93)))</f>
        <v>86.140082210951618</v>
      </c>
      <c r="W93" s="11" cm="1">
        <f t="array" ref="W93">IF(W$8=-1,X93,IF(W$8=99,V93,IF(W$8=0,INDEX($E93:$I93,0,W$6),(INDEX($E93:$I93,0,W$8+1)-INDEX($E93:$I93,0,W$8))/(INDEX($D$5:$H$5,0,W$8+1)-INDEX($D$5:$H$5,0,W$8))+V93)))</f>
        <v>86.140082210951618</v>
      </c>
      <c r="X93" s="11" cm="1">
        <f t="array" ref="X93">IF(X$8=-1,Y93,IF(X$8=99,W93,IF(X$8=0,INDEX($E93:$I93,0,X$6),(INDEX($E93:$I93,0,X$8+1)-INDEX($E93:$I93,0,X$8))/(INDEX($D$5:$H$5,0,X$8+1)-INDEX($D$5:$H$5,0,X$8))+W93)))</f>
        <v>86.140082210951618</v>
      </c>
      <c r="Y93" s="11" cm="1">
        <f t="array" ref="Y93">IF(Y$8=-1,Z93,IF(Y$8=99,X93,IF(Y$8=0,INDEX($E93:$I93,0,Y$6),(INDEX($E93:$I93,0,Y$8+1)-INDEX($E93:$I93,0,Y$8))/(INDEX($D$5:$H$5,0,Y$8+1)-INDEX($D$5:$H$5,0,Y$8))+X93)))</f>
        <v>86.140082210951618</v>
      </c>
      <c r="Z93" s="11" cm="1">
        <f t="array" ref="Z93">IF(Z$8=-1,AA93,IF(Z$8=99,Y93,IF(Z$8=0,INDEX($E93:$I93,0,Z$6),(INDEX($E93:$I93,0,Z$8+1)-INDEX($E93:$I93,0,Z$8))/(INDEX($D$5:$H$5,0,Z$8+1)-INDEX($D$5:$H$5,0,Z$8))+Y93)))</f>
        <v>86.140082210951618</v>
      </c>
      <c r="AA93" s="11" cm="1">
        <f t="array" ref="AA93">IF(AA$8=-1,AB93,IF(AA$8=99,Z93,IF(AA$8=0,INDEX($E93:$I93,0,AA$6),(INDEX($E93:$I93,0,AA$8+1)-INDEX($E93:$I93,0,AA$8))/(INDEX($D$5:$H$5,0,AA$8+1)-INDEX($D$5:$H$5,0,AA$8))+Z93)))</f>
        <v>86.140082210951618</v>
      </c>
      <c r="AB93" s="11" cm="1">
        <f t="array" ref="AB93">IF(AB$8=-1,AC93,IF(AB$8=99,AA93,IF(AB$8=0,INDEX($E93:$I93,0,AB$6),(INDEX($E93:$I93,0,AB$8+1)-INDEX($E93:$I93,0,AB$8))/(INDEX($D$5:$H$5,0,AB$8+1)-INDEX($D$5:$H$5,0,AB$8))+AA93)))</f>
        <v>86.140082210951618</v>
      </c>
      <c r="AC93" s="11" cm="1">
        <f t="array" ref="AC93">IF(AC$8=-1,AD93,IF(AC$8=99,AB93,IF(AC$8=0,INDEX($E93:$I93,0,AC$6),(INDEX($E93:$I93,0,AC$8+1)-INDEX($E93:$I93,0,AC$8))/(INDEX($D$5:$H$5,0,AC$8+1)-INDEX($D$5:$H$5,0,AC$8))+AB93)))</f>
        <v>86.140082210951618</v>
      </c>
      <c r="AD93" s="11" cm="1">
        <f t="array" ref="AD93">IF(AD$8=-1,AE93,IF(AD$8=99,AC93,IF(AD$8=0,INDEX($E93:$I93,0,AD$6),(INDEX($E93:$I93,0,AD$8+1)-INDEX($E93:$I93,0,AD$8))/(INDEX($D$5:$H$5,0,AD$8+1)-INDEX($D$5:$H$5,0,AD$8))+AC93)))</f>
        <v>86.140082210951618</v>
      </c>
      <c r="AE93" s="11" cm="1">
        <f t="array" ref="AE93">IF(AE$8=-1,AF93,IF(AE$8=99,AD93,IF(AE$8=0,INDEX($E93:$I93,0,AE$6),(INDEX($E93:$I93,0,AE$8+1)-INDEX($E93:$I93,0,AE$8))/(INDEX($D$5:$H$5,0,AE$8+1)-INDEX($D$5:$H$5,0,AE$8))+AD93)))</f>
        <v>86.140082210951618</v>
      </c>
      <c r="AF93" s="11" cm="1">
        <f t="array" ref="AF93">IF(AF$8=-1,AG93,IF(AF$8=99,AE93,IF(AF$8=0,INDEX($E93:$I93,0,AF$6),(INDEX($E93:$I93,0,AF$8+1)-INDEX($E93:$I93,0,AF$8))/(INDEX($D$5:$H$5,0,AF$8+1)-INDEX($D$5:$H$5,0,AF$8))+AE93)))</f>
        <v>86.140082210951618</v>
      </c>
      <c r="AG93" s="11" cm="1">
        <f t="array" ref="AG93">IF(AG$8=-1,AH93,IF(AG$8=99,AF93,IF(AG$8=0,INDEX($E93:$I93,0,AG$6),(INDEX($E93:$I93,0,AG$8+1)-INDEX($E93:$I93,0,AG$8))/(INDEX($D$5:$H$5,0,AG$8+1)-INDEX($D$5:$H$5,0,AG$8))+AF93)))</f>
        <v>86.140082210951618</v>
      </c>
      <c r="AH93" s="11" cm="1">
        <f t="array" ref="AH93">IF(AH$8=-1,AI93,IF(AH$8=99,AG93,IF(AH$8=0,INDEX($E93:$I93,0,AH$6),(INDEX($E93:$I93,0,AH$8+1)-INDEX($E93:$I93,0,AH$8))/(INDEX($D$5:$H$5,0,AH$8+1)-INDEX($D$5:$H$5,0,AH$8))+AG93)))</f>
        <v>86.140082210951618</v>
      </c>
      <c r="AI93" s="11" cm="1">
        <f t="array" ref="AI93">IF(AI$8=-1,AJ93,IF(AI$8=99,AH93,IF(AI$8=0,INDEX($E93:$I93,0,AI$6),(INDEX($E93:$I93,0,AI$8+1)-INDEX($E93:$I93,0,AI$8))/(INDEX($D$5:$H$5,0,AI$8+1)-INDEX($D$5:$H$5,0,AI$8))+AH93)))</f>
        <v>86.140082210951618</v>
      </c>
      <c r="AJ93" s="11" cm="1">
        <f t="array" ref="AJ93">IF(AJ$8=-1,AK93,IF(AJ$8=99,AI93,IF(AJ$8=0,INDEX($E93:$I93,0,AJ$6),(INDEX($E93:$I93,0,AJ$8+1)-INDEX($E93:$I93,0,AJ$8))/(INDEX($D$5:$H$5,0,AJ$8+1)-INDEX($D$5:$H$5,0,AJ$8))+AI93)))</f>
        <v>86.140082210951618</v>
      </c>
      <c r="AK93" s="11" cm="1">
        <f t="array" ref="AK93">IF(AK$8=-1,AL93,IF(AK$8=99,AJ93,IF(AK$8=0,INDEX($E93:$I93,0,AK$6),(INDEX($E93:$I93,0,AK$8+1)-INDEX($E93:$I93,0,AK$8))/(INDEX($D$5:$H$5,0,AK$8+1)-INDEX($D$5:$H$5,0,AK$8))+AJ93)))</f>
        <v>86.140082210951618</v>
      </c>
      <c r="AL93" s="11" cm="1">
        <f t="array" ref="AL93">IF(AL$8=-1,AM93,IF(AL$8=99,AK93,IF(AL$8=0,INDEX($E93:$I93,0,AL$6),(INDEX($E93:$I93,0,AL$8+1)-INDEX($E93:$I93,0,AL$8))/(INDEX($D$5:$H$5,0,AL$8+1)-INDEX($D$5:$H$5,0,AL$8))+AK93)))</f>
        <v>86.140082210951618</v>
      </c>
      <c r="AM93" s="11" cm="1">
        <f t="array" ref="AM93">IF(AM$8=-1,AN93,IF(AM$8=99,AL93,IF(AM$8=0,INDEX($E93:$I93,0,AM$6),(INDEX($E93:$I93,0,AM$8+1)-INDEX($E93:$I93,0,AM$8))/(INDEX($D$5:$H$5,0,AM$8+1)-INDEX($D$5:$H$5,0,AM$8))+AL93)))</f>
        <v>86.140082210951618</v>
      </c>
      <c r="AN93" s="11" cm="1">
        <f t="array" ref="AN93">IF(AN$8=-1,AO93,IF(AN$8=99,AM93,IF(AN$8=0,INDEX($E93:$I93,0,AN$6),(INDEX($E93:$I93,0,AN$8+1)-INDEX($E93:$I93,0,AN$8))/(INDEX($D$5:$H$5,0,AN$8+1)-INDEX($D$5:$H$5,0,AN$8))+AM93)))</f>
        <v>86.140082210951618</v>
      </c>
      <c r="AO93" s="11" cm="1">
        <f t="array" ref="AO93">IF(AO$8=-1,AP93,IF(AO$8=99,AN93,IF(AO$8=0,INDEX($E93:$K93,0,AO$6),(INDEX($E93:$K93,0,AO$8+1)-INDEX($E93:$K93,0,AO$8))/(INDEX($D$5:$J$5,0,AO$8+1)-INDEX($D$5:$J$5,0,AO$8))+AN93)))</f>
        <v>86.140082210951618</v>
      </c>
      <c r="AP93" s="11" cm="1">
        <f t="array" ref="AP93">IF(AP$8=-1,AQ93,IF(AP$8=99,AO93,IF(AP$8=0,INDEX($E93:$K93,0,AP$6),(INDEX($E93:$K93,0,AP$8+1)-INDEX($E93:$K93,0,AP$8))/(INDEX($D$5:$J$5,0,AP$8+1)-INDEX($D$5:$J$5,0,AP$8))+AO93)))</f>
        <v>86.140082210951618</v>
      </c>
      <c r="AQ93" s="11" cm="1">
        <f t="array" ref="AQ93">IF(AQ$8=-1,AR93,IF(AQ$8=99,AP93,IF(AQ$8=0,INDEX($E93:$K93,0,AQ$6),(INDEX($E93:$K93,0,AQ$8+1)-INDEX($E93:$K93,0,AQ$8))/(INDEX($D$5:$J$5,0,AQ$8+1)-INDEX($D$5:$J$5,0,AQ$8))+AP93)))</f>
        <v>86.140082210951618</v>
      </c>
      <c r="AR93" s="11" cm="1">
        <f t="array" ref="AR93">IF(AR$8=-1,AS93,IF(AR$8=99,AQ93,IF(AR$8=0,INDEX($E93:$K93,0,AR$6),(INDEX($E93:$K93,0,AR$8+1)-INDEX($E93:$K93,0,AR$8))/(INDEX($D$5:$J$5,0,AR$8+1)-INDEX($D$5:$J$5,0,AR$8))+AQ93)))</f>
        <v>86.140082210951618</v>
      </c>
      <c r="AS93" s="11" cm="1">
        <f t="array" ref="AS93">IF(AS$8=-1,AT93,IF(AS$8=99,AR93,IF(AS$8=0,INDEX($E93:$K93,0,AS$6),(INDEX($E93:$K93,0,AS$8+1)-INDEX($E93:$K93,0,AS$8))/(INDEX($D$5:$J$5,0,AS$8+1)-INDEX($D$5:$J$5,0,AS$8))+AR93)))</f>
        <v>86.140082210951618</v>
      </c>
      <c r="AT93" s="11" cm="1">
        <f t="array" ref="AT93">IF(AT$8=-1,AU93,IF(AT$8=99,AS93,IF(AT$8=0,INDEX($E93:$K93,0,AT$6),(INDEX($E93:$K93,0,AT$8+1)-INDEX($E93:$K93,0,AT$8))/(INDEX($D$5:$J$5,0,AT$8+1)-INDEX($D$5:$J$5,0,AT$8))+AS93)))</f>
        <v>86.140082210951618</v>
      </c>
      <c r="AU93" s="11" cm="1">
        <f t="array" ref="AU93">IF(AU$8=-1,AV93,IF(AU$8=99,AT93,IF(AU$8=0,INDEX($E93:$K93,0,AU$6),(INDEX($E93:$K93,0,AU$8+1)-INDEX($E93:$K93,0,AU$8))/(INDEX($D$5:$J$5,0,AU$8+1)-INDEX($D$5:$J$5,0,AU$8))+AT93)))</f>
        <v>86.140082210951618</v>
      </c>
      <c r="AV93" s="11" cm="1">
        <f t="array" ref="AV93">IF(AV$8=-1,AW93,IF(AV$8=99,AU93,IF(AV$8=0,INDEX($E93:$K93,0,AV$6),(INDEX($E93:$K93,0,AV$8+1)-INDEX($E93:$K93,0,AV$8))/(INDEX($D$5:$J$5,0,AV$8+1)-INDEX($D$5:$J$5,0,AV$8))+AU93)))</f>
        <v>86.140082210951618</v>
      </c>
      <c r="AW93" s="11" cm="1">
        <f t="array" ref="AW93">IF(AW$8=-1,AX93,IF(AW$8=99,AV93,IF(AW$8=0,INDEX($E93:$K93,0,AW$6),(INDEX($E93:$K93,0,AW$8+1)-INDEX($E93:$K93,0,AW$8))/(INDEX($D$5:$J$5,0,AW$8+1)-INDEX($D$5:$J$5,0,AW$8))+AV93)))</f>
        <v>86.140082210951618</v>
      </c>
      <c r="AX93" s="11" cm="1">
        <f t="array" ref="AX93">IF(AX$8=-1,AY93,IF(AX$8=99,AW93,IF(AX$8=0,INDEX($E93:$K93,0,AX$6),(INDEX($E93:$K93,0,AX$8+1)-INDEX($E93:$K93,0,AX$8))/(INDEX($D$5:$J$5,0,AX$8+1)-INDEX($D$5:$J$5,0,AX$8))+AW93)))</f>
        <v>86.140082210951618</v>
      </c>
      <c r="AY93" s="11" cm="1">
        <f t="array" ref="AY93">IF(AY$8=-1,AZ93,IF(AY$8=99,AX93,IF(AY$8=0,INDEX($E93:$K93,0,AY$6),(INDEX($E93:$K93,0,AY$8+1)-INDEX($E93:$K93,0,AY$8))/(INDEX($D$5:$J$5,0,AY$8+1)-INDEX($D$5:$J$5,0,AY$8))+AX93)))</f>
        <v>86.140082210951618</v>
      </c>
      <c r="AZ93" s="11" cm="1">
        <f t="array" ref="AZ93">IF(AZ$8=-1,BA93,IF(AZ$8=99,AY93,IF(AZ$8=0,INDEX($E93:$K93,0,AZ$6),(INDEX($E93:$K93,0,AZ$8+1)-INDEX($E93:$K93,0,AZ$8))/(INDEX($D$5:$J$5,0,AZ$8+1)-INDEX($D$5:$J$5,0,AZ$8))+AY93)))</f>
        <v>86.140082210951618</v>
      </c>
      <c r="BA93" s="11" cm="1">
        <f t="array" ref="BA93">IF(BA$8=-1,BB93,IF(BA$8=99,AZ93,IF(BA$8=0,INDEX($E93:$K93,0,BA$6),(INDEX($E93:$K93,0,BA$8+1)-INDEX($E93:$K93,0,BA$8))/(INDEX($D$5:$J$5,0,BA$8+1)-INDEX($D$5:$J$5,0,BA$8))+AZ93)))</f>
        <v>86.140082210951618</v>
      </c>
      <c r="BB93" s="11" cm="1">
        <f t="array" ref="BB93">IF(BB$8=-1,BC93,IF(BB$8=99,BA93,IF(BB$8=0,INDEX($E93:$K93,0,BB$6),(INDEX($E93:$K93,0,BB$8+1)-INDEX($E93:$K93,0,BB$8))/(INDEX($D$5:$J$5,0,BB$8+1)-INDEX($D$5:$J$5,0,BB$8))+BA93)))</f>
        <v>86.140082210951618</v>
      </c>
      <c r="BC93" s="11" cm="1">
        <f t="array" ref="BC93">IF(BC$8=-1,BD93,IF(BC$8=99,BB93,IF(BC$8=0,INDEX($E93:$K93,0,BC$6),(INDEX($E93:$K93,0,BC$8+1)-INDEX($E93:$K93,0,BC$8))/(INDEX($D$5:$J$5,0,BC$8+1)-INDEX($D$5:$J$5,0,BC$8))+BB93)))</f>
        <v>86.140082210951618</v>
      </c>
      <c r="BD93" s="11" cm="1">
        <f t="array" ref="BD93">IF(BD$8=-1,BE93,IF(BD$8=99,BC93,IF(BD$8=0,INDEX($E93:$K93,0,BD$6),(INDEX($E93:$K93,0,BD$8+1)-INDEX($E93:$K93,0,BD$8))/(INDEX($D$5:$J$5,0,BD$8+1)-INDEX($D$5:$J$5,0,BD$8))+BC93)))</f>
        <v>86.140082210951618</v>
      </c>
      <c r="BE93" s="11" cm="1">
        <f t="array" ref="BE93">IF(BE$8=-1,BF93,IF(BE$8=99,BD93,IF(BE$8=0,INDEX($E93:$K93,0,BE$6),(INDEX($E93:$K93,0,BE$8+1)-INDEX($E93:$K93,0,BE$8))/(INDEX($D$5:$J$5,0,BE$8+1)-INDEX($D$5:$J$5,0,BE$8))+BD93)))</f>
        <v>86.140082210951618</v>
      </c>
      <c r="BF93" s="11" cm="1">
        <f t="array" ref="BF93">IF(BF$8=-1,BG93,IF(BF$8=99,BE93,IF(BF$8=0,INDEX($E93:$K93,0,BF$6),(INDEX($E93:$K93,0,BF$8+1)-INDEX($E93:$K93,0,BF$8))/(INDEX($D$5:$J$5,0,BF$8+1)-INDEX($D$5:$J$5,0,BF$8))+BE93)))</f>
        <v>86.140082210951618</v>
      </c>
      <c r="BG93" s="11" cm="1">
        <f t="array" ref="BG93">IF(BG$8=-1,BH93,IF(BG$8=99,BF93,IF(BG$8=0,INDEX($E93:$K93,0,BG$6),(INDEX($E93:$K93,0,BG$8+1)-INDEX($E93:$K93,0,BG$8))/(INDEX($D$5:$J$5,0,BG$8+1)-INDEX($D$5:$J$5,0,BG$8))+BF93)))</f>
        <v>86.140082210951618</v>
      </c>
      <c r="BH93" s="11" cm="1">
        <f t="array" ref="BH93">IF(BH$8=-1,BI93,IF(BH$8=99,BG93,IF(BH$8=0,INDEX($E93:$K93,0,BH$6),(INDEX($E93:$K93,0,BH$8+1)-INDEX($E93:$K93,0,BH$8))/(INDEX($D$5:$J$5,0,BH$8+1)-INDEX($D$5:$J$5,0,BH$8))+BG93)))</f>
        <v>86.140082210951618</v>
      </c>
      <c r="BI93" s="11" cm="1">
        <f t="array" ref="BI93">IF(BI$8=-1,BJ93,IF(BI$8=99,BH93,IF(BI$8=0,INDEX($E93:$K93,0,BI$6),(INDEX($E93:$K93,0,BI$8+1)-INDEX($E93:$K93,0,BI$8))/(INDEX($D$5:$J$5,0,BI$8+1)-INDEX($D$5:$J$5,0,BI$8))+BH93)))</f>
        <v>86.140082210951618</v>
      </c>
      <c r="BJ93" s="11" cm="1">
        <f t="array" ref="BJ93">IF(BJ$8=-1,BK93,IF(BJ$8=99,BI93,IF(BJ$8=0,INDEX($E93:$K93,0,BJ$6),(INDEX($E93:$K93,0,BJ$8+1)-INDEX($E93:$K93,0,BJ$8))/(INDEX($D$5:$J$5,0,BJ$8+1)-INDEX($D$5:$J$5,0,BJ$8))+BI93)))</f>
        <v>86.140082210951618</v>
      </c>
      <c r="BK93" s="11" cm="1">
        <f t="array" ref="BK93">IF(BK$8=-1,BL93,IF(BK$8=99,BJ93,IF(BK$8=0,INDEX($E93:$K93,0,BK$6),(INDEX($E93:$K93,0,BK$8+1)-INDEX($E93:$K93,0,BK$8))/(INDEX($D$5:$J$5,0,BK$8+1)-INDEX($D$5:$J$5,0,BK$8))+BJ93)))</f>
        <v>86.140082210951618</v>
      </c>
      <c r="BL93" s="11" cm="1">
        <f t="array" ref="BL93">IF(BL$8=-1,BM93,IF(BL$8=99,BK93,IF(BL$8=0,INDEX($E93:$K93,0,BL$6),(INDEX($E93:$K93,0,BL$8+1)-INDEX($E93:$K93,0,BL$8))/(INDEX($D$5:$J$5,0,BL$8+1)-INDEX($D$5:$J$5,0,BL$8))+BK93)))</f>
        <v>86.140082210951618</v>
      </c>
      <c r="BM93" s="11" cm="1">
        <f t="array" ref="BM93">IF(BM$8=-1,BN93,IF(BM$8=99,BL93,IF(BM$8=0,INDEX($E93:$K93,0,BM$6),(INDEX($E93:$K93,0,BM$8+1)-INDEX($E93:$K93,0,BM$8))/(INDEX($D$5:$J$5,0,BM$8+1)-INDEX($D$5:$J$5,0,BM$8))+BL93)))</f>
        <v>86.140082210951618</v>
      </c>
      <c r="BN93" s="11" cm="1">
        <f t="array" ref="BN93">IF(BN$8=-1,BO93,IF(BN$8=99,BM93,IF(BN$8=0,INDEX($E93:$K93,0,BN$6),(INDEX($E93:$K93,0,BN$8+1)-INDEX($E93:$K93,0,BN$8))/(INDEX($D$5:$J$5,0,BN$8+1)-INDEX($D$5:$J$5,0,BN$8))+BM93)))</f>
        <v>86.140082210951618</v>
      </c>
      <c r="BO93" s="11" cm="1">
        <f t="array" ref="BO93">IF(BO$8=-1,BP93,IF(BO$8=99,BN93,IF(BO$8=0,INDEX($E93:$K93,0,BO$6),(INDEX($E93:$K93,0,BO$8+1)-INDEX($E93:$K93,0,BO$8))/(INDEX($D$5:$J$5,0,BO$8+1)-INDEX($D$5:$J$5,0,BO$8))+BN93)))</f>
        <v>86.140082210951618</v>
      </c>
      <c r="BP93" s="11" cm="1">
        <f t="array" ref="BP93">IF(BP$8=-1,BQ93,IF(BP$8=99,BO93,IF(BP$8=0,INDEX($E93:$K93,0,BP$6),(INDEX($E93:$K93,0,BP$8+1)-INDEX($E93:$K93,0,BP$8))/(INDEX($D$5:$J$5,0,BP$8+1)-INDEX($D$5:$J$5,0,BP$8))+BO93)))</f>
        <v>86.140082210951618</v>
      </c>
      <c r="BQ93" s="11" cm="1">
        <f t="array" ref="BQ93">IF(BQ$8=-1,BR93,IF(BQ$8=99,BP93,IF(BQ$8=0,INDEX($E93:$K93,0,BQ$6),(INDEX($E93:$K93,0,BQ$8+1)-INDEX($E93:$K93,0,BQ$8))/(INDEX($D$5:$J$5,0,BQ$8+1)-INDEX($D$5:$J$5,0,BQ$8))+BP93)))</f>
        <v>86.140082210951618</v>
      </c>
      <c r="BR93" s="11" cm="1">
        <f t="array" ref="BR93">IF(BR$8=-1,BS93,IF(BR$8=99,BQ93,IF(BR$8=0,INDEX($E93:$K93,0,BR$6),(INDEX($E93:$K93,0,BR$8+1)-INDEX($E93:$K93,0,BR$8))/(INDEX($D$5:$J$5,0,BR$8+1)-INDEX($D$5:$J$5,0,BR$8))+BQ93)))</f>
        <v>86.140082210951618</v>
      </c>
    </row>
    <row r="94" spans="1:70" ht="15">
      <c r="A94" t="s">
        <v>16</v>
      </c>
      <c r="B94" s="5" t="str">
        <f t="shared" si="154"/>
        <v>CEK</v>
      </c>
      <c r="C94" s="75" t="str">
        <f t="shared" si="151"/>
        <v>Commercial - Cooking</v>
      </c>
      <c r="D94" s="75" t="s">
        <v>66</v>
      </c>
      <c r="E94" s="84">
        <f t="shared" si="155"/>
        <v>74.498085701673489</v>
      </c>
      <c r="F94" s="92">
        <f t="shared" si="155"/>
        <v>64.377434268608681</v>
      </c>
      <c r="G94" s="92">
        <f t="shared" si="152"/>
        <v>64.377434268608681</v>
      </c>
      <c r="H94" s="92">
        <f t="shared" si="156"/>
        <v>64.377434268608681</v>
      </c>
      <c r="I94" s="134">
        <f t="shared" si="157"/>
        <v>64.377434268608681</v>
      </c>
      <c r="J94" s="134">
        <f t="shared" si="153"/>
        <v>64.377434268608681</v>
      </c>
      <c r="K94" s="134">
        <f t="shared" si="153"/>
        <v>64.377434268608681</v>
      </c>
      <c r="L94" s="11" cm="1">
        <f t="array" ref="L94">IF(L$8=-1,M94,IF(L$8=99,I94,IF(L$8=0,INDEX($E94:$I94,0,L$6),(INDEX($E94:$I94,0,L$8+1)-INDEX($E94:$I94,0,L$8))/(INDEX($D$5:$H$5,0,L$8+1)-INDEX($D$5:$H$5,0,L$8))+I94)))</f>
        <v>74.498085701673489</v>
      </c>
      <c r="M94" s="11" cm="1">
        <f t="array" ref="M94">IF(M$8=-1,N94,IF(M$8=99,L94,IF(M$8=0,INDEX($E94:$I94,0,M$6),(INDEX($E94:$I94,0,M$8+1)-INDEX($E94:$I94,0,M$8))/(INDEX($D$5:$H$5,0,M$8+1)-INDEX($D$5:$H$5,0,M$8))+L94)))</f>
        <v>72.47395541506053</v>
      </c>
      <c r="N94" s="11" cm="1">
        <f t="array" ref="N94">IF(N$8=-1,O94,IF(N$8=99,M94,IF(N$8=0,INDEX($E94:$I94,0,N$6),(INDEX($E94:$I94,0,N$8+1)-INDEX($E94:$I94,0,N$8))/(INDEX($D$5:$H$5,0,N$8+1)-INDEX($D$5:$H$5,0,N$8))+M94)))</f>
        <v>70.449825128447571</v>
      </c>
      <c r="O94" s="11" cm="1">
        <f t="array" ref="O94">IF(O$8=-1,P94,IF(O$8=99,N94,IF(O$8=0,INDEX($E94:$I94,0,O$6),(INDEX($E94:$I94,0,O$8+1)-INDEX($E94:$I94,0,O$8))/(INDEX($D$5:$H$5,0,O$8+1)-INDEX($D$5:$H$5,0,O$8))+N94)))</f>
        <v>68.425694841834613</v>
      </c>
      <c r="P94" s="11" cm="1">
        <f t="array" ref="P94">IF(P$8=-1,Q94,IF(P$8=99,O94,IF(P$8=0,INDEX($E94:$I94,0,P$6),(INDEX($E94:$I94,0,P$8+1)-INDEX($E94:$I94,0,P$8))/(INDEX($D$5:$H$5,0,P$8+1)-INDEX($D$5:$H$5,0,P$8))+O94)))</f>
        <v>66.401564555221654</v>
      </c>
      <c r="Q94" s="11" cm="1">
        <f t="array" ref="Q94">IF(Q$8=-1,R94,IF(Q$8=99,P94,IF(Q$8=0,INDEX($E94:$I94,0,Q$6),(INDEX($E94:$I94,0,Q$8+1)-INDEX($E94:$I94,0,Q$8))/(INDEX($D$5:$H$5,0,Q$8+1)-INDEX($D$5:$H$5,0,Q$8))+P94)))</f>
        <v>64.377434268608681</v>
      </c>
      <c r="R94" s="11" cm="1">
        <f t="array" ref="R94">IF(R$8=-1,S94,IF(R$8=99,Q94,IF(R$8=0,INDEX($E94:$I94,0,R$6),(INDEX($E94:$I94,0,R$8+1)-INDEX($E94:$I94,0,R$8))/(INDEX($D$5:$H$5,0,R$8+1)-INDEX($D$5:$H$5,0,R$8))+Q94)))</f>
        <v>64.377434268608681</v>
      </c>
      <c r="S94" s="11" cm="1">
        <f t="array" ref="S94">IF(S$8=-1,T94,IF(S$8=99,R94,IF(S$8=0,INDEX($E94:$I94,0,S$6),(INDEX($E94:$I94,0,S$8+1)-INDEX($E94:$I94,0,S$8))/(INDEX($D$5:$H$5,0,S$8+1)-INDEX($D$5:$H$5,0,S$8))+R94)))</f>
        <v>64.377434268608681</v>
      </c>
      <c r="T94" s="11" cm="1">
        <f t="array" ref="T94">IF(T$8=-1,U94,IF(T$8=99,S94,IF(T$8=0,INDEX($E94:$I94,0,T$6),(INDEX($E94:$I94,0,T$8+1)-INDEX($E94:$I94,0,T$8))/(INDEX($D$5:$H$5,0,T$8+1)-INDEX($D$5:$H$5,0,T$8))+S94)))</f>
        <v>64.377434268608681</v>
      </c>
      <c r="U94" s="11" cm="1">
        <f t="array" ref="U94">IF(U$8=-1,V94,IF(U$8=99,T94,IF(U$8=0,INDEX($E94:$I94,0,U$6),(INDEX($E94:$I94,0,U$8+1)-INDEX($E94:$I94,0,U$8))/(INDEX($D$5:$H$5,0,U$8+1)-INDEX($D$5:$H$5,0,U$8))+T94)))</f>
        <v>64.377434268608681</v>
      </c>
      <c r="V94" s="11" cm="1">
        <f t="array" ref="V94">IF(V$8=-1,W94,IF(V$8=99,U94,IF(V$8=0,INDEX($E94:$I94,0,V$6),(INDEX($E94:$I94,0,V$8+1)-INDEX($E94:$I94,0,V$8))/(INDEX($D$5:$H$5,0,V$8+1)-INDEX($D$5:$H$5,0,V$8))+U94)))</f>
        <v>64.377434268608681</v>
      </c>
      <c r="W94" s="11" cm="1">
        <f t="array" ref="W94">IF(W$8=-1,X94,IF(W$8=99,V94,IF(W$8=0,INDEX($E94:$I94,0,W$6),(INDEX($E94:$I94,0,W$8+1)-INDEX($E94:$I94,0,W$8))/(INDEX($D$5:$H$5,0,W$8+1)-INDEX($D$5:$H$5,0,W$8))+V94)))</f>
        <v>64.377434268608681</v>
      </c>
      <c r="X94" s="11" cm="1">
        <f t="array" ref="X94">IF(X$8=-1,Y94,IF(X$8=99,W94,IF(X$8=0,INDEX($E94:$I94,0,X$6),(INDEX($E94:$I94,0,X$8+1)-INDEX($E94:$I94,0,X$8))/(INDEX($D$5:$H$5,0,X$8+1)-INDEX($D$5:$H$5,0,X$8))+W94)))</f>
        <v>64.377434268608681</v>
      </c>
      <c r="Y94" s="11" cm="1">
        <f t="array" ref="Y94">IF(Y$8=-1,Z94,IF(Y$8=99,X94,IF(Y$8=0,INDEX($E94:$I94,0,Y$6),(INDEX($E94:$I94,0,Y$8+1)-INDEX($E94:$I94,0,Y$8))/(INDEX($D$5:$H$5,0,Y$8+1)-INDEX($D$5:$H$5,0,Y$8))+X94)))</f>
        <v>64.377434268608681</v>
      </c>
      <c r="Z94" s="11" cm="1">
        <f t="array" ref="Z94">IF(Z$8=-1,AA94,IF(Z$8=99,Y94,IF(Z$8=0,INDEX($E94:$I94,0,Z$6),(INDEX($E94:$I94,0,Z$8+1)-INDEX($E94:$I94,0,Z$8))/(INDEX($D$5:$H$5,0,Z$8+1)-INDEX($D$5:$H$5,0,Z$8))+Y94)))</f>
        <v>64.377434268608681</v>
      </c>
      <c r="AA94" s="11" cm="1">
        <f t="array" ref="AA94">IF(AA$8=-1,AB94,IF(AA$8=99,Z94,IF(AA$8=0,INDEX($E94:$I94,0,AA$6),(INDEX($E94:$I94,0,AA$8+1)-INDEX($E94:$I94,0,AA$8))/(INDEX($D$5:$H$5,0,AA$8+1)-INDEX($D$5:$H$5,0,AA$8))+Z94)))</f>
        <v>64.377434268608681</v>
      </c>
      <c r="AB94" s="11" cm="1">
        <f t="array" ref="AB94">IF(AB$8=-1,AC94,IF(AB$8=99,AA94,IF(AB$8=0,INDEX($E94:$I94,0,AB$6),(INDEX($E94:$I94,0,AB$8+1)-INDEX($E94:$I94,0,AB$8))/(INDEX($D$5:$H$5,0,AB$8+1)-INDEX($D$5:$H$5,0,AB$8))+AA94)))</f>
        <v>64.377434268608681</v>
      </c>
      <c r="AC94" s="11" cm="1">
        <f t="array" ref="AC94">IF(AC$8=-1,AD94,IF(AC$8=99,AB94,IF(AC$8=0,INDEX($E94:$I94,0,AC$6),(INDEX($E94:$I94,0,AC$8+1)-INDEX($E94:$I94,0,AC$8))/(INDEX($D$5:$H$5,0,AC$8+1)-INDEX($D$5:$H$5,0,AC$8))+AB94)))</f>
        <v>64.377434268608681</v>
      </c>
      <c r="AD94" s="11" cm="1">
        <f t="array" ref="AD94">IF(AD$8=-1,AE94,IF(AD$8=99,AC94,IF(AD$8=0,INDEX($E94:$I94,0,AD$6),(INDEX($E94:$I94,0,AD$8+1)-INDEX($E94:$I94,0,AD$8))/(INDEX($D$5:$H$5,0,AD$8+1)-INDEX($D$5:$H$5,0,AD$8))+AC94)))</f>
        <v>64.377434268608681</v>
      </c>
      <c r="AE94" s="11" cm="1">
        <f t="array" ref="AE94">IF(AE$8=-1,AF94,IF(AE$8=99,AD94,IF(AE$8=0,INDEX($E94:$I94,0,AE$6),(INDEX($E94:$I94,0,AE$8+1)-INDEX($E94:$I94,0,AE$8))/(INDEX($D$5:$H$5,0,AE$8+1)-INDEX($D$5:$H$5,0,AE$8))+AD94)))</f>
        <v>64.377434268608681</v>
      </c>
      <c r="AF94" s="11" cm="1">
        <f t="array" ref="AF94">IF(AF$8=-1,AG94,IF(AF$8=99,AE94,IF(AF$8=0,INDEX($E94:$I94,0,AF$6),(INDEX($E94:$I94,0,AF$8+1)-INDEX($E94:$I94,0,AF$8))/(INDEX($D$5:$H$5,0,AF$8+1)-INDEX($D$5:$H$5,0,AF$8))+AE94)))</f>
        <v>64.377434268608681</v>
      </c>
      <c r="AG94" s="11" cm="1">
        <f t="array" ref="AG94">IF(AG$8=-1,AH94,IF(AG$8=99,AF94,IF(AG$8=0,INDEX($E94:$I94,0,AG$6),(INDEX($E94:$I94,0,AG$8+1)-INDEX($E94:$I94,0,AG$8))/(INDEX($D$5:$H$5,0,AG$8+1)-INDEX($D$5:$H$5,0,AG$8))+AF94)))</f>
        <v>64.377434268608681</v>
      </c>
      <c r="AH94" s="11" cm="1">
        <f t="array" ref="AH94">IF(AH$8=-1,AI94,IF(AH$8=99,AG94,IF(AH$8=0,INDEX($E94:$I94,0,AH$6),(INDEX($E94:$I94,0,AH$8+1)-INDEX($E94:$I94,0,AH$8))/(INDEX($D$5:$H$5,0,AH$8+1)-INDEX($D$5:$H$5,0,AH$8))+AG94)))</f>
        <v>64.377434268608681</v>
      </c>
      <c r="AI94" s="11" cm="1">
        <f t="array" ref="AI94">IF(AI$8=-1,AJ94,IF(AI$8=99,AH94,IF(AI$8=0,INDEX($E94:$I94,0,AI$6),(INDEX($E94:$I94,0,AI$8+1)-INDEX($E94:$I94,0,AI$8))/(INDEX($D$5:$H$5,0,AI$8+1)-INDEX($D$5:$H$5,0,AI$8))+AH94)))</f>
        <v>64.377434268608681</v>
      </c>
      <c r="AJ94" s="11" cm="1">
        <f t="array" ref="AJ94">IF(AJ$8=-1,AK94,IF(AJ$8=99,AI94,IF(AJ$8=0,INDEX($E94:$I94,0,AJ$6),(INDEX($E94:$I94,0,AJ$8+1)-INDEX($E94:$I94,0,AJ$8))/(INDEX($D$5:$H$5,0,AJ$8+1)-INDEX($D$5:$H$5,0,AJ$8))+AI94)))</f>
        <v>64.377434268608681</v>
      </c>
      <c r="AK94" s="11" cm="1">
        <f t="array" ref="AK94">IF(AK$8=-1,AL94,IF(AK$8=99,AJ94,IF(AK$8=0,INDEX($E94:$I94,0,AK$6),(INDEX($E94:$I94,0,AK$8+1)-INDEX($E94:$I94,0,AK$8))/(INDEX($D$5:$H$5,0,AK$8+1)-INDEX($D$5:$H$5,0,AK$8))+AJ94)))</f>
        <v>64.377434268608681</v>
      </c>
      <c r="AL94" s="11" cm="1">
        <f t="array" ref="AL94">IF(AL$8=-1,AM94,IF(AL$8=99,AK94,IF(AL$8=0,INDEX($E94:$I94,0,AL$6),(INDEX($E94:$I94,0,AL$8+1)-INDEX($E94:$I94,0,AL$8))/(INDEX($D$5:$H$5,0,AL$8+1)-INDEX($D$5:$H$5,0,AL$8))+AK94)))</f>
        <v>64.377434268608681</v>
      </c>
      <c r="AM94" s="11" cm="1">
        <f t="array" ref="AM94">IF(AM$8=-1,AN94,IF(AM$8=99,AL94,IF(AM$8=0,INDEX($E94:$I94,0,AM$6),(INDEX($E94:$I94,0,AM$8+1)-INDEX($E94:$I94,0,AM$8))/(INDEX($D$5:$H$5,0,AM$8+1)-INDEX($D$5:$H$5,0,AM$8))+AL94)))</f>
        <v>64.377434268608681</v>
      </c>
      <c r="AN94" s="11" cm="1">
        <f t="array" ref="AN94">IF(AN$8=-1,AO94,IF(AN$8=99,AM94,IF(AN$8=0,INDEX($E94:$I94,0,AN$6),(INDEX($E94:$I94,0,AN$8+1)-INDEX($E94:$I94,0,AN$8))/(INDEX($D$5:$H$5,0,AN$8+1)-INDEX($D$5:$H$5,0,AN$8))+AM94)))</f>
        <v>64.377434268608681</v>
      </c>
      <c r="AO94" s="11" cm="1">
        <f t="array" ref="AO94">IF(AO$8=-1,AP94,IF(AO$8=99,AN94,IF(AO$8=0,INDEX($E94:$K94,0,AO$6),(INDEX($E94:$K94,0,AO$8+1)-INDEX($E94:$K94,0,AO$8))/(INDEX($D$5:$J$5,0,AO$8+1)-INDEX($D$5:$J$5,0,AO$8))+AN94)))</f>
        <v>64.377434268608681</v>
      </c>
      <c r="AP94" s="11" cm="1">
        <f t="array" ref="AP94">IF(AP$8=-1,AQ94,IF(AP$8=99,AO94,IF(AP$8=0,INDEX($E94:$K94,0,AP$6),(INDEX($E94:$K94,0,AP$8+1)-INDEX($E94:$K94,0,AP$8))/(INDEX($D$5:$J$5,0,AP$8+1)-INDEX($D$5:$J$5,0,AP$8))+AO94)))</f>
        <v>64.377434268608681</v>
      </c>
      <c r="AQ94" s="11" cm="1">
        <f t="array" ref="AQ94">IF(AQ$8=-1,AR94,IF(AQ$8=99,AP94,IF(AQ$8=0,INDEX($E94:$K94,0,AQ$6),(INDEX($E94:$K94,0,AQ$8+1)-INDEX($E94:$K94,0,AQ$8))/(INDEX($D$5:$J$5,0,AQ$8+1)-INDEX($D$5:$J$5,0,AQ$8))+AP94)))</f>
        <v>64.377434268608681</v>
      </c>
      <c r="AR94" s="11" cm="1">
        <f t="array" ref="AR94">IF(AR$8=-1,AS94,IF(AR$8=99,AQ94,IF(AR$8=0,INDEX($E94:$K94,0,AR$6),(INDEX($E94:$K94,0,AR$8+1)-INDEX($E94:$K94,0,AR$8))/(INDEX($D$5:$J$5,0,AR$8+1)-INDEX($D$5:$J$5,0,AR$8))+AQ94)))</f>
        <v>64.377434268608681</v>
      </c>
      <c r="AS94" s="11" cm="1">
        <f t="array" ref="AS94">IF(AS$8=-1,AT94,IF(AS$8=99,AR94,IF(AS$8=0,INDEX($E94:$K94,0,AS$6),(INDEX($E94:$K94,0,AS$8+1)-INDEX($E94:$K94,0,AS$8))/(INDEX($D$5:$J$5,0,AS$8+1)-INDEX($D$5:$J$5,0,AS$8))+AR94)))</f>
        <v>64.377434268608681</v>
      </c>
      <c r="AT94" s="11" cm="1">
        <f t="array" ref="AT94">IF(AT$8=-1,AU94,IF(AT$8=99,AS94,IF(AT$8=0,INDEX($E94:$K94,0,AT$6),(INDEX($E94:$K94,0,AT$8+1)-INDEX($E94:$K94,0,AT$8))/(INDEX($D$5:$J$5,0,AT$8+1)-INDEX($D$5:$J$5,0,AT$8))+AS94)))</f>
        <v>64.377434268608681</v>
      </c>
      <c r="AU94" s="11" cm="1">
        <f t="array" ref="AU94">IF(AU$8=-1,AV94,IF(AU$8=99,AT94,IF(AU$8=0,INDEX($E94:$K94,0,AU$6),(INDEX($E94:$K94,0,AU$8+1)-INDEX($E94:$K94,0,AU$8))/(INDEX($D$5:$J$5,0,AU$8+1)-INDEX($D$5:$J$5,0,AU$8))+AT94)))</f>
        <v>64.377434268608681</v>
      </c>
      <c r="AV94" s="11" cm="1">
        <f t="array" ref="AV94">IF(AV$8=-1,AW94,IF(AV$8=99,AU94,IF(AV$8=0,INDEX($E94:$K94,0,AV$6),(INDEX($E94:$K94,0,AV$8+1)-INDEX($E94:$K94,0,AV$8))/(INDEX($D$5:$J$5,0,AV$8+1)-INDEX($D$5:$J$5,0,AV$8))+AU94)))</f>
        <v>64.377434268608681</v>
      </c>
      <c r="AW94" s="11" cm="1">
        <f t="array" ref="AW94">IF(AW$8=-1,AX94,IF(AW$8=99,AV94,IF(AW$8=0,INDEX($E94:$K94,0,AW$6),(INDEX($E94:$K94,0,AW$8+1)-INDEX($E94:$K94,0,AW$8))/(INDEX($D$5:$J$5,0,AW$8+1)-INDEX($D$5:$J$5,0,AW$8))+AV94)))</f>
        <v>64.377434268608681</v>
      </c>
      <c r="AX94" s="11" cm="1">
        <f t="array" ref="AX94">IF(AX$8=-1,AY94,IF(AX$8=99,AW94,IF(AX$8=0,INDEX($E94:$K94,0,AX$6),(INDEX($E94:$K94,0,AX$8+1)-INDEX($E94:$K94,0,AX$8))/(INDEX($D$5:$J$5,0,AX$8+1)-INDEX($D$5:$J$5,0,AX$8))+AW94)))</f>
        <v>64.377434268608681</v>
      </c>
      <c r="AY94" s="11" cm="1">
        <f t="array" ref="AY94">IF(AY$8=-1,AZ94,IF(AY$8=99,AX94,IF(AY$8=0,INDEX($E94:$K94,0,AY$6),(INDEX($E94:$K94,0,AY$8+1)-INDEX($E94:$K94,0,AY$8))/(INDEX($D$5:$J$5,0,AY$8+1)-INDEX($D$5:$J$5,0,AY$8))+AX94)))</f>
        <v>64.377434268608681</v>
      </c>
      <c r="AZ94" s="11" cm="1">
        <f t="array" ref="AZ94">IF(AZ$8=-1,BA94,IF(AZ$8=99,AY94,IF(AZ$8=0,INDEX($E94:$K94,0,AZ$6),(INDEX($E94:$K94,0,AZ$8+1)-INDEX($E94:$K94,0,AZ$8))/(INDEX($D$5:$J$5,0,AZ$8+1)-INDEX($D$5:$J$5,0,AZ$8))+AY94)))</f>
        <v>64.377434268608681</v>
      </c>
      <c r="BA94" s="11" cm="1">
        <f t="array" ref="BA94">IF(BA$8=-1,BB94,IF(BA$8=99,AZ94,IF(BA$8=0,INDEX($E94:$K94,0,BA$6),(INDEX($E94:$K94,0,BA$8+1)-INDEX($E94:$K94,0,BA$8))/(INDEX($D$5:$J$5,0,BA$8+1)-INDEX($D$5:$J$5,0,BA$8))+AZ94)))</f>
        <v>64.377434268608681</v>
      </c>
      <c r="BB94" s="11" cm="1">
        <f t="array" ref="BB94">IF(BB$8=-1,BC94,IF(BB$8=99,BA94,IF(BB$8=0,INDEX($E94:$K94,0,BB$6),(INDEX($E94:$K94,0,BB$8+1)-INDEX($E94:$K94,0,BB$8))/(INDEX($D$5:$J$5,0,BB$8+1)-INDEX($D$5:$J$5,0,BB$8))+BA94)))</f>
        <v>64.377434268608681</v>
      </c>
      <c r="BC94" s="11" cm="1">
        <f t="array" ref="BC94">IF(BC$8=-1,BD94,IF(BC$8=99,BB94,IF(BC$8=0,INDEX($E94:$K94,0,BC$6),(INDEX($E94:$K94,0,BC$8+1)-INDEX($E94:$K94,0,BC$8))/(INDEX($D$5:$J$5,0,BC$8+1)-INDEX($D$5:$J$5,0,BC$8))+BB94)))</f>
        <v>64.377434268608681</v>
      </c>
      <c r="BD94" s="11" cm="1">
        <f t="array" ref="BD94">IF(BD$8=-1,BE94,IF(BD$8=99,BC94,IF(BD$8=0,INDEX($E94:$K94,0,BD$6),(INDEX($E94:$K94,0,BD$8+1)-INDEX($E94:$K94,0,BD$8))/(INDEX($D$5:$J$5,0,BD$8+1)-INDEX($D$5:$J$5,0,BD$8))+BC94)))</f>
        <v>64.377434268608681</v>
      </c>
      <c r="BE94" s="11" cm="1">
        <f t="array" ref="BE94">IF(BE$8=-1,BF94,IF(BE$8=99,BD94,IF(BE$8=0,INDEX($E94:$K94,0,BE$6),(INDEX($E94:$K94,0,BE$8+1)-INDEX($E94:$K94,0,BE$8))/(INDEX($D$5:$J$5,0,BE$8+1)-INDEX($D$5:$J$5,0,BE$8))+BD94)))</f>
        <v>64.377434268608681</v>
      </c>
      <c r="BF94" s="11" cm="1">
        <f t="array" ref="BF94">IF(BF$8=-1,BG94,IF(BF$8=99,BE94,IF(BF$8=0,INDEX($E94:$K94,0,BF$6),(INDEX($E94:$K94,0,BF$8+1)-INDEX($E94:$K94,0,BF$8))/(INDEX($D$5:$J$5,0,BF$8+1)-INDEX($D$5:$J$5,0,BF$8))+BE94)))</f>
        <v>64.377434268608681</v>
      </c>
      <c r="BG94" s="11" cm="1">
        <f t="array" ref="BG94">IF(BG$8=-1,BH94,IF(BG$8=99,BF94,IF(BG$8=0,INDEX($E94:$K94,0,BG$6),(INDEX($E94:$K94,0,BG$8+1)-INDEX($E94:$K94,0,BG$8))/(INDEX($D$5:$J$5,0,BG$8+1)-INDEX($D$5:$J$5,0,BG$8))+BF94)))</f>
        <v>64.377434268608681</v>
      </c>
      <c r="BH94" s="11" cm="1">
        <f t="array" ref="BH94">IF(BH$8=-1,BI94,IF(BH$8=99,BG94,IF(BH$8=0,INDEX($E94:$K94,0,BH$6),(INDEX($E94:$K94,0,BH$8+1)-INDEX($E94:$K94,0,BH$8))/(INDEX($D$5:$J$5,0,BH$8+1)-INDEX($D$5:$J$5,0,BH$8))+BG94)))</f>
        <v>64.377434268608681</v>
      </c>
      <c r="BI94" s="11" cm="1">
        <f t="array" ref="BI94">IF(BI$8=-1,BJ94,IF(BI$8=99,BH94,IF(BI$8=0,INDEX($E94:$K94,0,BI$6),(INDEX($E94:$K94,0,BI$8+1)-INDEX($E94:$K94,0,BI$8))/(INDEX($D$5:$J$5,0,BI$8+1)-INDEX($D$5:$J$5,0,BI$8))+BH94)))</f>
        <v>64.377434268608681</v>
      </c>
      <c r="BJ94" s="11" cm="1">
        <f t="array" ref="BJ94">IF(BJ$8=-1,BK94,IF(BJ$8=99,BI94,IF(BJ$8=0,INDEX($E94:$K94,0,BJ$6),(INDEX($E94:$K94,0,BJ$8+1)-INDEX($E94:$K94,0,BJ$8))/(INDEX($D$5:$J$5,0,BJ$8+1)-INDEX($D$5:$J$5,0,BJ$8))+BI94)))</f>
        <v>64.377434268608681</v>
      </c>
      <c r="BK94" s="11" cm="1">
        <f t="array" ref="BK94">IF(BK$8=-1,BL94,IF(BK$8=99,BJ94,IF(BK$8=0,INDEX($E94:$K94,0,BK$6),(INDEX($E94:$K94,0,BK$8+1)-INDEX($E94:$K94,0,BK$8))/(INDEX($D$5:$J$5,0,BK$8+1)-INDEX($D$5:$J$5,0,BK$8))+BJ94)))</f>
        <v>64.377434268608681</v>
      </c>
      <c r="BL94" s="11" cm="1">
        <f t="array" ref="BL94">IF(BL$8=-1,BM94,IF(BL$8=99,BK94,IF(BL$8=0,INDEX($E94:$K94,0,BL$6),(INDEX($E94:$K94,0,BL$8+1)-INDEX($E94:$K94,0,BL$8))/(INDEX($D$5:$J$5,0,BL$8+1)-INDEX($D$5:$J$5,0,BL$8))+BK94)))</f>
        <v>64.377434268608681</v>
      </c>
      <c r="BM94" s="11" cm="1">
        <f t="array" ref="BM94">IF(BM$8=-1,BN94,IF(BM$8=99,BL94,IF(BM$8=0,INDEX($E94:$K94,0,BM$6),(INDEX($E94:$K94,0,BM$8+1)-INDEX($E94:$K94,0,BM$8))/(INDEX($D$5:$J$5,0,BM$8+1)-INDEX($D$5:$J$5,0,BM$8))+BL94)))</f>
        <v>64.377434268608681</v>
      </c>
      <c r="BN94" s="11" cm="1">
        <f t="array" ref="BN94">IF(BN$8=-1,BO94,IF(BN$8=99,BM94,IF(BN$8=0,INDEX($E94:$K94,0,BN$6),(INDEX($E94:$K94,0,BN$8+1)-INDEX($E94:$K94,0,BN$8))/(INDEX($D$5:$J$5,0,BN$8+1)-INDEX($D$5:$J$5,0,BN$8))+BM94)))</f>
        <v>64.377434268608681</v>
      </c>
      <c r="BO94" s="11" cm="1">
        <f t="array" ref="BO94">IF(BO$8=-1,BP94,IF(BO$8=99,BN94,IF(BO$8=0,INDEX($E94:$K94,0,BO$6),(INDEX($E94:$K94,0,BO$8+1)-INDEX($E94:$K94,0,BO$8))/(INDEX($D$5:$J$5,0,BO$8+1)-INDEX($D$5:$J$5,0,BO$8))+BN94)))</f>
        <v>64.377434268608681</v>
      </c>
      <c r="BP94" s="11" cm="1">
        <f t="array" ref="BP94">IF(BP$8=-1,BQ94,IF(BP$8=99,BO94,IF(BP$8=0,INDEX($E94:$K94,0,BP$6),(INDEX($E94:$K94,0,BP$8+1)-INDEX($E94:$K94,0,BP$8))/(INDEX($D$5:$J$5,0,BP$8+1)-INDEX($D$5:$J$5,0,BP$8))+BO94)))</f>
        <v>64.377434268608681</v>
      </c>
      <c r="BQ94" s="11" cm="1">
        <f t="array" ref="BQ94">IF(BQ$8=-1,BR94,IF(BQ$8=99,BP94,IF(BQ$8=0,INDEX($E94:$K94,0,BQ$6),(INDEX($E94:$K94,0,BQ$8+1)-INDEX($E94:$K94,0,BQ$8))/(INDEX($D$5:$J$5,0,BQ$8+1)-INDEX($D$5:$J$5,0,BQ$8))+BP94)))</f>
        <v>64.377434268608681</v>
      </c>
      <c r="BR94" s="11" cm="1">
        <f t="array" ref="BR94">IF(BR$8=-1,BS94,IF(BR$8=99,BQ94,IF(BR$8=0,INDEX($E94:$K94,0,BR$6),(INDEX($E94:$K94,0,BR$8+1)-INDEX($E94:$K94,0,BR$8))/(INDEX($D$5:$J$5,0,BR$8+1)-INDEX($D$5:$J$5,0,BR$8))+BQ94)))</f>
        <v>64.377434268608681</v>
      </c>
    </row>
    <row r="95" spans="1:70" ht="15">
      <c r="A95" t="s">
        <v>16</v>
      </c>
      <c r="B95" s="5" t="str">
        <f t="shared" si="154"/>
        <v>CEL</v>
      </c>
      <c r="C95" s="75" t="str">
        <f t="shared" si="151"/>
        <v>Commercial - Lighting</v>
      </c>
      <c r="D95" s="75" t="s">
        <v>66</v>
      </c>
      <c r="E95" s="84">
        <f t="shared" si="155"/>
        <v>915.10615144128883</v>
      </c>
      <c r="F95" s="92">
        <f t="shared" si="155"/>
        <v>802.64469417063674</v>
      </c>
      <c r="G95" s="92">
        <f t="shared" si="152"/>
        <v>802.64469417063674</v>
      </c>
      <c r="H95" s="92">
        <f t="shared" si="156"/>
        <v>802.64469417063674</v>
      </c>
      <c r="I95" s="134">
        <f t="shared" si="157"/>
        <v>802.64469417063674</v>
      </c>
      <c r="J95" s="134">
        <f t="shared" si="153"/>
        <v>802.64469417063674</v>
      </c>
      <c r="K95" s="134">
        <f t="shared" si="153"/>
        <v>802.64469417063674</v>
      </c>
      <c r="L95" s="11" cm="1">
        <f t="array" ref="L95">IF(L$8=-1,M95,IF(L$8=99,I95,IF(L$8=0,INDEX($E95:$I95,0,L$6),(INDEX($E95:$I95,0,L$8+1)-INDEX($E95:$I95,0,L$8))/(INDEX($D$5:$H$5,0,L$8+1)-INDEX($D$5:$H$5,0,L$8))+I95)))</f>
        <v>915.10615144128883</v>
      </c>
      <c r="M95" s="11" cm="1">
        <f t="array" ref="M95">IF(M$8=-1,N95,IF(M$8=99,L95,IF(M$8=0,INDEX($E95:$I95,0,M$6),(INDEX($E95:$I95,0,M$8+1)-INDEX($E95:$I95,0,M$8))/(INDEX($D$5:$H$5,0,M$8+1)-INDEX($D$5:$H$5,0,M$8))+L95)))</f>
        <v>892.61385998715843</v>
      </c>
      <c r="N95" s="11" cm="1">
        <f t="array" ref="N95">IF(N$8=-1,O95,IF(N$8=99,M95,IF(N$8=0,INDEX($E95:$I95,0,N$6),(INDEX($E95:$I95,0,N$8+1)-INDEX($E95:$I95,0,N$8))/(INDEX($D$5:$H$5,0,N$8+1)-INDEX($D$5:$H$5,0,N$8))+M95)))</f>
        <v>870.12156853302804</v>
      </c>
      <c r="O95" s="11" cm="1">
        <f t="array" ref="O95">IF(O$8=-1,P95,IF(O$8=99,N95,IF(O$8=0,INDEX($E95:$I95,0,O$6),(INDEX($E95:$I95,0,O$8+1)-INDEX($E95:$I95,0,O$8))/(INDEX($D$5:$H$5,0,O$8+1)-INDEX($D$5:$H$5,0,O$8))+N95)))</f>
        <v>847.62927707889764</v>
      </c>
      <c r="P95" s="11" cm="1">
        <f t="array" ref="P95">IF(P$8=-1,Q95,IF(P$8=99,O95,IF(P$8=0,INDEX($E95:$I95,0,P$6),(INDEX($E95:$I95,0,P$8+1)-INDEX($E95:$I95,0,P$8))/(INDEX($D$5:$H$5,0,P$8+1)-INDEX($D$5:$H$5,0,P$8))+O95)))</f>
        <v>825.13698562476725</v>
      </c>
      <c r="Q95" s="11" cm="1">
        <f t="array" ref="Q95">IF(Q$8=-1,R95,IF(Q$8=99,P95,IF(Q$8=0,INDEX($E95:$I95,0,Q$6),(INDEX($E95:$I95,0,Q$8+1)-INDEX($E95:$I95,0,Q$8))/(INDEX($D$5:$H$5,0,Q$8+1)-INDEX($D$5:$H$5,0,Q$8))+P95)))</f>
        <v>802.64469417063674</v>
      </c>
      <c r="R95" s="11" cm="1">
        <f t="array" ref="R95">IF(R$8=-1,S95,IF(R$8=99,Q95,IF(R$8=0,INDEX($E95:$I95,0,R$6),(INDEX($E95:$I95,0,R$8+1)-INDEX($E95:$I95,0,R$8))/(INDEX($D$5:$H$5,0,R$8+1)-INDEX($D$5:$H$5,0,R$8))+Q95)))</f>
        <v>802.64469417063674</v>
      </c>
      <c r="S95" s="11" cm="1">
        <f t="array" ref="S95">IF(S$8=-1,T95,IF(S$8=99,R95,IF(S$8=0,INDEX($E95:$I95,0,S$6),(INDEX($E95:$I95,0,S$8+1)-INDEX($E95:$I95,0,S$8))/(INDEX($D$5:$H$5,0,S$8+1)-INDEX($D$5:$H$5,0,S$8))+R95)))</f>
        <v>802.64469417063674</v>
      </c>
      <c r="T95" s="11" cm="1">
        <f t="array" ref="T95">IF(T$8=-1,U95,IF(T$8=99,S95,IF(T$8=0,INDEX($E95:$I95,0,T$6),(INDEX($E95:$I95,0,T$8+1)-INDEX($E95:$I95,0,T$8))/(INDEX($D$5:$H$5,0,T$8+1)-INDEX($D$5:$H$5,0,T$8))+S95)))</f>
        <v>802.64469417063674</v>
      </c>
      <c r="U95" s="11" cm="1">
        <f t="array" ref="U95">IF(U$8=-1,V95,IF(U$8=99,T95,IF(U$8=0,INDEX($E95:$I95,0,U$6),(INDEX($E95:$I95,0,U$8+1)-INDEX($E95:$I95,0,U$8))/(INDEX($D$5:$H$5,0,U$8+1)-INDEX($D$5:$H$5,0,U$8))+T95)))</f>
        <v>802.64469417063674</v>
      </c>
      <c r="V95" s="11" cm="1">
        <f t="array" ref="V95">IF(V$8=-1,W95,IF(V$8=99,U95,IF(V$8=0,INDEX($E95:$I95,0,V$6),(INDEX($E95:$I95,0,V$8+1)-INDEX($E95:$I95,0,V$8))/(INDEX($D$5:$H$5,0,V$8+1)-INDEX($D$5:$H$5,0,V$8))+U95)))</f>
        <v>802.64469417063674</v>
      </c>
      <c r="W95" s="11" cm="1">
        <f t="array" ref="W95">IF(W$8=-1,X95,IF(W$8=99,V95,IF(W$8=0,INDEX($E95:$I95,0,W$6),(INDEX($E95:$I95,0,W$8+1)-INDEX($E95:$I95,0,W$8))/(INDEX($D$5:$H$5,0,W$8+1)-INDEX($D$5:$H$5,0,W$8))+V95)))</f>
        <v>802.64469417063674</v>
      </c>
      <c r="X95" s="11" cm="1">
        <f t="array" ref="X95">IF(X$8=-1,Y95,IF(X$8=99,W95,IF(X$8=0,INDEX($E95:$I95,0,X$6),(INDEX($E95:$I95,0,X$8+1)-INDEX($E95:$I95,0,X$8))/(INDEX($D$5:$H$5,0,X$8+1)-INDEX($D$5:$H$5,0,X$8))+W95)))</f>
        <v>802.64469417063674</v>
      </c>
      <c r="Y95" s="11" cm="1">
        <f t="array" ref="Y95">IF(Y$8=-1,Z95,IF(Y$8=99,X95,IF(Y$8=0,INDEX($E95:$I95,0,Y$6),(INDEX($E95:$I95,0,Y$8+1)-INDEX($E95:$I95,0,Y$8))/(INDEX($D$5:$H$5,0,Y$8+1)-INDEX($D$5:$H$5,0,Y$8))+X95)))</f>
        <v>802.64469417063674</v>
      </c>
      <c r="Z95" s="11" cm="1">
        <f t="array" ref="Z95">IF(Z$8=-1,AA95,IF(Z$8=99,Y95,IF(Z$8=0,INDEX($E95:$I95,0,Z$6),(INDEX($E95:$I95,0,Z$8+1)-INDEX($E95:$I95,0,Z$8))/(INDEX($D$5:$H$5,0,Z$8+1)-INDEX($D$5:$H$5,0,Z$8))+Y95)))</f>
        <v>802.64469417063674</v>
      </c>
      <c r="AA95" s="11" cm="1">
        <f t="array" ref="AA95">IF(AA$8=-1,AB95,IF(AA$8=99,Z95,IF(AA$8=0,INDEX($E95:$I95,0,AA$6),(INDEX($E95:$I95,0,AA$8+1)-INDEX($E95:$I95,0,AA$8))/(INDEX($D$5:$H$5,0,AA$8+1)-INDEX($D$5:$H$5,0,AA$8))+Z95)))</f>
        <v>802.64469417063674</v>
      </c>
      <c r="AB95" s="11" cm="1">
        <f t="array" ref="AB95">IF(AB$8=-1,AC95,IF(AB$8=99,AA95,IF(AB$8=0,INDEX($E95:$I95,0,AB$6),(INDEX($E95:$I95,0,AB$8+1)-INDEX($E95:$I95,0,AB$8))/(INDEX($D$5:$H$5,0,AB$8+1)-INDEX($D$5:$H$5,0,AB$8))+AA95)))</f>
        <v>802.64469417063674</v>
      </c>
      <c r="AC95" s="11" cm="1">
        <f t="array" ref="AC95">IF(AC$8=-1,AD95,IF(AC$8=99,AB95,IF(AC$8=0,INDEX($E95:$I95,0,AC$6),(INDEX($E95:$I95,0,AC$8+1)-INDEX($E95:$I95,0,AC$8))/(INDEX($D$5:$H$5,0,AC$8+1)-INDEX($D$5:$H$5,0,AC$8))+AB95)))</f>
        <v>802.64469417063674</v>
      </c>
      <c r="AD95" s="11" cm="1">
        <f t="array" ref="AD95">IF(AD$8=-1,AE95,IF(AD$8=99,AC95,IF(AD$8=0,INDEX($E95:$I95,0,AD$6),(INDEX($E95:$I95,0,AD$8+1)-INDEX($E95:$I95,0,AD$8))/(INDEX($D$5:$H$5,0,AD$8+1)-INDEX($D$5:$H$5,0,AD$8))+AC95)))</f>
        <v>802.64469417063674</v>
      </c>
      <c r="AE95" s="11" cm="1">
        <f t="array" ref="AE95">IF(AE$8=-1,AF95,IF(AE$8=99,AD95,IF(AE$8=0,INDEX($E95:$I95,0,AE$6),(INDEX($E95:$I95,0,AE$8+1)-INDEX($E95:$I95,0,AE$8))/(INDEX($D$5:$H$5,0,AE$8+1)-INDEX($D$5:$H$5,0,AE$8))+AD95)))</f>
        <v>802.64469417063674</v>
      </c>
      <c r="AF95" s="11" cm="1">
        <f t="array" ref="AF95">IF(AF$8=-1,AG95,IF(AF$8=99,AE95,IF(AF$8=0,INDEX($E95:$I95,0,AF$6),(INDEX($E95:$I95,0,AF$8+1)-INDEX($E95:$I95,0,AF$8))/(INDEX($D$5:$H$5,0,AF$8+1)-INDEX($D$5:$H$5,0,AF$8))+AE95)))</f>
        <v>802.64469417063674</v>
      </c>
      <c r="AG95" s="11" cm="1">
        <f t="array" ref="AG95">IF(AG$8=-1,AH95,IF(AG$8=99,AF95,IF(AG$8=0,INDEX($E95:$I95,0,AG$6),(INDEX($E95:$I95,0,AG$8+1)-INDEX($E95:$I95,0,AG$8))/(INDEX($D$5:$H$5,0,AG$8+1)-INDEX($D$5:$H$5,0,AG$8))+AF95)))</f>
        <v>802.64469417063674</v>
      </c>
      <c r="AH95" s="11" cm="1">
        <f t="array" ref="AH95">IF(AH$8=-1,AI95,IF(AH$8=99,AG95,IF(AH$8=0,INDEX($E95:$I95,0,AH$6),(INDEX($E95:$I95,0,AH$8+1)-INDEX($E95:$I95,0,AH$8))/(INDEX($D$5:$H$5,0,AH$8+1)-INDEX($D$5:$H$5,0,AH$8))+AG95)))</f>
        <v>802.64469417063674</v>
      </c>
      <c r="AI95" s="11" cm="1">
        <f t="array" ref="AI95">IF(AI$8=-1,AJ95,IF(AI$8=99,AH95,IF(AI$8=0,INDEX($E95:$I95,0,AI$6),(INDEX($E95:$I95,0,AI$8+1)-INDEX($E95:$I95,0,AI$8))/(INDEX($D$5:$H$5,0,AI$8+1)-INDEX($D$5:$H$5,0,AI$8))+AH95)))</f>
        <v>802.64469417063674</v>
      </c>
      <c r="AJ95" s="11" cm="1">
        <f t="array" ref="AJ95">IF(AJ$8=-1,AK95,IF(AJ$8=99,AI95,IF(AJ$8=0,INDEX($E95:$I95,0,AJ$6),(INDEX($E95:$I95,0,AJ$8+1)-INDEX($E95:$I95,0,AJ$8))/(INDEX($D$5:$H$5,0,AJ$8+1)-INDEX($D$5:$H$5,0,AJ$8))+AI95)))</f>
        <v>802.64469417063674</v>
      </c>
      <c r="AK95" s="11" cm="1">
        <f t="array" ref="AK95">IF(AK$8=-1,AL95,IF(AK$8=99,AJ95,IF(AK$8=0,INDEX($E95:$I95,0,AK$6),(INDEX($E95:$I95,0,AK$8+1)-INDEX($E95:$I95,0,AK$8))/(INDEX($D$5:$H$5,0,AK$8+1)-INDEX($D$5:$H$5,0,AK$8))+AJ95)))</f>
        <v>802.64469417063674</v>
      </c>
      <c r="AL95" s="11" cm="1">
        <f t="array" ref="AL95">IF(AL$8=-1,AM95,IF(AL$8=99,AK95,IF(AL$8=0,INDEX($E95:$I95,0,AL$6),(INDEX($E95:$I95,0,AL$8+1)-INDEX($E95:$I95,0,AL$8))/(INDEX($D$5:$H$5,0,AL$8+1)-INDEX($D$5:$H$5,0,AL$8))+AK95)))</f>
        <v>802.64469417063674</v>
      </c>
      <c r="AM95" s="11" cm="1">
        <f t="array" ref="AM95">IF(AM$8=-1,AN95,IF(AM$8=99,AL95,IF(AM$8=0,INDEX($E95:$I95,0,AM$6),(INDEX($E95:$I95,0,AM$8+1)-INDEX($E95:$I95,0,AM$8))/(INDEX($D$5:$H$5,0,AM$8+1)-INDEX($D$5:$H$5,0,AM$8))+AL95)))</f>
        <v>802.64469417063674</v>
      </c>
      <c r="AN95" s="11" cm="1">
        <f t="array" ref="AN95">IF(AN$8=-1,AO95,IF(AN$8=99,AM95,IF(AN$8=0,INDEX($E95:$I95,0,AN$6),(INDEX($E95:$I95,0,AN$8+1)-INDEX($E95:$I95,0,AN$8))/(INDEX($D$5:$H$5,0,AN$8+1)-INDEX($D$5:$H$5,0,AN$8))+AM95)))</f>
        <v>802.64469417063674</v>
      </c>
      <c r="AO95" s="11" cm="1">
        <f t="array" ref="AO95">IF(AO$8=-1,AP95,IF(AO$8=99,AN95,IF(AO$8=0,INDEX($E95:$K95,0,AO$6),(INDEX($E95:$K95,0,AO$8+1)-INDEX($E95:$K95,0,AO$8))/(INDEX($D$5:$J$5,0,AO$8+1)-INDEX($D$5:$J$5,0,AO$8))+AN95)))</f>
        <v>802.64469417063674</v>
      </c>
      <c r="AP95" s="11" cm="1">
        <f t="array" ref="AP95">IF(AP$8=-1,AQ95,IF(AP$8=99,AO95,IF(AP$8=0,INDEX($E95:$K95,0,AP$6),(INDEX($E95:$K95,0,AP$8+1)-INDEX($E95:$K95,0,AP$8))/(INDEX($D$5:$J$5,0,AP$8+1)-INDEX($D$5:$J$5,0,AP$8))+AO95)))</f>
        <v>802.64469417063674</v>
      </c>
      <c r="AQ95" s="11" cm="1">
        <f t="array" ref="AQ95">IF(AQ$8=-1,AR95,IF(AQ$8=99,AP95,IF(AQ$8=0,INDEX($E95:$K95,0,AQ$6),(INDEX($E95:$K95,0,AQ$8+1)-INDEX($E95:$K95,0,AQ$8))/(INDEX($D$5:$J$5,0,AQ$8+1)-INDEX($D$5:$J$5,0,AQ$8))+AP95)))</f>
        <v>802.64469417063674</v>
      </c>
      <c r="AR95" s="11" cm="1">
        <f t="array" ref="AR95">IF(AR$8=-1,AS95,IF(AR$8=99,AQ95,IF(AR$8=0,INDEX($E95:$K95,0,AR$6),(INDEX($E95:$K95,0,AR$8+1)-INDEX($E95:$K95,0,AR$8))/(INDEX($D$5:$J$5,0,AR$8+1)-INDEX($D$5:$J$5,0,AR$8))+AQ95)))</f>
        <v>802.64469417063674</v>
      </c>
      <c r="AS95" s="11" cm="1">
        <f t="array" ref="AS95">IF(AS$8=-1,AT95,IF(AS$8=99,AR95,IF(AS$8=0,INDEX($E95:$K95,0,AS$6),(INDEX($E95:$K95,0,AS$8+1)-INDEX($E95:$K95,0,AS$8))/(INDEX($D$5:$J$5,0,AS$8+1)-INDEX($D$5:$J$5,0,AS$8))+AR95)))</f>
        <v>802.64469417063674</v>
      </c>
      <c r="AT95" s="11" cm="1">
        <f t="array" ref="AT95">IF(AT$8=-1,AU95,IF(AT$8=99,AS95,IF(AT$8=0,INDEX($E95:$K95,0,AT$6),(INDEX($E95:$K95,0,AT$8+1)-INDEX($E95:$K95,0,AT$8))/(INDEX($D$5:$J$5,0,AT$8+1)-INDEX($D$5:$J$5,0,AT$8))+AS95)))</f>
        <v>802.64469417063674</v>
      </c>
      <c r="AU95" s="11" cm="1">
        <f t="array" ref="AU95">IF(AU$8=-1,AV95,IF(AU$8=99,AT95,IF(AU$8=0,INDEX($E95:$K95,0,AU$6),(INDEX($E95:$K95,0,AU$8+1)-INDEX($E95:$K95,0,AU$8))/(INDEX($D$5:$J$5,0,AU$8+1)-INDEX($D$5:$J$5,0,AU$8))+AT95)))</f>
        <v>802.64469417063674</v>
      </c>
      <c r="AV95" s="11" cm="1">
        <f t="array" ref="AV95">IF(AV$8=-1,AW95,IF(AV$8=99,AU95,IF(AV$8=0,INDEX($E95:$K95,0,AV$6),(INDEX($E95:$K95,0,AV$8+1)-INDEX($E95:$K95,0,AV$8))/(INDEX($D$5:$J$5,0,AV$8+1)-INDEX($D$5:$J$5,0,AV$8))+AU95)))</f>
        <v>802.64469417063674</v>
      </c>
      <c r="AW95" s="11" cm="1">
        <f t="array" ref="AW95">IF(AW$8=-1,AX95,IF(AW$8=99,AV95,IF(AW$8=0,INDEX($E95:$K95,0,AW$6),(INDEX($E95:$K95,0,AW$8+1)-INDEX($E95:$K95,0,AW$8))/(INDEX($D$5:$J$5,0,AW$8+1)-INDEX($D$5:$J$5,0,AW$8))+AV95)))</f>
        <v>802.64469417063674</v>
      </c>
      <c r="AX95" s="11" cm="1">
        <f t="array" ref="AX95">IF(AX$8=-1,AY95,IF(AX$8=99,AW95,IF(AX$8=0,INDEX($E95:$K95,0,AX$6),(INDEX($E95:$K95,0,AX$8+1)-INDEX($E95:$K95,0,AX$8))/(INDEX($D$5:$J$5,0,AX$8+1)-INDEX($D$5:$J$5,0,AX$8))+AW95)))</f>
        <v>802.64469417063674</v>
      </c>
      <c r="AY95" s="11" cm="1">
        <f t="array" ref="AY95">IF(AY$8=-1,AZ95,IF(AY$8=99,AX95,IF(AY$8=0,INDEX($E95:$K95,0,AY$6),(INDEX($E95:$K95,0,AY$8+1)-INDEX($E95:$K95,0,AY$8))/(INDEX($D$5:$J$5,0,AY$8+1)-INDEX($D$5:$J$5,0,AY$8))+AX95)))</f>
        <v>802.64469417063674</v>
      </c>
      <c r="AZ95" s="11" cm="1">
        <f t="array" ref="AZ95">IF(AZ$8=-1,BA95,IF(AZ$8=99,AY95,IF(AZ$8=0,INDEX($E95:$K95,0,AZ$6),(INDEX($E95:$K95,0,AZ$8+1)-INDEX($E95:$K95,0,AZ$8))/(INDEX($D$5:$J$5,0,AZ$8+1)-INDEX($D$5:$J$5,0,AZ$8))+AY95)))</f>
        <v>802.64469417063674</v>
      </c>
      <c r="BA95" s="11" cm="1">
        <f t="array" ref="BA95">IF(BA$8=-1,BB95,IF(BA$8=99,AZ95,IF(BA$8=0,INDEX($E95:$K95,0,BA$6),(INDEX($E95:$K95,0,BA$8+1)-INDEX($E95:$K95,0,BA$8))/(INDEX($D$5:$J$5,0,BA$8+1)-INDEX($D$5:$J$5,0,BA$8))+AZ95)))</f>
        <v>802.64469417063674</v>
      </c>
      <c r="BB95" s="11" cm="1">
        <f t="array" ref="BB95">IF(BB$8=-1,BC95,IF(BB$8=99,BA95,IF(BB$8=0,INDEX($E95:$K95,0,BB$6),(INDEX($E95:$K95,0,BB$8+1)-INDEX($E95:$K95,0,BB$8))/(INDEX($D$5:$J$5,0,BB$8+1)-INDEX($D$5:$J$5,0,BB$8))+BA95)))</f>
        <v>802.64469417063674</v>
      </c>
      <c r="BC95" s="11" cm="1">
        <f t="array" ref="BC95">IF(BC$8=-1,BD95,IF(BC$8=99,BB95,IF(BC$8=0,INDEX($E95:$K95,0,BC$6),(INDEX($E95:$K95,0,BC$8+1)-INDEX($E95:$K95,0,BC$8))/(INDEX($D$5:$J$5,0,BC$8+1)-INDEX($D$5:$J$5,0,BC$8))+BB95)))</f>
        <v>802.64469417063674</v>
      </c>
      <c r="BD95" s="11" cm="1">
        <f t="array" ref="BD95">IF(BD$8=-1,BE95,IF(BD$8=99,BC95,IF(BD$8=0,INDEX($E95:$K95,0,BD$6),(INDEX($E95:$K95,0,BD$8+1)-INDEX($E95:$K95,0,BD$8))/(INDEX($D$5:$J$5,0,BD$8+1)-INDEX($D$5:$J$5,0,BD$8))+BC95)))</f>
        <v>802.64469417063674</v>
      </c>
      <c r="BE95" s="11" cm="1">
        <f t="array" ref="BE95">IF(BE$8=-1,BF95,IF(BE$8=99,BD95,IF(BE$8=0,INDEX($E95:$K95,0,BE$6),(INDEX($E95:$K95,0,BE$8+1)-INDEX($E95:$K95,0,BE$8))/(INDEX($D$5:$J$5,0,BE$8+1)-INDEX($D$5:$J$5,0,BE$8))+BD95)))</f>
        <v>802.64469417063674</v>
      </c>
      <c r="BF95" s="11" cm="1">
        <f t="array" ref="BF95">IF(BF$8=-1,BG95,IF(BF$8=99,BE95,IF(BF$8=0,INDEX($E95:$K95,0,BF$6),(INDEX($E95:$K95,0,BF$8+1)-INDEX($E95:$K95,0,BF$8))/(INDEX($D$5:$J$5,0,BF$8+1)-INDEX($D$5:$J$5,0,BF$8))+BE95)))</f>
        <v>802.64469417063674</v>
      </c>
      <c r="BG95" s="11" cm="1">
        <f t="array" ref="BG95">IF(BG$8=-1,BH95,IF(BG$8=99,BF95,IF(BG$8=0,INDEX($E95:$K95,0,BG$6),(INDEX($E95:$K95,0,BG$8+1)-INDEX($E95:$K95,0,BG$8))/(INDEX($D$5:$J$5,0,BG$8+1)-INDEX($D$5:$J$5,0,BG$8))+BF95)))</f>
        <v>802.64469417063674</v>
      </c>
      <c r="BH95" s="11" cm="1">
        <f t="array" ref="BH95">IF(BH$8=-1,BI95,IF(BH$8=99,BG95,IF(BH$8=0,INDEX($E95:$K95,0,BH$6),(INDEX($E95:$K95,0,BH$8+1)-INDEX($E95:$K95,0,BH$8))/(INDEX($D$5:$J$5,0,BH$8+1)-INDEX($D$5:$J$5,0,BH$8))+BG95)))</f>
        <v>802.64469417063674</v>
      </c>
      <c r="BI95" s="11" cm="1">
        <f t="array" ref="BI95">IF(BI$8=-1,BJ95,IF(BI$8=99,BH95,IF(BI$8=0,INDEX($E95:$K95,0,BI$6),(INDEX($E95:$K95,0,BI$8+1)-INDEX($E95:$K95,0,BI$8))/(INDEX($D$5:$J$5,0,BI$8+1)-INDEX($D$5:$J$5,0,BI$8))+BH95)))</f>
        <v>802.64469417063674</v>
      </c>
      <c r="BJ95" s="11" cm="1">
        <f t="array" ref="BJ95">IF(BJ$8=-1,BK95,IF(BJ$8=99,BI95,IF(BJ$8=0,INDEX($E95:$K95,0,BJ$6),(INDEX($E95:$K95,0,BJ$8+1)-INDEX($E95:$K95,0,BJ$8))/(INDEX($D$5:$J$5,0,BJ$8+1)-INDEX($D$5:$J$5,0,BJ$8))+BI95)))</f>
        <v>802.64469417063674</v>
      </c>
      <c r="BK95" s="11" cm="1">
        <f t="array" ref="BK95">IF(BK$8=-1,BL95,IF(BK$8=99,BJ95,IF(BK$8=0,INDEX($E95:$K95,0,BK$6),(INDEX($E95:$K95,0,BK$8+1)-INDEX($E95:$K95,0,BK$8))/(INDEX($D$5:$J$5,0,BK$8+1)-INDEX($D$5:$J$5,0,BK$8))+BJ95)))</f>
        <v>802.64469417063674</v>
      </c>
      <c r="BL95" s="11" cm="1">
        <f t="array" ref="BL95">IF(BL$8=-1,BM95,IF(BL$8=99,BK95,IF(BL$8=0,INDEX($E95:$K95,0,BL$6),(INDEX($E95:$K95,0,BL$8+1)-INDEX($E95:$K95,0,BL$8))/(INDEX($D$5:$J$5,0,BL$8+1)-INDEX($D$5:$J$5,0,BL$8))+BK95)))</f>
        <v>802.64469417063674</v>
      </c>
      <c r="BM95" s="11" cm="1">
        <f t="array" ref="BM95">IF(BM$8=-1,BN95,IF(BM$8=99,BL95,IF(BM$8=0,INDEX($E95:$K95,0,BM$6),(INDEX($E95:$K95,0,BM$8+1)-INDEX($E95:$K95,0,BM$8))/(INDEX($D$5:$J$5,0,BM$8+1)-INDEX($D$5:$J$5,0,BM$8))+BL95)))</f>
        <v>802.64469417063674</v>
      </c>
      <c r="BN95" s="11" cm="1">
        <f t="array" ref="BN95">IF(BN$8=-1,BO95,IF(BN$8=99,BM95,IF(BN$8=0,INDEX($E95:$K95,0,BN$6),(INDEX($E95:$K95,0,BN$8+1)-INDEX($E95:$K95,0,BN$8))/(INDEX($D$5:$J$5,0,BN$8+1)-INDEX($D$5:$J$5,0,BN$8))+BM95)))</f>
        <v>802.64469417063674</v>
      </c>
      <c r="BO95" s="11" cm="1">
        <f t="array" ref="BO95">IF(BO$8=-1,BP95,IF(BO$8=99,BN95,IF(BO$8=0,INDEX($E95:$K95,0,BO$6),(INDEX($E95:$K95,0,BO$8+1)-INDEX($E95:$K95,0,BO$8))/(INDEX($D$5:$J$5,0,BO$8+1)-INDEX($D$5:$J$5,0,BO$8))+BN95)))</f>
        <v>802.64469417063674</v>
      </c>
      <c r="BP95" s="11" cm="1">
        <f t="array" ref="BP95">IF(BP$8=-1,BQ95,IF(BP$8=99,BO95,IF(BP$8=0,INDEX($E95:$K95,0,BP$6),(INDEX($E95:$K95,0,BP$8+1)-INDEX($E95:$K95,0,BP$8))/(INDEX($D$5:$J$5,0,BP$8+1)-INDEX($D$5:$J$5,0,BP$8))+BO95)))</f>
        <v>802.64469417063674</v>
      </c>
      <c r="BQ95" s="11" cm="1">
        <f t="array" ref="BQ95">IF(BQ$8=-1,BR95,IF(BQ$8=99,BP95,IF(BQ$8=0,INDEX($E95:$K95,0,BQ$6),(INDEX($E95:$K95,0,BQ$8+1)-INDEX($E95:$K95,0,BQ$8))/(INDEX($D$5:$J$5,0,BQ$8+1)-INDEX($D$5:$J$5,0,BQ$8))+BP95)))</f>
        <v>802.64469417063674</v>
      </c>
      <c r="BR95" s="11" cm="1">
        <f t="array" ref="BR95">IF(BR$8=-1,BS95,IF(BR$8=99,BQ95,IF(BR$8=0,INDEX($E95:$K95,0,BR$6),(INDEX($E95:$K95,0,BR$8+1)-INDEX($E95:$K95,0,BR$8))/(INDEX($D$5:$J$5,0,BR$8+1)-INDEX($D$5:$J$5,0,BR$8))+BQ95)))</f>
        <v>802.64469417063674</v>
      </c>
    </row>
    <row r="96" spans="1:70" ht="15">
      <c r="A96" t="s">
        <v>16</v>
      </c>
      <c r="B96" s="5" t="str">
        <f t="shared" si="154"/>
        <v>CER</v>
      </c>
      <c r="C96" s="75" t="str">
        <f t="shared" si="151"/>
        <v>Commercial - Refrigeration</v>
      </c>
      <c r="D96" s="75" t="s">
        <v>66</v>
      </c>
      <c r="E96" s="84">
        <f t="shared" si="155"/>
        <v>222.6125158575035</v>
      </c>
      <c r="F96" s="92">
        <f t="shared" si="155"/>
        <v>195.25467556696461</v>
      </c>
      <c r="G96" s="92">
        <f t="shared" si="152"/>
        <v>195.25467556696461</v>
      </c>
      <c r="H96" s="92">
        <f t="shared" si="156"/>
        <v>195.25467556696461</v>
      </c>
      <c r="I96" s="134">
        <f t="shared" si="157"/>
        <v>195.25467556696461</v>
      </c>
      <c r="J96" s="134">
        <f t="shared" si="153"/>
        <v>195.25467556696461</v>
      </c>
      <c r="K96" s="134">
        <f t="shared" si="153"/>
        <v>195.25467556696461</v>
      </c>
      <c r="L96" s="11" cm="1">
        <f t="array" ref="L96">IF(L$8=-1,M96,IF(L$8=99,I96,IF(L$8=0,INDEX($E96:$I96,0,L$6),(INDEX($E96:$I96,0,L$8+1)-INDEX($E96:$I96,0,L$8))/(INDEX($D$5:$H$5,0,L$8+1)-INDEX($D$5:$H$5,0,L$8))+I96)))</f>
        <v>222.6125158575035</v>
      </c>
      <c r="M96" s="11" cm="1">
        <f t="array" ref="M96">IF(M$8=-1,N96,IF(M$8=99,L96,IF(M$8=0,INDEX($E96:$I96,0,M$6),(INDEX($E96:$I96,0,M$8+1)-INDEX($E96:$I96,0,M$8))/(INDEX($D$5:$H$5,0,M$8+1)-INDEX($D$5:$H$5,0,M$8))+L96)))</f>
        <v>217.14094779939572</v>
      </c>
      <c r="N96" s="11" cm="1">
        <f t="array" ref="N96">IF(N$8=-1,O96,IF(N$8=99,M96,IF(N$8=0,INDEX($E96:$I96,0,N$6),(INDEX($E96:$I96,0,N$8+1)-INDEX($E96:$I96,0,N$8))/(INDEX($D$5:$H$5,0,N$8+1)-INDEX($D$5:$H$5,0,N$8))+M96)))</f>
        <v>211.66937974128794</v>
      </c>
      <c r="O96" s="11" cm="1">
        <f t="array" ref="O96">IF(O$8=-1,P96,IF(O$8=99,N96,IF(O$8=0,INDEX($E96:$I96,0,O$6),(INDEX($E96:$I96,0,O$8+1)-INDEX($E96:$I96,0,O$8))/(INDEX($D$5:$H$5,0,O$8+1)-INDEX($D$5:$H$5,0,O$8))+N96)))</f>
        <v>206.19781168318016</v>
      </c>
      <c r="P96" s="11" cm="1">
        <f t="array" ref="P96">IF(P$8=-1,Q96,IF(P$8=99,O96,IF(P$8=0,INDEX($E96:$I96,0,P$6),(INDEX($E96:$I96,0,P$8+1)-INDEX($E96:$I96,0,P$8))/(INDEX($D$5:$H$5,0,P$8+1)-INDEX($D$5:$H$5,0,P$8))+O96)))</f>
        <v>200.72624362507239</v>
      </c>
      <c r="Q96" s="11" cm="1">
        <f t="array" ref="Q96">IF(Q$8=-1,R96,IF(Q$8=99,P96,IF(Q$8=0,INDEX($E96:$I96,0,Q$6),(INDEX($E96:$I96,0,Q$8+1)-INDEX($E96:$I96,0,Q$8))/(INDEX($D$5:$H$5,0,Q$8+1)-INDEX($D$5:$H$5,0,Q$8))+P96)))</f>
        <v>195.25467556696461</v>
      </c>
      <c r="R96" s="11" cm="1">
        <f t="array" ref="R96">IF(R$8=-1,S96,IF(R$8=99,Q96,IF(R$8=0,INDEX($E96:$I96,0,R$6),(INDEX($E96:$I96,0,R$8+1)-INDEX($E96:$I96,0,R$8))/(INDEX($D$5:$H$5,0,R$8+1)-INDEX($D$5:$H$5,0,R$8))+Q96)))</f>
        <v>195.25467556696461</v>
      </c>
      <c r="S96" s="11" cm="1">
        <f t="array" ref="S96">IF(S$8=-1,T96,IF(S$8=99,R96,IF(S$8=0,INDEX($E96:$I96,0,S$6),(INDEX($E96:$I96,0,S$8+1)-INDEX($E96:$I96,0,S$8))/(INDEX($D$5:$H$5,0,S$8+1)-INDEX($D$5:$H$5,0,S$8))+R96)))</f>
        <v>195.25467556696461</v>
      </c>
      <c r="T96" s="11" cm="1">
        <f t="array" ref="T96">IF(T$8=-1,U96,IF(T$8=99,S96,IF(T$8=0,INDEX($E96:$I96,0,T$6),(INDEX($E96:$I96,0,T$8+1)-INDEX($E96:$I96,0,T$8))/(INDEX($D$5:$H$5,0,T$8+1)-INDEX($D$5:$H$5,0,T$8))+S96)))</f>
        <v>195.25467556696461</v>
      </c>
      <c r="U96" s="11" cm="1">
        <f t="array" ref="U96">IF(U$8=-1,V96,IF(U$8=99,T96,IF(U$8=0,INDEX($E96:$I96,0,U$6),(INDEX($E96:$I96,0,U$8+1)-INDEX($E96:$I96,0,U$8))/(INDEX($D$5:$H$5,0,U$8+1)-INDEX($D$5:$H$5,0,U$8))+T96)))</f>
        <v>195.25467556696461</v>
      </c>
      <c r="V96" s="11" cm="1">
        <f t="array" ref="V96">IF(V$8=-1,W96,IF(V$8=99,U96,IF(V$8=0,INDEX($E96:$I96,0,V$6),(INDEX($E96:$I96,0,V$8+1)-INDEX($E96:$I96,0,V$8))/(INDEX($D$5:$H$5,0,V$8+1)-INDEX($D$5:$H$5,0,V$8))+U96)))</f>
        <v>195.25467556696461</v>
      </c>
      <c r="W96" s="11" cm="1">
        <f t="array" ref="W96">IF(W$8=-1,X96,IF(W$8=99,V96,IF(W$8=0,INDEX($E96:$I96,0,W$6),(INDEX($E96:$I96,0,W$8+1)-INDEX($E96:$I96,0,W$8))/(INDEX($D$5:$H$5,0,W$8+1)-INDEX($D$5:$H$5,0,W$8))+V96)))</f>
        <v>195.25467556696461</v>
      </c>
      <c r="X96" s="11" cm="1">
        <f t="array" ref="X96">IF(X$8=-1,Y96,IF(X$8=99,W96,IF(X$8=0,INDEX($E96:$I96,0,X$6),(INDEX($E96:$I96,0,X$8+1)-INDEX($E96:$I96,0,X$8))/(INDEX($D$5:$H$5,0,X$8+1)-INDEX($D$5:$H$5,0,X$8))+W96)))</f>
        <v>195.25467556696461</v>
      </c>
      <c r="Y96" s="11" cm="1">
        <f t="array" ref="Y96">IF(Y$8=-1,Z96,IF(Y$8=99,X96,IF(Y$8=0,INDEX($E96:$I96,0,Y$6),(INDEX($E96:$I96,0,Y$8+1)-INDEX($E96:$I96,0,Y$8))/(INDEX($D$5:$H$5,0,Y$8+1)-INDEX($D$5:$H$5,0,Y$8))+X96)))</f>
        <v>195.25467556696461</v>
      </c>
      <c r="Z96" s="11" cm="1">
        <f t="array" ref="Z96">IF(Z$8=-1,AA96,IF(Z$8=99,Y96,IF(Z$8=0,INDEX($E96:$I96,0,Z$6),(INDEX($E96:$I96,0,Z$8+1)-INDEX($E96:$I96,0,Z$8))/(INDEX($D$5:$H$5,0,Z$8+1)-INDEX($D$5:$H$5,0,Z$8))+Y96)))</f>
        <v>195.25467556696461</v>
      </c>
      <c r="AA96" s="11" cm="1">
        <f t="array" ref="AA96">IF(AA$8=-1,AB96,IF(AA$8=99,Z96,IF(AA$8=0,INDEX($E96:$I96,0,AA$6),(INDEX($E96:$I96,0,AA$8+1)-INDEX($E96:$I96,0,AA$8))/(INDEX($D$5:$H$5,0,AA$8+1)-INDEX($D$5:$H$5,0,AA$8))+Z96)))</f>
        <v>195.25467556696461</v>
      </c>
      <c r="AB96" s="11" cm="1">
        <f t="array" ref="AB96">IF(AB$8=-1,AC96,IF(AB$8=99,AA96,IF(AB$8=0,INDEX($E96:$I96,0,AB$6),(INDEX($E96:$I96,0,AB$8+1)-INDEX($E96:$I96,0,AB$8))/(INDEX($D$5:$H$5,0,AB$8+1)-INDEX($D$5:$H$5,0,AB$8))+AA96)))</f>
        <v>195.25467556696461</v>
      </c>
      <c r="AC96" s="11" cm="1">
        <f t="array" ref="AC96">IF(AC$8=-1,AD96,IF(AC$8=99,AB96,IF(AC$8=0,INDEX($E96:$I96,0,AC$6),(INDEX($E96:$I96,0,AC$8+1)-INDEX($E96:$I96,0,AC$8))/(INDEX($D$5:$H$5,0,AC$8+1)-INDEX($D$5:$H$5,0,AC$8))+AB96)))</f>
        <v>195.25467556696461</v>
      </c>
      <c r="AD96" s="11" cm="1">
        <f t="array" ref="AD96">IF(AD$8=-1,AE96,IF(AD$8=99,AC96,IF(AD$8=0,INDEX($E96:$I96,0,AD$6),(INDEX($E96:$I96,0,AD$8+1)-INDEX($E96:$I96,0,AD$8))/(INDEX($D$5:$H$5,0,AD$8+1)-INDEX($D$5:$H$5,0,AD$8))+AC96)))</f>
        <v>195.25467556696461</v>
      </c>
      <c r="AE96" s="11" cm="1">
        <f t="array" ref="AE96">IF(AE$8=-1,AF96,IF(AE$8=99,AD96,IF(AE$8=0,INDEX($E96:$I96,0,AE$6),(INDEX($E96:$I96,0,AE$8+1)-INDEX($E96:$I96,0,AE$8))/(INDEX($D$5:$H$5,0,AE$8+1)-INDEX($D$5:$H$5,0,AE$8))+AD96)))</f>
        <v>195.25467556696461</v>
      </c>
      <c r="AF96" s="11" cm="1">
        <f t="array" ref="AF96">IF(AF$8=-1,AG96,IF(AF$8=99,AE96,IF(AF$8=0,INDEX($E96:$I96,0,AF$6),(INDEX($E96:$I96,0,AF$8+1)-INDEX($E96:$I96,0,AF$8))/(INDEX($D$5:$H$5,0,AF$8+1)-INDEX($D$5:$H$5,0,AF$8))+AE96)))</f>
        <v>195.25467556696461</v>
      </c>
      <c r="AG96" s="11" cm="1">
        <f t="array" ref="AG96">IF(AG$8=-1,AH96,IF(AG$8=99,AF96,IF(AG$8=0,INDEX($E96:$I96,0,AG$6),(INDEX($E96:$I96,0,AG$8+1)-INDEX($E96:$I96,0,AG$8))/(INDEX($D$5:$H$5,0,AG$8+1)-INDEX($D$5:$H$5,0,AG$8))+AF96)))</f>
        <v>195.25467556696461</v>
      </c>
      <c r="AH96" s="11" cm="1">
        <f t="array" ref="AH96">IF(AH$8=-1,AI96,IF(AH$8=99,AG96,IF(AH$8=0,INDEX($E96:$I96,0,AH$6),(INDEX($E96:$I96,0,AH$8+1)-INDEX($E96:$I96,0,AH$8))/(INDEX($D$5:$H$5,0,AH$8+1)-INDEX($D$5:$H$5,0,AH$8))+AG96)))</f>
        <v>195.25467556696461</v>
      </c>
      <c r="AI96" s="11" cm="1">
        <f t="array" ref="AI96">IF(AI$8=-1,AJ96,IF(AI$8=99,AH96,IF(AI$8=0,INDEX($E96:$I96,0,AI$6),(INDEX($E96:$I96,0,AI$8+1)-INDEX($E96:$I96,0,AI$8))/(INDEX($D$5:$H$5,0,AI$8+1)-INDEX($D$5:$H$5,0,AI$8))+AH96)))</f>
        <v>195.25467556696461</v>
      </c>
      <c r="AJ96" s="11" cm="1">
        <f t="array" ref="AJ96">IF(AJ$8=-1,AK96,IF(AJ$8=99,AI96,IF(AJ$8=0,INDEX($E96:$I96,0,AJ$6),(INDEX($E96:$I96,0,AJ$8+1)-INDEX($E96:$I96,0,AJ$8))/(INDEX($D$5:$H$5,0,AJ$8+1)-INDEX($D$5:$H$5,0,AJ$8))+AI96)))</f>
        <v>195.25467556696461</v>
      </c>
      <c r="AK96" s="11" cm="1">
        <f t="array" ref="AK96">IF(AK$8=-1,AL96,IF(AK$8=99,AJ96,IF(AK$8=0,INDEX($E96:$I96,0,AK$6),(INDEX($E96:$I96,0,AK$8+1)-INDEX($E96:$I96,0,AK$8))/(INDEX($D$5:$H$5,0,AK$8+1)-INDEX($D$5:$H$5,0,AK$8))+AJ96)))</f>
        <v>195.25467556696461</v>
      </c>
      <c r="AL96" s="11" cm="1">
        <f t="array" ref="AL96">IF(AL$8=-1,AM96,IF(AL$8=99,AK96,IF(AL$8=0,INDEX($E96:$I96,0,AL$6),(INDEX($E96:$I96,0,AL$8+1)-INDEX($E96:$I96,0,AL$8))/(INDEX($D$5:$H$5,0,AL$8+1)-INDEX($D$5:$H$5,0,AL$8))+AK96)))</f>
        <v>195.25467556696461</v>
      </c>
      <c r="AM96" s="11" cm="1">
        <f t="array" ref="AM96">IF(AM$8=-1,AN96,IF(AM$8=99,AL96,IF(AM$8=0,INDEX($E96:$I96,0,AM$6),(INDEX($E96:$I96,0,AM$8+1)-INDEX($E96:$I96,0,AM$8))/(INDEX($D$5:$H$5,0,AM$8+1)-INDEX($D$5:$H$5,0,AM$8))+AL96)))</f>
        <v>195.25467556696461</v>
      </c>
      <c r="AN96" s="11" cm="1">
        <f t="array" ref="AN96">IF(AN$8=-1,AO96,IF(AN$8=99,AM96,IF(AN$8=0,INDEX($E96:$I96,0,AN$6),(INDEX($E96:$I96,0,AN$8+1)-INDEX($E96:$I96,0,AN$8))/(INDEX($D$5:$H$5,0,AN$8+1)-INDEX($D$5:$H$5,0,AN$8))+AM96)))</f>
        <v>195.25467556696461</v>
      </c>
      <c r="AO96" s="11" cm="1">
        <f t="array" ref="AO96">IF(AO$8=-1,AP96,IF(AO$8=99,AN96,IF(AO$8=0,INDEX($E96:$K96,0,AO$6),(INDEX($E96:$K96,0,AO$8+1)-INDEX($E96:$K96,0,AO$8))/(INDEX($D$5:$J$5,0,AO$8+1)-INDEX($D$5:$J$5,0,AO$8))+AN96)))</f>
        <v>195.25467556696461</v>
      </c>
      <c r="AP96" s="11" cm="1">
        <f t="array" ref="AP96">IF(AP$8=-1,AQ96,IF(AP$8=99,AO96,IF(AP$8=0,INDEX($E96:$K96,0,AP$6),(INDEX($E96:$K96,0,AP$8+1)-INDEX($E96:$K96,0,AP$8))/(INDEX($D$5:$J$5,0,AP$8+1)-INDEX($D$5:$J$5,0,AP$8))+AO96)))</f>
        <v>195.25467556696461</v>
      </c>
      <c r="AQ96" s="11" cm="1">
        <f t="array" ref="AQ96">IF(AQ$8=-1,AR96,IF(AQ$8=99,AP96,IF(AQ$8=0,INDEX($E96:$K96,0,AQ$6),(INDEX($E96:$K96,0,AQ$8+1)-INDEX($E96:$K96,0,AQ$8))/(INDEX($D$5:$J$5,0,AQ$8+1)-INDEX($D$5:$J$5,0,AQ$8))+AP96)))</f>
        <v>195.25467556696461</v>
      </c>
      <c r="AR96" s="11" cm="1">
        <f t="array" ref="AR96">IF(AR$8=-1,AS96,IF(AR$8=99,AQ96,IF(AR$8=0,INDEX($E96:$K96,0,AR$6),(INDEX($E96:$K96,0,AR$8+1)-INDEX($E96:$K96,0,AR$8))/(INDEX($D$5:$J$5,0,AR$8+1)-INDEX($D$5:$J$5,0,AR$8))+AQ96)))</f>
        <v>195.25467556696461</v>
      </c>
      <c r="AS96" s="11" cm="1">
        <f t="array" ref="AS96">IF(AS$8=-1,AT96,IF(AS$8=99,AR96,IF(AS$8=0,INDEX($E96:$K96,0,AS$6),(INDEX($E96:$K96,0,AS$8+1)-INDEX($E96:$K96,0,AS$8))/(INDEX($D$5:$J$5,0,AS$8+1)-INDEX($D$5:$J$5,0,AS$8))+AR96)))</f>
        <v>195.25467556696461</v>
      </c>
      <c r="AT96" s="11" cm="1">
        <f t="array" ref="AT96">IF(AT$8=-1,AU96,IF(AT$8=99,AS96,IF(AT$8=0,INDEX($E96:$K96,0,AT$6),(INDEX($E96:$K96,0,AT$8+1)-INDEX($E96:$K96,0,AT$8))/(INDEX($D$5:$J$5,0,AT$8+1)-INDEX($D$5:$J$5,0,AT$8))+AS96)))</f>
        <v>195.25467556696461</v>
      </c>
      <c r="AU96" s="11" cm="1">
        <f t="array" ref="AU96">IF(AU$8=-1,AV96,IF(AU$8=99,AT96,IF(AU$8=0,INDEX($E96:$K96,0,AU$6),(INDEX($E96:$K96,0,AU$8+1)-INDEX($E96:$K96,0,AU$8))/(INDEX($D$5:$J$5,0,AU$8+1)-INDEX($D$5:$J$5,0,AU$8))+AT96)))</f>
        <v>195.25467556696461</v>
      </c>
      <c r="AV96" s="11" cm="1">
        <f t="array" ref="AV96">IF(AV$8=-1,AW96,IF(AV$8=99,AU96,IF(AV$8=0,INDEX($E96:$K96,0,AV$6),(INDEX($E96:$K96,0,AV$8+1)-INDEX($E96:$K96,0,AV$8))/(INDEX($D$5:$J$5,0,AV$8+1)-INDEX($D$5:$J$5,0,AV$8))+AU96)))</f>
        <v>195.25467556696461</v>
      </c>
      <c r="AW96" s="11" cm="1">
        <f t="array" ref="AW96">IF(AW$8=-1,AX96,IF(AW$8=99,AV96,IF(AW$8=0,INDEX($E96:$K96,0,AW$6),(INDEX($E96:$K96,0,AW$8+1)-INDEX($E96:$K96,0,AW$8))/(INDEX($D$5:$J$5,0,AW$8+1)-INDEX($D$5:$J$5,0,AW$8))+AV96)))</f>
        <v>195.25467556696461</v>
      </c>
      <c r="AX96" s="11" cm="1">
        <f t="array" ref="AX96">IF(AX$8=-1,AY96,IF(AX$8=99,AW96,IF(AX$8=0,INDEX($E96:$K96,0,AX$6),(INDEX($E96:$K96,0,AX$8+1)-INDEX($E96:$K96,0,AX$8))/(INDEX($D$5:$J$5,0,AX$8+1)-INDEX($D$5:$J$5,0,AX$8))+AW96)))</f>
        <v>195.25467556696461</v>
      </c>
      <c r="AY96" s="11" cm="1">
        <f t="array" ref="AY96">IF(AY$8=-1,AZ96,IF(AY$8=99,AX96,IF(AY$8=0,INDEX($E96:$K96,0,AY$6),(INDEX($E96:$K96,0,AY$8+1)-INDEX($E96:$K96,0,AY$8))/(INDEX($D$5:$J$5,0,AY$8+1)-INDEX($D$5:$J$5,0,AY$8))+AX96)))</f>
        <v>195.25467556696461</v>
      </c>
      <c r="AZ96" s="11" cm="1">
        <f t="array" ref="AZ96">IF(AZ$8=-1,BA96,IF(AZ$8=99,AY96,IF(AZ$8=0,INDEX($E96:$K96,0,AZ$6),(INDEX($E96:$K96,0,AZ$8+1)-INDEX($E96:$K96,0,AZ$8))/(INDEX($D$5:$J$5,0,AZ$8+1)-INDEX($D$5:$J$5,0,AZ$8))+AY96)))</f>
        <v>195.25467556696461</v>
      </c>
      <c r="BA96" s="11" cm="1">
        <f t="array" ref="BA96">IF(BA$8=-1,BB96,IF(BA$8=99,AZ96,IF(BA$8=0,INDEX($E96:$K96,0,BA$6),(INDEX($E96:$K96,0,BA$8+1)-INDEX($E96:$K96,0,BA$8))/(INDEX($D$5:$J$5,0,BA$8+1)-INDEX($D$5:$J$5,0,BA$8))+AZ96)))</f>
        <v>195.25467556696461</v>
      </c>
      <c r="BB96" s="11" cm="1">
        <f t="array" ref="BB96">IF(BB$8=-1,BC96,IF(BB$8=99,BA96,IF(BB$8=0,INDEX($E96:$K96,0,BB$6),(INDEX($E96:$K96,0,BB$8+1)-INDEX($E96:$K96,0,BB$8))/(INDEX($D$5:$J$5,0,BB$8+1)-INDEX($D$5:$J$5,0,BB$8))+BA96)))</f>
        <v>195.25467556696461</v>
      </c>
      <c r="BC96" s="11" cm="1">
        <f t="array" ref="BC96">IF(BC$8=-1,BD96,IF(BC$8=99,BB96,IF(BC$8=0,INDEX($E96:$K96,0,BC$6),(INDEX($E96:$K96,0,BC$8+1)-INDEX($E96:$K96,0,BC$8))/(INDEX($D$5:$J$5,0,BC$8+1)-INDEX($D$5:$J$5,0,BC$8))+BB96)))</f>
        <v>195.25467556696461</v>
      </c>
      <c r="BD96" s="11" cm="1">
        <f t="array" ref="BD96">IF(BD$8=-1,BE96,IF(BD$8=99,BC96,IF(BD$8=0,INDEX($E96:$K96,0,BD$6),(INDEX($E96:$K96,0,BD$8+1)-INDEX($E96:$K96,0,BD$8))/(INDEX($D$5:$J$5,0,BD$8+1)-INDEX($D$5:$J$5,0,BD$8))+BC96)))</f>
        <v>195.25467556696461</v>
      </c>
      <c r="BE96" s="11" cm="1">
        <f t="array" ref="BE96">IF(BE$8=-1,BF96,IF(BE$8=99,BD96,IF(BE$8=0,INDEX($E96:$K96,0,BE$6),(INDEX($E96:$K96,0,BE$8+1)-INDEX($E96:$K96,0,BE$8))/(INDEX($D$5:$J$5,0,BE$8+1)-INDEX($D$5:$J$5,0,BE$8))+BD96)))</f>
        <v>195.25467556696461</v>
      </c>
      <c r="BF96" s="11" cm="1">
        <f t="array" ref="BF96">IF(BF$8=-1,BG96,IF(BF$8=99,BE96,IF(BF$8=0,INDEX($E96:$K96,0,BF$6),(INDEX($E96:$K96,0,BF$8+1)-INDEX($E96:$K96,0,BF$8))/(INDEX($D$5:$J$5,0,BF$8+1)-INDEX($D$5:$J$5,0,BF$8))+BE96)))</f>
        <v>195.25467556696461</v>
      </c>
      <c r="BG96" s="11" cm="1">
        <f t="array" ref="BG96">IF(BG$8=-1,BH96,IF(BG$8=99,BF96,IF(BG$8=0,INDEX($E96:$K96,0,BG$6),(INDEX($E96:$K96,0,BG$8+1)-INDEX($E96:$K96,0,BG$8))/(INDEX($D$5:$J$5,0,BG$8+1)-INDEX($D$5:$J$5,0,BG$8))+BF96)))</f>
        <v>195.25467556696461</v>
      </c>
      <c r="BH96" s="11" cm="1">
        <f t="array" ref="BH96">IF(BH$8=-1,BI96,IF(BH$8=99,BG96,IF(BH$8=0,INDEX($E96:$K96,0,BH$6),(INDEX($E96:$K96,0,BH$8+1)-INDEX($E96:$K96,0,BH$8))/(INDEX($D$5:$J$5,0,BH$8+1)-INDEX($D$5:$J$5,0,BH$8))+BG96)))</f>
        <v>195.25467556696461</v>
      </c>
      <c r="BI96" s="11" cm="1">
        <f t="array" ref="BI96">IF(BI$8=-1,BJ96,IF(BI$8=99,BH96,IF(BI$8=0,INDEX($E96:$K96,0,BI$6),(INDEX($E96:$K96,0,BI$8+1)-INDEX($E96:$K96,0,BI$8))/(INDEX($D$5:$J$5,0,BI$8+1)-INDEX($D$5:$J$5,0,BI$8))+BH96)))</f>
        <v>195.25467556696461</v>
      </c>
      <c r="BJ96" s="11" cm="1">
        <f t="array" ref="BJ96">IF(BJ$8=-1,BK96,IF(BJ$8=99,BI96,IF(BJ$8=0,INDEX($E96:$K96,0,BJ$6),(INDEX($E96:$K96,0,BJ$8+1)-INDEX($E96:$K96,0,BJ$8))/(INDEX($D$5:$J$5,0,BJ$8+1)-INDEX($D$5:$J$5,0,BJ$8))+BI96)))</f>
        <v>195.25467556696461</v>
      </c>
      <c r="BK96" s="11" cm="1">
        <f t="array" ref="BK96">IF(BK$8=-1,BL96,IF(BK$8=99,BJ96,IF(BK$8=0,INDEX($E96:$K96,0,BK$6),(INDEX($E96:$K96,0,BK$8+1)-INDEX($E96:$K96,0,BK$8))/(INDEX($D$5:$J$5,0,BK$8+1)-INDEX($D$5:$J$5,0,BK$8))+BJ96)))</f>
        <v>195.25467556696461</v>
      </c>
      <c r="BL96" s="11" cm="1">
        <f t="array" ref="BL96">IF(BL$8=-1,BM96,IF(BL$8=99,BK96,IF(BL$8=0,INDEX($E96:$K96,0,BL$6),(INDEX($E96:$K96,0,BL$8+1)-INDEX($E96:$K96,0,BL$8))/(INDEX($D$5:$J$5,0,BL$8+1)-INDEX($D$5:$J$5,0,BL$8))+BK96)))</f>
        <v>195.25467556696461</v>
      </c>
      <c r="BM96" s="11" cm="1">
        <f t="array" ref="BM96">IF(BM$8=-1,BN96,IF(BM$8=99,BL96,IF(BM$8=0,INDEX($E96:$K96,0,BM$6),(INDEX($E96:$K96,0,BM$8+1)-INDEX($E96:$K96,0,BM$8))/(INDEX($D$5:$J$5,0,BM$8+1)-INDEX($D$5:$J$5,0,BM$8))+BL96)))</f>
        <v>195.25467556696461</v>
      </c>
      <c r="BN96" s="11" cm="1">
        <f t="array" ref="BN96">IF(BN$8=-1,BO96,IF(BN$8=99,BM96,IF(BN$8=0,INDEX($E96:$K96,0,BN$6),(INDEX($E96:$K96,0,BN$8+1)-INDEX($E96:$K96,0,BN$8))/(INDEX($D$5:$J$5,0,BN$8+1)-INDEX($D$5:$J$5,0,BN$8))+BM96)))</f>
        <v>195.25467556696461</v>
      </c>
      <c r="BO96" s="11" cm="1">
        <f t="array" ref="BO96">IF(BO$8=-1,BP96,IF(BO$8=99,BN96,IF(BO$8=0,INDEX($E96:$K96,0,BO$6),(INDEX($E96:$K96,0,BO$8+1)-INDEX($E96:$K96,0,BO$8))/(INDEX($D$5:$J$5,0,BO$8+1)-INDEX($D$5:$J$5,0,BO$8))+BN96)))</f>
        <v>195.25467556696461</v>
      </c>
      <c r="BP96" s="11" cm="1">
        <f t="array" ref="BP96">IF(BP$8=-1,BQ96,IF(BP$8=99,BO96,IF(BP$8=0,INDEX($E96:$K96,0,BP$6),(INDEX($E96:$K96,0,BP$8+1)-INDEX($E96:$K96,0,BP$8))/(INDEX($D$5:$J$5,0,BP$8+1)-INDEX($D$5:$J$5,0,BP$8))+BO96)))</f>
        <v>195.25467556696461</v>
      </c>
      <c r="BQ96" s="11" cm="1">
        <f t="array" ref="BQ96">IF(BQ$8=-1,BR96,IF(BQ$8=99,BP96,IF(BQ$8=0,INDEX($E96:$K96,0,BQ$6),(INDEX($E96:$K96,0,BQ$8+1)-INDEX($E96:$K96,0,BQ$8))/(INDEX($D$5:$J$5,0,BQ$8+1)-INDEX($D$5:$J$5,0,BQ$8))+BP96)))</f>
        <v>195.25467556696461</v>
      </c>
      <c r="BR96" s="11" cm="1">
        <f t="array" ref="BR96">IF(BR$8=-1,BS96,IF(BR$8=99,BQ96,IF(BR$8=0,INDEX($E96:$K96,0,BR$6),(INDEX($E96:$K96,0,BR$8+1)-INDEX($E96:$K96,0,BR$8))/(INDEX($D$5:$J$5,0,BR$8+1)-INDEX($D$5:$J$5,0,BR$8))+BQ96)))</f>
        <v>195.25467556696461</v>
      </c>
    </row>
    <row r="97" spans="1:70" ht="15">
      <c r="A97" t="s">
        <v>16</v>
      </c>
      <c r="B97" s="5" t="str">
        <f t="shared" si="154"/>
        <v>CEW</v>
      </c>
      <c r="C97" s="75" t="str">
        <f t="shared" si="151"/>
        <v>Commercial - Water Heating</v>
      </c>
      <c r="D97" s="75" t="s">
        <v>66</v>
      </c>
      <c r="E97" s="84">
        <f t="shared" si="155"/>
        <v>72.90647365811796</v>
      </c>
      <c r="F97" s="92">
        <f t="shared" si="155"/>
        <v>103.37272938194623</v>
      </c>
      <c r="G97" s="92">
        <f t="shared" si="152"/>
        <v>103.37272938194623</v>
      </c>
      <c r="H97" s="92">
        <f t="shared" si="156"/>
        <v>103.37272938194623</v>
      </c>
      <c r="I97" s="134">
        <f t="shared" si="157"/>
        <v>103.37272938194623</v>
      </c>
      <c r="J97" s="134">
        <f t="shared" si="153"/>
        <v>103.37272938194623</v>
      </c>
      <c r="K97" s="134">
        <f t="shared" si="153"/>
        <v>103.37272938194623</v>
      </c>
      <c r="L97" s="11" cm="1">
        <f t="array" ref="L97">IF(L$8=-1,M97,IF(L$8=99,I97,IF(L$8=0,INDEX($E97:$I97,0,L$6),(INDEX($E97:$I97,0,L$8+1)-INDEX($E97:$I97,0,L$8))/(INDEX($D$5:$H$5,0,L$8+1)-INDEX($D$5:$H$5,0,L$8))+I97)))</f>
        <v>72.90647365811796</v>
      </c>
      <c r="M97" s="11" cm="1">
        <f t="array" ref="M97">IF(M$8=-1,N97,IF(M$8=99,L97,IF(M$8=0,INDEX($E97:$I97,0,M$6),(INDEX($E97:$I97,0,M$8+1)-INDEX($E97:$I97,0,M$8))/(INDEX($D$5:$H$5,0,M$8+1)-INDEX($D$5:$H$5,0,M$8))+L97)))</f>
        <v>78.99972480288362</v>
      </c>
      <c r="N97" s="11" cm="1">
        <f t="array" ref="N97">IF(N$8=-1,O97,IF(N$8=99,M97,IF(N$8=0,INDEX($E97:$I97,0,N$6),(INDEX($E97:$I97,0,N$8+1)-INDEX($E97:$I97,0,N$8))/(INDEX($D$5:$H$5,0,N$8+1)-INDEX($D$5:$H$5,0,N$8))+M97)))</f>
        <v>85.092975947649279</v>
      </c>
      <c r="O97" s="11" cm="1">
        <f t="array" ref="O97">IF(O$8=-1,P97,IF(O$8=99,N97,IF(O$8=0,INDEX($E97:$I97,0,O$6),(INDEX($E97:$I97,0,O$8+1)-INDEX($E97:$I97,0,O$8))/(INDEX($D$5:$H$5,0,O$8+1)-INDEX($D$5:$H$5,0,O$8))+N97)))</f>
        <v>91.186227092414939</v>
      </c>
      <c r="P97" s="11" cm="1">
        <f t="array" ref="P97">IF(P$8=-1,Q97,IF(P$8=99,O97,IF(P$8=0,INDEX($E97:$I97,0,P$6),(INDEX($E97:$I97,0,P$8+1)-INDEX($E97:$I97,0,P$8))/(INDEX($D$5:$H$5,0,P$8+1)-INDEX($D$5:$H$5,0,P$8))+O97)))</f>
        <v>97.279478237180598</v>
      </c>
      <c r="Q97" s="11" cm="1">
        <f t="array" ref="Q97">IF(Q$8=-1,R97,IF(Q$8=99,P97,IF(Q$8=0,INDEX($E97:$I97,0,Q$6),(INDEX($E97:$I97,0,Q$8+1)-INDEX($E97:$I97,0,Q$8))/(INDEX($D$5:$H$5,0,Q$8+1)-INDEX($D$5:$H$5,0,Q$8))+P97)))</f>
        <v>103.37272938194623</v>
      </c>
      <c r="R97" s="11" cm="1">
        <f t="array" ref="R97">IF(R$8=-1,S97,IF(R$8=99,Q97,IF(R$8=0,INDEX($E97:$I97,0,R$6),(INDEX($E97:$I97,0,R$8+1)-INDEX($E97:$I97,0,R$8))/(INDEX($D$5:$H$5,0,R$8+1)-INDEX($D$5:$H$5,0,R$8))+Q97)))</f>
        <v>103.37272938194623</v>
      </c>
      <c r="S97" s="11" cm="1">
        <f t="array" ref="S97">IF(S$8=-1,T97,IF(S$8=99,R97,IF(S$8=0,INDEX($E97:$I97,0,S$6),(INDEX($E97:$I97,0,S$8+1)-INDEX($E97:$I97,0,S$8))/(INDEX($D$5:$H$5,0,S$8+1)-INDEX($D$5:$H$5,0,S$8))+R97)))</f>
        <v>103.37272938194623</v>
      </c>
      <c r="T97" s="11" cm="1">
        <f t="array" ref="T97">IF(T$8=-1,U97,IF(T$8=99,S97,IF(T$8=0,INDEX($E97:$I97,0,T$6),(INDEX($E97:$I97,0,T$8+1)-INDEX($E97:$I97,0,T$8))/(INDEX($D$5:$H$5,0,T$8+1)-INDEX($D$5:$H$5,0,T$8))+S97)))</f>
        <v>103.37272938194623</v>
      </c>
      <c r="U97" s="11" cm="1">
        <f t="array" ref="U97">IF(U$8=-1,V97,IF(U$8=99,T97,IF(U$8=0,INDEX($E97:$I97,0,U$6),(INDEX($E97:$I97,0,U$8+1)-INDEX($E97:$I97,0,U$8))/(INDEX($D$5:$H$5,0,U$8+1)-INDEX($D$5:$H$5,0,U$8))+T97)))</f>
        <v>103.37272938194623</v>
      </c>
      <c r="V97" s="11" cm="1">
        <f t="array" ref="V97">IF(V$8=-1,W97,IF(V$8=99,U97,IF(V$8=0,INDEX($E97:$I97,0,V$6),(INDEX($E97:$I97,0,V$8+1)-INDEX($E97:$I97,0,V$8))/(INDEX($D$5:$H$5,0,V$8+1)-INDEX($D$5:$H$5,0,V$8))+U97)))</f>
        <v>103.37272938194623</v>
      </c>
      <c r="W97" s="11" cm="1">
        <f t="array" ref="W97">IF(W$8=-1,X97,IF(W$8=99,V97,IF(W$8=0,INDEX($E97:$I97,0,W$6),(INDEX($E97:$I97,0,W$8+1)-INDEX($E97:$I97,0,W$8))/(INDEX($D$5:$H$5,0,W$8+1)-INDEX($D$5:$H$5,0,W$8))+V97)))</f>
        <v>103.37272938194623</v>
      </c>
      <c r="X97" s="11" cm="1">
        <f t="array" ref="X97">IF(X$8=-1,Y97,IF(X$8=99,W97,IF(X$8=0,INDEX($E97:$I97,0,X$6),(INDEX($E97:$I97,0,X$8+1)-INDEX($E97:$I97,0,X$8))/(INDEX($D$5:$H$5,0,X$8+1)-INDEX($D$5:$H$5,0,X$8))+W97)))</f>
        <v>103.37272938194623</v>
      </c>
      <c r="Y97" s="11" cm="1">
        <f t="array" ref="Y97">IF(Y$8=-1,Z97,IF(Y$8=99,X97,IF(Y$8=0,INDEX($E97:$I97,0,Y$6),(INDEX($E97:$I97,0,Y$8+1)-INDEX($E97:$I97,0,Y$8))/(INDEX($D$5:$H$5,0,Y$8+1)-INDEX($D$5:$H$5,0,Y$8))+X97)))</f>
        <v>103.37272938194623</v>
      </c>
      <c r="Z97" s="11" cm="1">
        <f t="array" ref="Z97">IF(Z$8=-1,AA97,IF(Z$8=99,Y97,IF(Z$8=0,INDEX($E97:$I97,0,Z$6),(INDEX($E97:$I97,0,Z$8+1)-INDEX($E97:$I97,0,Z$8))/(INDEX($D$5:$H$5,0,Z$8+1)-INDEX($D$5:$H$5,0,Z$8))+Y97)))</f>
        <v>103.37272938194623</v>
      </c>
      <c r="AA97" s="11" cm="1">
        <f t="array" ref="AA97">IF(AA$8=-1,AB97,IF(AA$8=99,Z97,IF(AA$8=0,INDEX($E97:$I97,0,AA$6),(INDEX($E97:$I97,0,AA$8+1)-INDEX($E97:$I97,0,AA$8))/(INDEX($D$5:$H$5,0,AA$8+1)-INDEX($D$5:$H$5,0,AA$8))+Z97)))</f>
        <v>103.37272938194623</v>
      </c>
      <c r="AB97" s="11" cm="1">
        <f t="array" ref="AB97">IF(AB$8=-1,AC97,IF(AB$8=99,AA97,IF(AB$8=0,INDEX($E97:$I97,0,AB$6),(INDEX($E97:$I97,0,AB$8+1)-INDEX($E97:$I97,0,AB$8))/(INDEX($D$5:$H$5,0,AB$8+1)-INDEX($D$5:$H$5,0,AB$8))+AA97)))</f>
        <v>103.37272938194623</v>
      </c>
      <c r="AC97" s="11" cm="1">
        <f t="array" ref="AC97">IF(AC$8=-1,AD97,IF(AC$8=99,AB97,IF(AC$8=0,INDEX($E97:$I97,0,AC$6),(INDEX($E97:$I97,0,AC$8+1)-INDEX($E97:$I97,0,AC$8))/(INDEX($D$5:$H$5,0,AC$8+1)-INDEX($D$5:$H$5,0,AC$8))+AB97)))</f>
        <v>103.37272938194623</v>
      </c>
      <c r="AD97" s="11" cm="1">
        <f t="array" ref="AD97">IF(AD$8=-1,AE97,IF(AD$8=99,AC97,IF(AD$8=0,INDEX($E97:$I97,0,AD$6),(INDEX($E97:$I97,0,AD$8+1)-INDEX($E97:$I97,0,AD$8))/(INDEX($D$5:$H$5,0,AD$8+1)-INDEX($D$5:$H$5,0,AD$8))+AC97)))</f>
        <v>103.37272938194623</v>
      </c>
      <c r="AE97" s="11" cm="1">
        <f t="array" ref="AE97">IF(AE$8=-1,AF97,IF(AE$8=99,AD97,IF(AE$8=0,INDEX($E97:$I97,0,AE$6),(INDEX($E97:$I97,0,AE$8+1)-INDEX($E97:$I97,0,AE$8))/(INDEX($D$5:$H$5,0,AE$8+1)-INDEX($D$5:$H$5,0,AE$8))+AD97)))</f>
        <v>103.37272938194623</v>
      </c>
      <c r="AF97" s="11" cm="1">
        <f t="array" ref="AF97">IF(AF$8=-1,AG97,IF(AF$8=99,AE97,IF(AF$8=0,INDEX($E97:$I97,0,AF$6),(INDEX($E97:$I97,0,AF$8+1)-INDEX($E97:$I97,0,AF$8))/(INDEX($D$5:$H$5,0,AF$8+1)-INDEX($D$5:$H$5,0,AF$8))+AE97)))</f>
        <v>103.37272938194623</v>
      </c>
      <c r="AG97" s="11" cm="1">
        <f t="array" ref="AG97">IF(AG$8=-1,AH97,IF(AG$8=99,AF97,IF(AG$8=0,INDEX($E97:$I97,0,AG$6),(INDEX($E97:$I97,0,AG$8+1)-INDEX($E97:$I97,0,AG$8))/(INDEX($D$5:$H$5,0,AG$8+1)-INDEX($D$5:$H$5,0,AG$8))+AF97)))</f>
        <v>103.37272938194623</v>
      </c>
      <c r="AH97" s="11" cm="1">
        <f t="array" ref="AH97">IF(AH$8=-1,AI97,IF(AH$8=99,AG97,IF(AH$8=0,INDEX($E97:$I97,0,AH$6),(INDEX($E97:$I97,0,AH$8+1)-INDEX($E97:$I97,0,AH$8))/(INDEX($D$5:$H$5,0,AH$8+1)-INDEX($D$5:$H$5,0,AH$8))+AG97)))</f>
        <v>103.37272938194623</v>
      </c>
      <c r="AI97" s="11" cm="1">
        <f t="array" ref="AI97">IF(AI$8=-1,AJ97,IF(AI$8=99,AH97,IF(AI$8=0,INDEX($E97:$I97,0,AI$6),(INDEX($E97:$I97,0,AI$8+1)-INDEX($E97:$I97,0,AI$8))/(INDEX($D$5:$H$5,0,AI$8+1)-INDEX($D$5:$H$5,0,AI$8))+AH97)))</f>
        <v>103.37272938194623</v>
      </c>
      <c r="AJ97" s="11" cm="1">
        <f t="array" ref="AJ97">IF(AJ$8=-1,AK97,IF(AJ$8=99,AI97,IF(AJ$8=0,INDEX($E97:$I97,0,AJ$6),(INDEX($E97:$I97,0,AJ$8+1)-INDEX($E97:$I97,0,AJ$8))/(INDEX($D$5:$H$5,0,AJ$8+1)-INDEX($D$5:$H$5,0,AJ$8))+AI97)))</f>
        <v>103.37272938194623</v>
      </c>
      <c r="AK97" s="11" cm="1">
        <f t="array" ref="AK97">IF(AK$8=-1,AL97,IF(AK$8=99,AJ97,IF(AK$8=0,INDEX($E97:$I97,0,AK$6),(INDEX($E97:$I97,0,AK$8+1)-INDEX($E97:$I97,0,AK$8))/(INDEX($D$5:$H$5,0,AK$8+1)-INDEX($D$5:$H$5,0,AK$8))+AJ97)))</f>
        <v>103.37272938194623</v>
      </c>
      <c r="AL97" s="11" cm="1">
        <f t="array" ref="AL97">IF(AL$8=-1,AM97,IF(AL$8=99,AK97,IF(AL$8=0,INDEX($E97:$I97,0,AL$6),(INDEX($E97:$I97,0,AL$8+1)-INDEX($E97:$I97,0,AL$8))/(INDEX($D$5:$H$5,0,AL$8+1)-INDEX($D$5:$H$5,0,AL$8))+AK97)))</f>
        <v>103.37272938194623</v>
      </c>
      <c r="AM97" s="11" cm="1">
        <f t="array" ref="AM97">IF(AM$8=-1,AN97,IF(AM$8=99,AL97,IF(AM$8=0,INDEX($E97:$I97,0,AM$6),(INDEX($E97:$I97,0,AM$8+1)-INDEX($E97:$I97,0,AM$8))/(INDEX($D$5:$H$5,0,AM$8+1)-INDEX($D$5:$H$5,0,AM$8))+AL97)))</f>
        <v>103.37272938194623</v>
      </c>
      <c r="AN97" s="11" cm="1">
        <f t="array" ref="AN97">IF(AN$8=-1,AO97,IF(AN$8=99,AM97,IF(AN$8=0,INDEX($E97:$I97,0,AN$6),(INDEX($E97:$I97,0,AN$8+1)-INDEX($E97:$I97,0,AN$8))/(INDEX($D$5:$H$5,0,AN$8+1)-INDEX($D$5:$H$5,0,AN$8))+AM97)))</f>
        <v>103.37272938194623</v>
      </c>
      <c r="AO97" s="11" cm="1">
        <f t="array" ref="AO97">IF(AO$8=-1,AP97,IF(AO$8=99,AN97,IF(AO$8=0,INDEX($E97:$K97,0,AO$6),(INDEX($E97:$K97,0,AO$8+1)-INDEX($E97:$K97,0,AO$8))/(INDEX($D$5:$J$5,0,AO$8+1)-INDEX($D$5:$J$5,0,AO$8))+AN97)))</f>
        <v>103.37272938194623</v>
      </c>
      <c r="AP97" s="11" cm="1">
        <f t="array" ref="AP97">IF(AP$8=-1,AQ97,IF(AP$8=99,AO97,IF(AP$8=0,INDEX($E97:$K97,0,AP$6),(INDEX($E97:$K97,0,AP$8+1)-INDEX($E97:$K97,0,AP$8))/(INDEX($D$5:$J$5,0,AP$8+1)-INDEX($D$5:$J$5,0,AP$8))+AO97)))</f>
        <v>103.37272938194623</v>
      </c>
      <c r="AQ97" s="11" cm="1">
        <f t="array" ref="AQ97">IF(AQ$8=-1,AR97,IF(AQ$8=99,AP97,IF(AQ$8=0,INDEX($E97:$K97,0,AQ$6),(INDEX($E97:$K97,0,AQ$8+1)-INDEX($E97:$K97,0,AQ$8))/(INDEX($D$5:$J$5,0,AQ$8+1)-INDEX($D$5:$J$5,0,AQ$8))+AP97)))</f>
        <v>103.37272938194623</v>
      </c>
      <c r="AR97" s="11" cm="1">
        <f t="array" ref="AR97">IF(AR$8=-1,AS97,IF(AR$8=99,AQ97,IF(AR$8=0,INDEX($E97:$K97,0,AR$6),(INDEX($E97:$K97,0,AR$8+1)-INDEX($E97:$K97,0,AR$8))/(INDEX($D$5:$J$5,0,AR$8+1)-INDEX($D$5:$J$5,0,AR$8))+AQ97)))</f>
        <v>103.37272938194623</v>
      </c>
      <c r="AS97" s="11" cm="1">
        <f t="array" ref="AS97">IF(AS$8=-1,AT97,IF(AS$8=99,AR97,IF(AS$8=0,INDEX($E97:$K97,0,AS$6),(INDEX($E97:$K97,0,AS$8+1)-INDEX($E97:$K97,0,AS$8))/(INDEX($D$5:$J$5,0,AS$8+1)-INDEX($D$5:$J$5,0,AS$8))+AR97)))</f>
        <v>103.37272938194623</v>
      </c>
      <c r="AT97" s="11" cm="1">
        <f t="array" ref="AT97">IF(AT$8=-1,AU97,IF(AT$8=99,AS97,IF(AT$8=0,INDEX($E97:$K97,0,AT$6),(INDEX($E97:$K97,0,AT$8+1)-INDEX($E97:$K97,0,AT$8))/(INDEX($D$5:$J$5,0,AT$8+1)-INDEX($D$5:$J$5,0,AT$8))+AS97)))</f>
        <v>103.37272938194623</v>
      </c>
      <c r="AU97" s="11" cm="1">
        <f t="array" ref="AU97">IF(AU$8=-1,AV97,IF(AU$8=99,AT97,IF(AU$8=0,INDEX($E97:$K97,0,AU$6),(INDEX($E97:$K97,0,AU$8+1)-INDEX($E97:$K97,0,AU$8))/(INDEX($D$5:$J$5,0,AU$8+1)-INDEX($D$5:$J$5,0,AU$8))+AT97)))</f>
        <v>103.37272938194623</v>
      </c>
      <c r="AV97" s="11" cm="1">
        <f t="array" ref="AV97">IF(AV$8=-1,AW97,IF(AV$8=99,AU97,IF(AV$8=0,INDEX($E97:$K97,0,AV$6),(INDEX($E97:$K97,0,AV$8+1)-INDEX($E97:$K97,0,AV$8))/(INDEX($D$5:$J$5,0,AV$8+1)-INDEX($D$5:$J$5,0,AV$8))+AU97)))</f>
        <v>103.37272938194623</v>
      </c>
      <c r="AW97" s="11" cm="1">
        <f t="array" ref="AW97">IF(AW$8=-1,AX97,IF(AW$8=99,AV97,IF(AW$8=0,INDEX($E97:$K97,0,AW$6),(INDEX($E97:$K97,0,AW$8+1)-INDEX($E97:$K97,0,AW$8))/(INDEX($D$5:$J$5,0,AW$8+1)-INDEX($D$5:$J$5,0,AW$8))+AV97)))</f>
        <v>103.37272938194623</v>
      </c>
      <c r="AX97" s="11" cm="1">
        <f t="array" ref="AX97">IF(AX$8=-1,AY97,IF(AX$8=99,AW97,IF(AX$8=0,INDEX($E97:$K97,0,AX$6),(INDEX($E97:$K97,0,AX$8+1)-INDEX($E97:$K97,0,AX$8))/(INDEX($D$5:$J$5,0,AX$8+1)-INDEX($D$5:$J$5,0,AX$8))+AW97)))</f>
        <v>103.37272938194623</v>
      </c>
      <c r="AY97" s="11" cm="1">
        <f t="array" ref="AY97">IF(AY$8=-1,AZ97,IF(AY$8=99,AX97,IF(AY$8=0,INDEX($E97:$K97,0,AY$6),(INDEX($E97:$K97,0,AY$8+1)-INDEX($E97:$K97,0,AY$8))/(INDEX($D$5:$J$5,0,AY$8+1)-INDEX($D$5:$J$5,0,AY$8))+AX97)))</f>
        <v>103.37272938194623</v>
      </c>
      <c r="AZ97" s="11" cm="1">
        <f t="array" ref="AZ97">IF(AZ$8=-1,BA97,IF(AZ$8=99,AY97,IF(AZ$8=0,INDEX($E97:$K97,0,AZ$6),(INDEX($E97:$K97,0,AZ$8+1)-INDEX($E97:$K97,0,AZ$8))/(INDEX($D$5:$J$5,0,AZ$8+1)-INDEX($D$5:$J$5,0,AZ$8))+AY97)))</f>
        <v>103.37272938194623</v>
      </c>
      <c r="BA97" s="11" cm="1">
        <f t="array" ref="BA97">IF(BA$8=-1,BB97,IF(BA$8=99,AZ97,IF(BA$8=0,INDEX($E97:$K97,0,BA$6),(INDEX($E97:$K97,0,BA$8+1)-INDEX($E97:$K97,0,BA$8))/(INDEX($D$5:$J$5,0,BA$8+1)-INDEX($D$5:$J$5,0,BA$8))+AZ97)))</f>
        <v>103.37272938194623</v>
      </c>
      <c r="BB97" s="11" cm="1">
        <f t="array" ref="BB97">IF(BB$8=-1,BC97,IF(BB$8=99,BA97,IF(BB$8=0,INDEX($E97:$K97,0,BB$6),(INDEX($E97:$K97,0,BB$8+1)-INDEX($E97:$K97,0,BB$8))/(INDEX($D$5:$J$5,0,BB$8+1)-INDEX($D$5:$J$5,0,BB$8))+BA97)))</f>
        <v>103.37272938194623</v>
      </c>
      <c r="BC97" s="11" cm="1">
        <f t="array" ref="BC97">IF(BC$8=-1,BD97,IF(BC$8=99,BB97,IF(BC$8=0,INDEX($E97:$K97,0,BC$6),(INDEX($E97:$K97,0,BC$8+1)-INDEX($E97:$K97,0,BC$8))/(INDEX($D$5:$J$5,0,BC$8+1)-INDEX($D$5:$J$5,0,BC$8))+BB97)))</f>
        <v>103.37272938194623</v>
      </c>
      <c r="BD97" s="11" cm="1">
        <f t="array" ref="BD97">IF(BD$8=-1,BE97,IF(BD$8=99,BC97,IF(BD$8=0,INDEX($E97:$K97,0,BD$6),(INDEX($E97:$K97,0,BD$8+1)-INDEX($E97:$K97,0,BD$8))/(INDEX($D$5:$J$5,0,BD$8+1)-INDEX($D$5:$J$5,0,BD$8))+BC97)))</f>
        <v>103.37272938194623</v>
      </c>
      <c r="BE97" s="11" cm="1">
        <f t="array" ref="BE97">IF(BE$8=-1,BF97,IF(BE$8=99,BD97,IF(BE$8=0,INDEX($E97:$K97,0,BE$6),(INDEX($E97:$K97,0,BE$8+1)-INDEX($E97:$K97,0,BE$8))/(INDEX($D$5:$J$5,0,BE$8+1)-INDEX($D$5:$J$5,0,BE$8))+BD97)))</f>
        <v>103.37272938194623</v>
      </c>
      <c r="BF97" s="11" cm="1">
        <f t="array" ref="BF97">IF(BF$8=-1,BG97,IF(BF$8=99,BE97,IF(BF$8=0,INDEX($E97:$K97,0,BF$6),(INDEX($E97:$K97,0,BF$8+1)-INDEX($E97:$K97,0,BF$8))/(INDEX($D$5:$J$5,0,BF$8+1)-INDEX($D$5:$J$5,0,BF$8))+BE97)))</f>
        <v>103.37272938194623</v>
      </c>
      <c r="BG97" s="11" cm="1">
        <f t="array" ref="BG97">IF(BG$8=-1,BH97,IF(BG$8=99,BF97,IF(BG$8=0,INDEX($E97:$K97,0,BG$6),(INDEX($E97:$K97,0,BG$8+1)-INDEX($E97:$K97,0,BG$8))/(INDEX($D$5:$J$5,0,BG$8+1)-INDEX($D$5:$J$5,0,BG$8))+BF97)))</f>
        <v>103.37272938194623</v>
      </c>
      <c r="BH97" s="11" cm="1">
        <f t="array" ref="BH97">IF(BH$8=-1,BI97,IF(BH$8=99,BG97,IF(BH$8=0,INDEX($E97:$K97,0,BH$6),(INDEX($E97:$K97,0,BH$8+1)-INDEX($E97:$K97,0,BH$8))/(INDEX($D$5:$J$5,0,BH$8+1)-INDEX($D$5:$J$5,0,BH$8))+BG97)))</f>
        <v>103.37272938194623</v>
      </c>
      <c r="BI97" s="11" cm="1">
        <f t="array" ref="BI97">IF(BI$8=-1,BJ97,IF(BI$8=99,BH97,IF(BI$8=0,INDEX($E97:$K97,0,BI$6),(INDEX($E97:$K97,0,BI$8+1)-INDEX($E97:$K97,0,BI$8))/(INDEX($D$5:$J$5,0,BI$8+1)-INDEX($D$5:$J$5,0,BI$8))+BH97)))</f>
        <v>103.37272938194623</v>
      </c>
      <c r="BJ97" s="11" cm="1">
        <f t="array" ref="BJ97">IF(BJ$8=-1,BK97,IF(BJ$8=99,BI97,IF(BJ$8=0,INDEX($E97:$K97,0,BJ$6),(INDEX($E97:$K97,0,BJ$8+1)-INDEX($E97:$K97,0,BJ$8))/(INDEX($D$5:$J$5,0,BJ$8+1)-INDEX($D$5:$J$5,0,BJ$8))+BI97)))</f>
        <v>103.37272938194623</v>
      </c>
      <c r="BK97" s="11" cm="1">
        <f t="array" ref="BK97">IF(BK$8=-1,BL97,IF(BK$8=99,BJ97,IF(BK$8=0,INDEX($E97:$K97,0,BK$6),(INDEX($E97:$K97,0,BK$8+1)-INDEX($E97:$K97,0,BK$8))/(INDEX($D$5:$J$5,0,BK$8+1)-INDEX($D$5:$J$5,0,BK$8))+BJ97)))</f>
        <v>103.37272938194623</v>
      </c>
      <c r="BL97" s="11" cm="1">
        <f t="array" ref="BL97">IF(BL$8=-1,BM97,IF(BL$8=99,BK97,IF(BL$8=0,INDEX($E97:$K97,0,BL$6),(INDEX($E97:$K97,0,BL$8+1)-INDEX($E97:$K97,0,BL$8))/(INDEX($D$5:$J$5,0,BL$8+1)-INDEX($D$5:$J$5,0,BL$8))+BK97)))</f>
        <v>103.37272938194623</v>
      </c>
      <c r="BM97" s="11" cm="1">
        <f t="array" ref="BM97">IF(BM$8=-1,BN97,IF(BM$8=99,BL97,IF(BM$8=0,INDEX($E97:$K97,0,BM$6),(INDEX($E97:$K97,0,BM$8+1)-INDEX($E97:$K97,0,BM$8))/(INDEX($D$5:$J$5,0,BM$8+1)-INDEX($D$5:$J$5,0,BM$8))+BL97)))</f>
        <v>103.37272938194623</v>
      </c>
      <c r="BN97" s="11" cm="1">
        <f t="array" ref="BN97">IF(BN$8=-1,BO97,IF(BN$8=99,BM97,IF(BN$8=0,INDEX($E97:$K97,0,BN$6),(INDEX($E97:$K97,0,BN$8+1)-INDEX($E97:$K97,0,BN$8))/(INDEX($D$5:$J$5,0,BN$8+1)-INDEX($D$5:$J$5,0,BN$8))+BM97)))</f>
        <v>103.37272938194623</v>
      </c>
      <c r="BO97" s="11" cm="1">
        <f t="array" ref="BO97">IF(BO$8=-1,BP97,IF(BO$8=99,BN97,IF(BO$8=0,INDEX($E97:$K97,0,BO$6),(INDEX($E97:$K97,0,BO$8+1)-INDEX($E97:$K97,0,BO$8))/(INDEX($D$5:$J$5,0,BO$8+1)-INDEX($D$5:$J$5,0,BO$8))+BN97)))</f>
        <v>103.37272938194623</v>
      </c>
      <c r="BP97" s="11" cm="1">
        <f t="array" ref="BP97">IF(BP$8=-1,BQ97,IF(BP$8=99,BO97,IF(BP$8=0,INDEX($E97:$K97,0,BP$6),(INDEX($E97:$K97,0,BP$8+1)-INDEX($E97:$K97,0,BP$8))/(INDEX($D$5:$J$5,0,BP$8+1)-INDEX($D$5:$J$5,0,BP$8))+BO97)))</f>
        <v>103.37272938194623</v>
      </c>
      <c r="BQ97" s="11" cm="1">
        <f t="array" ref="BQ97">IF(BQ$8=-1,BR97,IF(BQ$8=99,BP97,IF(BQ$8=0,INDEX($E97:$K97,0,BQ$6),(INDEX($E97:$K97,0,BQ$8+1)-INDEX($E97:$K97,0,BQ$8))/(INDEX($D$5:$J$5,0,BQ$8+1)-INDEX($D$5:$J$5,0,BQ$8))+BP97)))</f>
        <v>103.37272938194623</v>
      </c>
      <c r="BR97" s="11" cm="1">
        <f t="array" ref="BR97">IF(BR$8=-1,BS97,IF(BR$8=99,BQ97,IF(BR$8=0,INDEX($E97:$K97,0,BR$6),(INDEX($E97:$K97,0,BR$8+1)-INDEX($E97:$K97,0,BR$8))/(INDEX($D$5:$J$5,0,BR$8+1)-INDEX($D$5:$J$5,0,BR$8))+BQ97)))</f>
        <v>103.37272938194623</v>
      </c>
    </row>
    <row r="98" spans="1:70" ht="15">
      <c r="A98" t="s">
        <v>16</v>
      </c>
      <c r="B98" s="5" t="str">
        <f t="shared" si="154"/>
        <v>CEG</v>
      </c>
      <c r="C98" s="95" t="str">
        <f t="shared" si="151"/>
        <v>Commercial - Public lights</v>
      </c>
      <c r="D98" s="95" t="s">
        <v>66</v>
      </c>
      <c r="E98" s="156">
        <f>D62/$L$34</f>
        <v>387.77678995775256</v>
      </c>
      <c r="F98" s="156">
        <f>E62/$Q$34</f>
        <v>340.12117882925378</v>
      </c>
      <c r="G98" s="151">
        <f t="shared" si="152"/>
        <v>340.12117882925378</v>
      </c>
      <c r="H98" s="92">
        <f>IF($N$57=-1,G98,((F98-E98)*2/5+E98)*(1+$I$91))</f>
        <v>340.12117882925378</v>
      </c>
      <c r="I98" s="152">
        <f t="shared" si="157"/>
        <v>340.12117882925378</v>
      </c>
      <c r="J98" s="152">
        <f t="shared" si="153"/>
        <v>340.12117882925378</v>
      </c>
      <c r="K98" s="152">
        <f t="shared" si="153"/>
        <v>340.12117882925378</v>
      </c>
      <c r="L98" s="11" cm="1">
        <f t="array" ref="L98">IF(L$8=-1,M98,IF(L$8=99,I98,IF(L$8=0,INDEX($E98:$I98,0,L$6),(INDEX($E98:$I98,0,L$8+1)-INDEX($E98:$I98,0,L$8))/(INDEX($D$5:$H$5,0,L$8+1)-INDEX($D$5:$H$5,0,L$8))+I98)))</f>
        <v>387.77678995775256</v>
      </c>
      <c r="M98" s="11" cm="1">
        <f t="array" ref="M98">IF(M$8=-1,N98,IF(M$8=99,L98,IF(M$8=0,INDEX($E98:$I98,0,M$6),(INDEX($E98:$I98,0,M$8+1)-INDEX($E98:$I98,0,M$8))/(INDEX($D$5:$H$5,0,M$8+1)-INDEX($D$5:$H$5,0,M$8))+L98)))</f>
        <v>378.24566773205282</v>
      </c>
      <c r="N98" s="11" cm="1">
        <f t="array" ref="N98">IF(N$8=-1,O98,IF(N$8=99,M98,IF(N$8=0,INDEX($E98:$I98,0,N$6),(INDEX($E98:$I98,0,N$8+1)-INDEX($E98:$I98,0,N$8))/(INDEX($D$5:$H$5,0,N$8+1)-INDEX($D$5:$H$5,0,N$8))+M98)))</f>
        <v>368.71454550635309</v>
      </c>
      <c r="O98" s="11" cm="1">
        <f t="array" ref="O98">IF(O$8=-1,P98,IF(O$8=99,N98,IF(O$8=0,INDEX($E98:$I98,0,O$6),(INDEX($E98:$I98,0,O$8+1)-INDEX($E98:$I98,0,O$8))/(INDEX($D$5:$H$5,0,O$8+1)-INDEX($D$5:$H$5,0,O$8))+N98)))</f>
        <v>359.18342328065336</v>
      </c>
      <c r="P98" s="11" cm="1">
        <f t="array" ref="P98">IF(P$8=-1,Q98,IF(P$8=99,O98,IF(P$8=0,INDEX($E98:$I98,0,P$6),(INDEX($E98:$I98,0,P$8+1)-INDEX($E98:$I98,0,P$8))/(INDEX($D$5:$H$5,0,P$8+1)-INDEX($D$5:$H$5,0,P$8))+O98)))</f>
        <v>349.65230105495363</v>
      </c>
      <c r="Q98" s="11" cm="1">
        <f t="array" ref="Q98">IF(Q$8=-1,R98,IF(Q$8=99,P98,IF(Q$8=0,INDEX($E98:$I98,0,Q$6),(INDEX($E98:$I98,0,Q$8+1)-INDEX($E98:$I98,0,Q$8))/(INDEX($D$5:$H$5,0,Q$8+1)-INDEX($D$5:$H$5,0,Q$8))+P98)))</f>
        <v>340.12117882925378</v>
      </c>
      <c r="R98" s="11" cm="1">
        <f t="array" ref="R98">IF(R$8=-1,S98,IF(R$8=99,Q98,IF(R$8=0,INDEX($E98:$I98,0,R$6),(INDEX($E98:$I98,0,R$8+1)-INDEX($E98:$I98,0,R$8))/(INDEX($D$5:$H$5,0,R$8+1)-INDEX($D$5:$H$5,0,R$8))+Q98)))</f>
        <v>340.12117882925378</v>
      </c>
      <c r="S98" s="11" cm="1">
        <f t="array" ref="S98">IF(S$8=-1,T98,IF(S$8=99,R98,IF(S$8=0,INDEX($E98:$I98,0,S$6),(INDEX($E98:$I98,0,S$8+1)-INDEX($E98:$I98,0,S$8))/(INDEX($D$5:$H$5,0,S$8+1)-INDEX($D$5:$H$5,0,S$8))+R98)))</f>
        <v>340.12117882925378</v>
      </c>
      <c r="T98" s="11" cm="1">
        <f t="array" ref="T98">IF(T$8=-1,U98,IF(T$8=99,S98,IF(T$8=0,INDEX($E98:$I98,0,T$6),(INDEX($E98:$I98,0,T$8+1)-INDEX($E98:$I98,0,T$8))/(INDEX($D$5:$H$5,0,T$8+1)-INDEX($D$5:$H$5,0,T$8))+S98)))</f>
        <v>340.12117882925378</v>
      </c>
      <c r="U98" s="11" cm="1">
        <f t="array" ref="U98">IF(U$8=-1,V98,IF(U$8=99,T98,IF(U$8=0,INDEX($E98:$I98,0,U$6),(INDEX($E98:$I98,0,U$8+1)-INDEX($E98:$I98,0,U$8))/(INDEX($D$5:$H$5,0,U$8+1)-INDEX($D$5:$H$5,0,U$8))+T98)))</f>
        <v>340.12117882925378</v>
      </c>
      <c r="V98" s="11" cm="1">
        <f t="array" ref="V98">IF(V$8=-1,W98,IF(V$8=99,U98,IF(V$8=0,INDEX($E98:$I98,0,V$6),(INDEX($E98:$I98,0,V$8+1)-INDEX($E98:$I98,0,V$8))/(INDEX($D$5:$H$5,0,V$8+1)-INDEX($D$5:$H$5,0,V$8))+U98)))</f>
        <v>340.12117882925378</v>
      </c>
      <c r="W98" s="11" cm="1">
        <f t="array" ref="W98">IF(W$8=-1,X98,IF(W$8=99,V98,IF(W$8=0,INDEX($E98:$I98,0,W$6),(INDEX($E98:$I98,0,W$8+1)-INDEX($E98:$I98,0,W$8))/(INDEX($D$5:$H$5,0,W$8+1)-INDEX($D$5:$H$5,0,W$8))+V98)))</f>
        <v>340.12117882925378</v>
      </c>
      <c r="X98" s="11" cm="1">
        <f t="array" ref="X98">IF(X$8=-1,Y98,IF(X$8=99,W98,IF(X$8=0,INDEX($E98:$I98,0,X$6),(INDEX($E98:$I98,0,X$8+1)-INDEX($E98:$I98,0,X$8))/(INDEX($D$5:$H$5,0,X$8+1)-INDEX($D$5:$H$5,0,X$8))+W98)))</f>
        <v>340.12117882925378</v>
      </c>
      <c r="Y98" s="11" cm="1">
        <f t="array" ref="Y98">IF(Y$8=-1,Z98,IF(Y$8=99,X98,IF(Y$8=0,INDEX($E98:$I98,0,Y$6),(INDEX($E98:$I98,0,Y$8+1)-INDEX($E98:$I98,0,Y$8))/(INDEX($D$5:$H$5,0,Y$8+1)-INDEX($D$5:$H$5,0,Y$8))+X98)))</f>
        <v>340.12117882925378</v>
      </c>
      <c r="Z98" s="11" cm="1">
        <f t="array" ref="Z98">IF(Z$8=-1,AA98,IF(Z$8=99,Y98,IF(Z$8=0,INDEX($E98:$I98,0,Z$6),(INDEX($E98:$I98,0,Z$8+1)-INDEX($E98:$I98,0,Z$8))/(INDEX($D$5:$H$5,0,Z$8+1)-INDEX($D$5:$H$5,0,Z$8))+Y98)))</f>
        <v>340.12117882925378</v>
      </c>
      <c r="AA98" s="11" cm="1">
        <f t="array" ref="AA98">IF(AA$8=-1,AB98,IF(AA$8=99,Z98,IF(AA$8=0,INDEX($E98:$I98,0,AA$6),(INDEX($E98:$I98,0,AA$8+1)-INDEX($E98:$I98,0,AA$8))/(INDEX($D$5:$H$5,0,AA$8+1)-INDEX($D$5:$H$5,0,AA$8))+Z98)))</f>
        <v>340.12117882925378</v>
      </c>
      <c r="AB98" s="11" cm="1">
        <f t="array" ref="AB98">IF(AB$8=-1,AC98,IF(AB$8=99,AA98,IF(AB$8=0,INDEX($E98:$I98,0,AB$6),(INDEX($E98:$I98,0,AB$8+1)-INDEX($E98:$I98,0,AB$8))/(INDEX($D$5:$H$5,0,AB$8+1)-INDEX($D$5:$H$5,0,AB$8))+AA98)))</f>
        <v>340.12117882925378</v>
      </c>
      <c r="AC98" s="11" cm="1">
        <f t="array" ref="AC98">IF(AC$8=-1,AD98,IF(AC$8=99,AB98,IF(AC$8=0,INDEX($E98:$I98,0,AC$6),(INDEX($E98:$I98,0,AC$8+1)-INDEX($E98:$I98,0,AC$8))/(INDEX($D$5:$H$5,0,AC$8+1)-INDEX($D$5:$H$5,0,AC$8))+AB98)))</f>
        <v>340.12117882925378</v>
      </c>
      <c r="AD98" s="11" cm="1">
        <f t="array" ref="AD98">IF(AD$8=-1,AE98,IF(AD$8=99,AC98,IF(AD$8=0,INDEX($E98:$I98,0,AD$6),(INDEX($E98:$I98,0,AD$8+1)-INDEX($E98:$I98,0,AD$8))/(INDEX($D$5:$H$5,0,AD$8+1)-INDEX($D$5:$H$5,0,AD$8))+AC98)))</f>
        <v>340.12117882925378</v>
      </c>
      <c r="AE98" s="11" cm="1">
        <f t="array" ref="AE98">IF(AE$8=-1,AF98,IF(AE$8=99,AD98,IF(AE$8=0,INDEX($E98:$I98,0,AE$6),(INDEX($E98:$I98,0,AE$8+1)-INDEX($E98:$I98,0,AE$8))/(INDEX($D$5:$H$5,0,AE$8+1)-INDEX($D$5:$H$5,0,AE$8))+AD98)))</f>
        <v>340.12117882925378</v>
      </c>
      <c r="AF98" s="11" cm="1">
        <f t="array" ref="AF98">IF(AF$8=-1,AG98,IF(AF$8=99,AE98,IF(AF$8=0,INDEX($E98:$I98,0,AF$6),(INDEX($E98:$I98,0,AF$8+1)-INDEX($E98:$I98,0,AF$8))/(INDEX($D$5:$H$5,0,AF$8+1)-INDEX($D$5:$H$5,0,AF$8))+AE98)))</f>
        <v>340.12117882925378</v>
      </c>
      <c r="AG98" s="11" cm="1">
        <f t="array" ref="AG98">IF(AG$8=-1,AH98,IF(AG$8=99,AF98,IF(AG$8=0,INDEX($E98:$I98,0,AG$6),(INDEX($E98:$I98,0,AG$8+1)-INDEX($E98:$I98,0,AG$8))/(INDEX($D$5:$H$5,0,AG$8+1)-INDEX($D$5:$H$5,0,AG$8))+AF98)))</f>
        <v>340.12117882925378</v>
      </c>
      <c r="AH98" s="11" cm="1">
        <f t="array" ref="AH98">IF(AH$8=-1,AI98,IF(AH$8=99,AG98,IF(AH$8=0,INDEX($E98:$I98,0,AH$6),(INDEX($E98:$I98,0,AH$8+1)-INDEX($E98:$I98,0,AH$8))/(INDEX($D$5:$H$5,0,AH$8+1)-INDEX($D$5:$H$5,0,AH$8))+AG98)))</f>
        <v>340.12117882925378</v>
      </c>
      <c r="AI98" s="11" cm="1">
        <f t="array" ref="AI98">IF(AI$8=-1,AJ98,IF(AI$8=99,AH98,IF(AI$8=0,INDEX($E98:$I98,0,AI$6),(INDEX($E98:$I98,0,AI$8+1)-INDEX($E98:$I98,0,AI$8))/(INDEX($D$5:$H$5,0,AI$8+1)-INDEX($D$5:$H$5,0,AI$8))+AH98)))</f>
        <v>340.12117882925378</v>
      </c>
      <c r="AJ98" s="11" cm="1">
        <f t="array" ref="AJ98">IF(AJ$8=-1,AK98,IF(AJ$8=99,AI98,IF(AJ$8=0,INDEX($E98:$I98,0,AJ$6),(INDEX($E98:$I98,0,AJ$8+1)-INDEX($E98:$I98,0,AJ$8))/(INDEX($D$5:$H$5,0,AJ$8+1)-INDEX($D$5:$H$5,0,AJ$8))+AI98)))</f>
        <v>340.12117882925378</v>
      </c>
      <c r="AK98" s="11" cm="1">
        <f t="array" ref="AK98">IF(AK$8=-1,AL98,IF(AK$8=99,AJ98,IF(AK$8=0,INDEX($E98:$I98,0,AK$6),(INDEX($E98:$I98,0,AK$8+1)-INDEX($E98:$I98,0,AK$8))/(INDEX($D$5:$H$5,0,AK$8+1)-INDEX($D$5:$H$5,0,AK$8))+AJ98)))</f>
        <v>340.12117882925378</v>
      </c>
      <c r="AL98" s="11" cm="1">
        <f t="array" ref="AL98">IF(AL$8=-1,AM98,IF(AL$8=99,AK98,IF(AL$8=0,INDEX($E98:$I98,0,AL$6),(INDEX($E98:$I98,0,AL$8+1)-INDEX($E98:$I98,0,AL$8))/(INDEX($D$5:$H$5,0,AL$8+1)-INDEX($D$5:$H$5,0,AL$8))+AK98)))</f>
        <v>340.12117882925378</v>
      </c>
      <c r="AM98" s="11" cm="1">
        <f t="array" ref="AM98">IF(AM$8=-1,AN98,IF(AM$8=99,AL98,IF(AM$8=0,INDEX($E98:$I98,0,AM$6),(INDEX($E98:$I98,0,AM$8+1)-INDEX($E98:$I98,0,AM$8))/(INDEX($D$5:$H$5,0,AM$8+1)-INDEX($D$5:$H$5,0,AM$8))+AL98)))</f>
        <v>340.12117882925378</v>
      </c>
      <c r="AN98" s="11" cm="1">
        <f t="array" ref="AN98">IF(AN$8=-1,AO98,IF(AN$8=99,AM98,IF(AN$8=0,INDEX($E98:$I98,0,AN$6),(INDEX($E98:$I98,0,AN$8+1)-INDEX($E98:$I98,0,AN$8))/(INDEX($D$5:$H$5,0,AN$8+1)-INDEX($D$5:$H$5,0,AN$8))+AM98)))</f>
        <v>340.12117882925378</v>
      </c>
      <c r="AO98" s="11" cm="1">
        <f t="array" ref="AO98">IF(AO$8=-1,AP98,IF(AO$8=99,AN98,IF(AO$8=0,INDEX($E98:$K98,0,AO$6),(INDEX($E98:$K98,0,AO$8+1)-INDEX($E98:$K98,0,AO$8))/(INDEX($D$5:$J$5,0,AO$8+1)-INDEX($D$5:$J$5,0,AO$8))+AN98)))</f>
        <v>340.12117882925378</v>
      </c>
      <c r="AP98" s="11" cm="1">
        <f t="array" ref="AP98">IF(AP$8=-1,AQ98,IF(AP$8=99,AO98,IF(AP$8=0,INDEX($E98:$K98,0,AP$6),(INDEX($E98:$K98,0,AP$8+1)-INDEX($E98:$K98,0,AP$8))/(INDEX($D$5:$J$5,0,AP$8+1)-INDEX($D$5:$J$5,0,AP$8))+AO98)))</f>
        <v>340.12117882925378</v>
      </c>
      <c r="AQ98" s="11" cm="1">
        <f t="array" ref="AQ98">IF(AQ$8=-1,AR98,IF(AQ$8=99,AP98,IF(AQ$8=0,INDEX($E98:$K98,0,AQ$6),(INDEX($E98:$K98,0,AQ$8+1)-INDEX($E98:$K98,0,AQ$8))/(INDEX($D$5:$J$5,0,AQ$8+1)-INDEX($D$5:$J$5,0,AQ$8))+AP98)))</f>
        <v>340.12117882925378</v>
      </c>
      <c r="AR98" s="11" cm="1">
        <f t="array" ref="AR98">IF(AR$8=-1,AS98,IF(AR$8=99,AQ98,IF(AR$8=0,INDEX($E98:$K98,0,AR$6),(INDEX($E98:$K98,0,AR$8+1)-INDEX($E98:$K98,0,AR$8))/(INDEX($D$5:$J$5,0,AR$8+1)-INDEX($D$5:$J$5,0,AR$8))+AQ98)))</f>
        <v>340.12117882925378</v>
      </c>
      <c r="AS98" s="11" cm="1">
        <f t="array" ref="AS98">IF(AS$8=-1,AT98,IF(AS$8=99,AR98,IF(AS$8=0,INDEX($E98:$K98,0,AS$6),(INDEX($E98:$K98,0,AS$8+1)-INDEX($E98:$K98,0,AS$8))/(INDEX($D$5:$J$5,0,AS$8+1)-INDEX($D$5:$J$5,0,AS$8))+AR98)))</f>
        <v>340.12117882925378</v>
      </c>
      <c r="AT98" s="11" cm="1">
        <f t="array" ref="AT98">IF(AT$8=-1,AU98,IF(AT$8=99,AS98,IF(AT$8=0,INDEX($E98:$K98,0,AT$6),(INDEX($E98:$K98,0,AT$8+1)-INDEX($E98:$K98,0,AT$8))/(INDEX($D$5:$J$5,0,AT$8+1)-INDEX($D$5:$J$5,0,AT$8))+AS98)))</f>
        <v>340.12117882925378</v>
      </c>
      <c r="AU98" s="11" cm="1">
        <f t="array" ref="AU98">IF(AU$8=-1,AV98,IF(AU$8=99,AT98,IF(AU$8=0,INDEX($E98:$K98,0,AU$6),(INDEX($E98:$K98,0,AU$8+1)-INDEX($E98:$K98,0,AU$8))/(INDEX($D$5:$J$5,0,AU$8+1)-INDEX($D$5:$J$5,0,AU$8))+AT98)))</f>
        <v>340.12117882925378</v>
      </c>
      <c r="AV98" s="11" cm="1">
        <f t="array" ref="AV98">IF(AV$8=-1,AW98,IF(AV$8=99,AU98,IF(AV$8=0,INDEX($E98:$K98,0,AV$6),(INDEX($E98:$K98,0,AV$8+1)-INDEX($E98:$K98,0,AV$8))/(INDEX($D$5:$J$5,0,AV$8+1)-INDEX($D$5:$J$5,0,AV$8))+AU98)))</f>
        <v>340.12117882925378</v>
      </c>
      <c r="AW98" s="11" cm="1">
        <f t="array" ref="AW98">IF(AW$8=-1,AX98,IF(AW$8=99,AV98,IF(AW$8=0,INDEX($E98:$K98,0,AW$6),(INDEX($E98:$K98,0,AW$8+1)-INDEX($E98:$K98,0,AW$8))/(INDEX($D$5:$J$5,0,AW$8+1)-INDEX($D$5:$J$5,0,AW$8))+AV98)))</f>
        <v>340.12117882925378</v>
      </c>
      <c r="AX98" s="11" cm="1">
        <f t="array" ref="AX98">IF(AX$8=-1,AY98,IF(AX$8=99,AW98,IF(AX$8=0,INDEX($E98:$K98,0,AX$6),(INDEX($E98:$K98,0,AX$8+1)-INDEX($E98:$K98,0,AX$8))/(INDEX($D$5:$J$5,0,AX$8+1)-INDEX($D$5:$J$5,0,AX$8))+AW98)))</f>
        <v>340.12117882925378</v>
      </c>
      <c r="AY98" s="11" cm="1">
        <f t="array" ref="AY98">IF(AY$8=-1,AZ98,IF(AY$8=99,AX98,IF(AY$8=0,INDEX($E98:$K98,0,AY$6),(INDEX($E98:$K98,0,AY$8+1)-INDEX($E98:$K98,0,AY$8))/(INDEX($D$5:$J$5,0,AY$8+1)-INDEX($D$5:$J$5,0,AY$8))+AX98)))</f>
        <v>340.12117882925378</v>
      </c>
      <c r="AZ98" s="11" cm="1">
        <f t="array" ref="AZ98">IF(AZ$8=-1,BA98,IF(AZ$8=99,AY98,IF(AZ$8=0,INDEX($E98:$K98,0,AZ$6),(INDEX($E98:$K98,0,AZ$8+1)-INDEX($E98:$K98,0,AZ$8))/(INDEX($D$5:$J$5,0,AZ$8+1)-INDEX($D$5:$J$5,0,AZ$8))+AY98)))</f>
        <v>340.12117882925378</v>
      </c>
      <c r="BA98" s="11" cm="1">
        <f t="array" ref="BA98">IF(BA$8=-1,BB98,IF(BA$8=99,AZ98,IF(BA$8=0,INDEX($E98:$K98,0,BA$6),(INDEX($E98:$K98,0,BA$8+1)-INDEX($E98:$K98,0,BA$8))/(INDEX($D$5:$J$5,0,BA$8+1)-INDEX($D$5:$J$5,0,BA$8))+AZ98)))</f>
        <v>340.12117882925378</v>
      </c>
      <c r="BB98" s="11" cm="1">
        <f t="array" ref="BB98">IF(BB$8=-1,BC98,IF(BB$8=99,BA98,IF(BB$8=0,INDEX($E98:$K98,0,BB$6),(INDEX($E98:$K98,0,BB$8+1)-INDEX($E98:$K98,0,BB$8))/(INDEX($D$5:$J$5,0,BB$8+1)-INDEX($D$5:$J$5,0,BB$8))+BA98)))</f>
        <v>340.12117882925378</v>
      </c>
      <c r="BC98" s="11" cm="1">
        <f t="array" ref="BC98">IF(BC$8=-1,BD98,IF(BC$8=99,BB98,IF(BC$8=0,INDEX($E98:$K98,0,BC$6),(INDEX($E98:$K98,0,BC$8+1)-INDEX($E98:$K98,0,BC$8))/(INDEX($D$5:$J$5,0,BC$8+1)-INDEX($D$5:$J$5,0,BC$8))+BB98)))</f>
        <v>340.12117882925378</v>
      </c>
      <c r="BD98" s="11" cm="1">
        <f t="array" ref="BD98">IF(BD$8=-1,BE98,IF(BD$8=99,BC98,IF(BD$8=0,INDEX($E98:$K98,0,BD$6),(INDEX($E98:$K98,0,BD$8+1)-INDEX($E98:$K98,0,BD$8))/(INDEX($D$5:$J$5,0,BD$8+1)-INDEX($D$5:$J$5,0,BD$8))+BC98)))</f>
        <v>340.12117882925378</v>
      </c>
      <c r="BE98" s="11" cm="1">
        <f t="array" ref="BE98">IF(BE$8=-1,BF98,IF(BE$8=99,BD98,IF(BE$8=0,INDEX($E98:$K98,0,BE$6),(INDEX($E98:$K98,0,BE$8+1)-INDEX($E98:$K98,0,BE$8))/(INDEX($D$5:$J$5,0,BE$8+1)-INDEX($D$5:$J$5,0,BE$8))+BD98)))</f>
        <v>340.12117882925378</v>
      </c>
      <c r="BF98" s="11" cm="1">
        <f t="array" ref="BF98">IF(BF$8=-1,BG98,IF(BF$8=99,BE98,IF(BF$8=0,INDEX($E98:$K98,0,BF$6),(INDEX($E98:$K98,0,BF$8+1)-INDEX($E98:$K98,0,BF$8))/(INDEX($D$5:$J$5,0,BF$8+1)-INDEX($D$5:$J$5,0,BF$8))+BE98)))</f>
        <v>340.12117882925378</v>
      </c>
      <c r="BG98" s="11" cm="1">
        <f t="array" ref="BG98">IF(BG$8=-1,BH98,IF(BG$8=99,BF98,IF(BG$8=0,INDEX($E98:$K98,0,BG$6),(INDEX($E98:$K98,0,BG$8+1)-INDEX($E98:$K98,0,BG$8))/(INDEX($D$5:$J$5,0,BG$8+1)-INDEX($D$5:$J$5,0,BG$8))+BF98)))</f>
        <v>340.12117882925378</v>
      </c>
      <c r="BH98" s="11" cm="1">
        <f t="array" ref="BH98">IF(BH$8=-1,BI98,IF(BH$8=99,BG98,IF(BH$8=0,INDEX($E98:$K98,0,BH$6),(INDEX($E98:$K98,0,BH$8+1)-INDEX($E98:$K98,0,BH$8))/(INDEX($D$5:$J$5,0,BH$8+1)-INDEX($D$5:$J$5,0,BH$8))+BG98)))</f>
        <v>340.12117882925378</v>
      </c>
      <c r="BI98" s="11" cm="1">
        <f t="array" ref="BI98">IF(BI$8=-1,BJ98,IF(BI$8=99,BH98,IF(BI$8=0,INDEX($E98:$K98,0,BI$6),(INDEX($E98:$K98,0,BI$8+1)-INDEX($E98:$K98,0,BI$8))/(INDEX($D$5:$J$5,0,BI$8+1)-INDEX($D$5:$J$5,0,BI$8))+BH98)))</f>
        <v>340.12117882925378</v>
      </c>
      <c r="BJ98" s="11" cm="1">
        <f t="array" ref="BJ98">IF(BJ$8=-1,BK98,IF(BJ$8=99,BI98,IF(BJ$8=0,INDEX($E98:$K98,0,BJ$6),(INDEX($E98:$K98,0,BJ$8+1)-INDEX($E98:$K98,0,BJ$8))/(INDEX($D$5:$J$5,0,BJ$8+1)-INDEX($D$5:$J$5,0,BJ$8))+BI98)))</f>
        <v>340.12117882925378</v>
      </c>
      <c r="BK98" s="11" cm="1">
        <f t="array" ref="BK98">IF(BK$8=-1,BL98,IF(BK$8=99,BJ98,IF(BK$8=0,INDEX($E98:$K98,0,BK$6),(INDEX($E98:$K98,0,BK$8+1)-INDEX($E98:$K98,0,BK$8))/(INDEX($D$5:$J$5,0,BK$8+1)-INDEX($D$5:$J$5,0,BK$8))+BJ98)))</f>
        <v>340.12117882925378</v>
      </c>
      <c r="BL98" s="11" cm="1">
        <f t="array" ref="BL98">IF(BL$8=-1,BM98,IF(BL$8=99,BK98,IF(BL$8=0,INDEX($E98:$K98,0,BL$6),(INDEX($E98:$K98,0,BL$8+1)-INDEX($E98:$K98,0,BL$8))/(INDEX($D$5:$J$5,0,BL$8+1)-INDEX($D$5:$J$5,0,BL$8))+BK98)))</f>
        <v>340.12117882925378</v>
      </c>
      <c r="BM98" s="11" cm="1">
        <f t="array" ref="BM98">IF(BM$8=-1,BN98,IF(BM$8=99,BL98,IF(BM$8=0,INDEX($E98:$K98,0,BM$6),(INDEX($E98:$K98,0,BM$8+1)-INDEX($E98:$K98,0,BM$8))/(INDEX($D$5:$J$5,0,BM$8+1)-INDEX($D$5:$J$5,0,BM$8))+BL98)))</f>
        <v>340.12117882925378</v>
      </c>
      <c r="BN98" s="11" cm="1">
        <f t="array" ref="BN98">IF(BN$8=-1,BO98,IF(BN$8=99,BM98,IF(BN$8=0,INDEX($E98:$K98,0,BN$6),(INDEX($E98:$K98,0,BN$8+1)-INDEX($E98:$K98,0,BN$8))/(INDEX($D$5:$J$5,0,BN$8+1)-INDEX($D$5:$J$5,0,BN$8))+BM98)))</f>
        <v>340.12117882925378</v>
      </c>
      <c r="BO98" s="11" cm="1">
        <f t="array" ref="BO98">IF(BO$8=-1,BP98,IF(BO$8=99,BN98,IF(BO$8=0,INDEX($E98:$K98,0,BO$6),(INDEX($E98:$K98,0,BO$8+1)-INDEX($E98:$K98,0,BO$8))/(INDEX($D$5:$J$5,0,BO$8+1)-INDEX($D$5:$J$5,0,BO$8))+BN98)))</f>
        <v>340.12117882925378</v>
      </c>
      <c r="BP98" s="11" cm="1">
        <f t="array" ref="BP98">IF(BP$8=-1,BQ98,IF(BP$8=99,BO98,IF(BP$8=0,INDEX($E98:$K98,0,BP$6),(INDEX($E98:$K98,0,BP$8+1)-INDEX($E98:$K98,0,BP$8))/(INDEX($D$5:$J$5,0,BP$8+1)-INDEX($D$5:$J$5,0,BP$8))+BO98)))</f>
        <v>340.12117882925378</v>
      </c>
      <c r="BQ98" s="11" cm="1">
        <f t="array" ref="BQ98">IF(BQ$8=-1,BR98,IF(BQ$8=99,BP98,IF(BQ$8=0,INDEX($E98:$K98,0,BQ$6),(INDEX($E98:$K98,0,BQ$8+1)-INDEX($E98:$K98,0,BQ$8))/(INDEX($D$5:$J$5,0,BQ$8+1)-INDEX($D$5:$J$5,0,BQ$8))+BP98)))</f>
        <v>340.12117882925378</v>
      </c>
      <c r="BR98" s="11" cm="1">
        <f t="array" ref="BR98">IF(BR$8=-1,BS98,IF(BR$8=99,BQ98,IF(BR$8=0,INDEX($E98:$K98,0,BR$6),(INDEX($E98:$K98,0,BR$8+1)-INDEX($E98:$K98,0,BR$8))/(INDEX($D$5:$J$5,0,BR$8+1)-INDEX($D$5:$J$5,0,BR$8))+BQ98)))</f>
        <v>340.12117882925378</v>
      </c>
    </row>
    <row r="99" spans="1:70" ht="15">
      <c r="A99" t="s">
        <v>16</v>
      </c>
      <c r="B99" s="5" t="str">
        <f t="shared" si="154"/>
        <v>CET</v>
      </c>
      <c r="C99" s="95" t="str">
        <f t="shared" si="151"/>
        <v>Commercial - Public Water</v>
      </c>
      <c r="D99" s="95" t="s">
        <v>66</v>
      </c>
      <c r="E99" s="156">
        <f>D63/$L$34</f>
        <v>133.99608918927115</v>
      </c>
      <c r="F99" s="156">
        <f>E63/$Q$34</f>
        <v>117.52871495617349</v>
      </c>
      <c r="G99" s="151">
        <f t="shared" si="152"/>
        <v>117.52871495617349</v>
      </c>
      <c r="H99" s="92">
        <f>IF($N$57=-1,G99,((F99-E99)*2/5+E99)*(1+$I$91))</f>
        <v>117.52871495617349</v>
      </c>
      <c r="I99" s="152">
        <f t="shared" si="157"/>
        <v>117.52871495617349</v>
      </c>
      <c r="J99" s="152">
        <f t="shared" si="153"/>
        <v>117.52871495617349</v>
      </c>
      <c r="K99" s="152">
        <f t="shared" si="153"/>
        <v>117.52871495617349</v>
      </c>
      <c r="L99" s="11" cm="1">
        <f t="array" ref="L99">IF(L$8=-1,M99,IF(L$8=99,I99,IF(L$8=0,INDEX($E99:$I99,0,L$6),(INDEX($E99:$I99,0,L$8+1)-INDEX($E99:$I99,0,L$8))/(INDEX($D$5:$H$5,0,L$8+1)-INDEX($D$5:$H$5,0,L$8))+I99)))</f>
        <v>133.99608918927115</v>
      </c>
      <c r="M99" s="11" cm="1">
        <f t="array" ref="M99">IF(M$8=-1,N99,IF(M$8=99,L99,IF(M$8=0,INDEX($E99:$I99,0,M$6),(INDEX($E99:$I99,0,M$8+1)-INDEX($E99:$I99,0,M$8))/(INDEX($D$5:$H$5,0,M$8+1)-INDEX($D$5:$H$5,0,M$8))+L99)))</f>
        <v>130.7026143426516</v>
      </c>
      <c r="N99" s="11" cm="1">
        <f t="array" ref="N99">IF(N$8=-1,O99,IF(N$8=99,M99,IF(N$8=0,INDEX($E99:$I99,0,N$6),(INDEX($E99:$I99,0,N$8+1)-INDEX($E99:$I99,0,N$8))/(INDEX($D$5:$H$5,0,N$8+1)-INDEX($D$5:$H$5,0,N$8))+M99)))</f>
        <v>127.40913949603207</v>
      </c>
      <c r="O99" s="11" cm="1">
        <f t="array" ref="O99">IF(O$8=-1,P99,IF(O$8=99,N99,IF(O$8=0,INDEX($E99:$I99,0,O$6),(INDEX($E99:$I99,0,O$8+1)-INDEX($E99:$I99,0,O$8))/(INDEX($D$5:$H$5,0,O$8+1)-INDEX($D$5:$H$5,0,O$8))+N99)))</f>
        <v>124.11566464941254</v>
      </c>
      <c r="P99" s="11" cm="1">
        <f t="array" ref="P99">IF(P$8=-1,Q99,IF(P$8=99,O99,IF(P$8=0,INDEX($E99:$I99,0,P$6),(INDEX($E99:$I99,0,P$8+1)-INDEX($E99:$I99,0,P$8))/(INDEX($D$5:$H$5,0,P$8+1)-INDEX($D$5:$H$5,0,P$8))+O99)))</f>
        <v>120.82218980279301</v>
      </c>
      <c r="Q99" s="11" cm="1">
        <f t="array" ref="Q99">IF(Q$8=-1,R99,IF(Q$8=99,P99,IF(Q$8=0,INDEX($E99:$I99,0,Q$6),(INDEX($E99:$I99,0,Q$8+1)-INDEX($E99:$I99,0,Q$8))/(INDEX($D$5:$H$5,0,Q$8+1)-INDEX($D$5:$H$5,0,Q$8))+P99)))</f>
        <v>117.52871495617349</v>
      </c>
      <c r="R99" s="11" cm="1">
        <f t="array" ref="R99">IF(R$8=-1,S99,IF(R$8=99,Q99,IF(R$8=0,INDEX($E99:$I99,0,R$6),(INDEX($E99:$I99,0,R$8+1)-INDEX($E99:$I99,0,R$8))/(INDEX($D$5:$H$5,0,R$8+1)-INDEX($D$5:$H$5,0,R$8))+Q99)))</f>
        <v>117.52871495617349</v>
      </c>
      <c r="S99" s="11" cm="1">
        <f t="array" ref="S99">IF(S$8=-1,T99,IF(S$8=99,R99,IF(S$8=0,INDEX($E99:$I99,0,S$6),(INDEX($E99:$I99,0,S$8+1)-INDEX($E99:$I99,0,S$8))/(INDEX($D$5:$H$5,0,S$8+1)-INDEX($D$5:$H$5,0,S$8))+R99)))</f>
        <v>117.52871495617349</v>
      </c>
      <c r="T99" s="11" cm="1">
        <f t="array" ref="T99">IF(T$8=-1,U99,IF(T$8=99,S99,IF(T$8=0,INDEX($E99:$I99,0,T$6),(INDEX($E99:$I99,0,T$8+1)-INDEX($E99:$I99,0,T$8))/(INDEX($D$5:$H$5,0,T$8+1)-INDEX($D$5:$H$5,0,T$8))+S99)))</f>
        <v>117.52871495617349</v>
      </c>
      <c r="U99" s="11" cm="1">
        <f t="array" ref="U99">IF(U$8=-1,V99,IF(U$8=99,T99,IF(U$8=0,INDEX($E99:$I99,0,U$6),(INDEX($E99:$I99,0,U$8+1)-INDEX($E99:$I99,0,U$8))/(INDEX($D$5:$H$5,0,U$8+1)-INDEX($D$5:$H$5,0,U$8))+T99)))</f>
        <v>117.52871495617349</v>
      </c>
      <c r="V99" s="11" cm="1">
        <f t="array" ref="V99">IF(V$8=-1,W99,IF(V$8=99,U99,IF(V$8=0,INDEX($E99:$I99,0,V$6),(INDEX($E99:$I99,0,V$8+1)-INDEX($E99:$I99,0,V$8))/(INDEX($D$5:$H$5,0,V$8+1)-INDEX($D$5:$H$5,0,V$8))+U99)))</f>
        <v>117.52871495617349</v>
      </c>
      <c r="W99" s="11" cm="1">
        <f t="array" ref="W99">IF(W$8=-1,X99,IF(W$8=99,V99,IF(W$8=0,INDEX($E99:$I99,0,W$6),(INDEX($E99:$I99,0,W$8+1)-INDEX($E99:$I99,0,W$8))/(INDEX($D$5:$H$5,0,W$8+1)-INDEX($D$5:$H$5,0,W$8))+V99)))</f>
        <v>117.52871495617349</v>
      </c>
      <c r="X99" s="11" cm="1">
        <f t="array" ref="X99">IF(X$8=-1,Y99,IF(X$8=99,W99,IF(X$8=0,INDEX($E99:$I99,0,X$6),(INDEX($E99:$I99,0,X$8+1)-INDEX($E99:$I99,0,X$8))/(INDEX($D$5:$H$5,0,X$8+1)-INDEX($D$5:$H$5,0,X$8))+W99)))</f>
        <v>117.52871495617349</v>
      </c>
      <c r="Y99" s="11" cm="1">
        <f t="array" ref="Y99">IF(Y$8=-1,Z99,IF(Y$8=99,X99,IF(Y$8=0,INDEX($E99:$I99,0,Y$6),(INDEX($E99:$I99,0,Y$8+1)-INDEX($E99:$I99,0,Y$8))/(INDEX($D$5:$H$5,0,Y$8+1)-INDEX($D$5:$H$5,0,Y$8))+X99)))</f>
        <v>117.52871495617349</v>
      </c>
      <c r="Z99" s="11" cm="1">
        <f t="array" ref="Z99">IF(Z$8=-1,AA99,IF(Z$8=99,Y99,IF(Z$8=0,INDEX($E99:$I99,0,Z$6),(INDEX($E99:$I99,0,Z$8+1)-INDEX($E99:$I99,0,Z$8))/(INDEX($D$5:$H$5,0,Z$8+1)-INDEX($D$5:$H$5,0,Z$8))+Y99)))</f>
        <v>117.52871495617349</v>
      </c>
      <c r="AA99" s="11" cm="1">
        <f t="array" ref="AA99">IF(AA$8=-1,AB99,IF(AA$8=99,Z99,IF(AA$8=0,INDEX($E99:$I99,0,AA$6),(INDEX($E99:$I99,0,AA$8+1)-INDEX($E99:$I99,0,AA$8))/(INDEX($D$5:$H$5,0,AA$8+1)-INDEX($D$5:$H$5,0,AA$8))+Z99)))</f>
        <v>117.52871495617349</v>
      </c>
      <c r="AB99" s="11" cm="1">
        <f t="array" ref="AB99">IF(AB$8=-1,AC99,IF(AB$8=99,AA99,IF(AB$8=0,INDEX($E99:$I99,0,AB$6),(INDEX($E99:$I99,0,AB$8+1)-INDEX($E99:$I99,0,AB$8))/(INDEX($D$5:$H$5,0,AB$8+1)-INDEX($D$5:$H$5,0,AB$8))+AA99)))</f>
        <v>117.52871495617349</v>
      </c>
      <c r="AC99" s="11" cm="1">
        <f t="array" ref="AC99">IF(AC$8=-1,AD99,IF(AC$8=99,AB99,IF(AC$8=0,INDEX($E99:$I99,0,AC$6),(INDEX($E99:$I99,0,AC$8+1)-INDEX($E99:$I99,0,AC$8))/(INDEX($D$5:$H$5,0,AC$8+1)-INDEX($D$5:$H$5,0,AC$8))+AB99)))</f>
        <v>117.52871495617349</v>
      </c>
      <c r="AD99" s="11" cm="1">
        <f t="array" ref="AD99">IF(AD$8=-1,AE99,IF(AD$8=99,AC99,IF(AD$8=0,INDEX($E99:$I99,0,AD$6),(INDEX($E99:$I99,0,AD$8+1)-INDEX($E99:$I99,0,AD$8))/(INDEX($D$5:$H$5,0,AD$8+1)-INDEX($D$5:$H$5,0,AD$8))+AC99)))</f>
        <v>117.52871495617349</v>
      </c>
      <c r="AE99" s="11" cm="1">
        <f t="array" ref="AE99">IF(AE$8=-1,AF99,IF(AE$8=99,AD99,IF(AE$8=0,INDEX($E99:$I99,0,AE$6),(INDEX($E99:$I99,0,AE$8+1)-INDEX($E99:$I99,0,AE$8))/(INDEX($D$5:$H$5,0,AE$8+1)-INDEX($D$5:$H$5,0,AE$8))+AD99)))</f>
        <v>117.52871495617349</v>
      </c>
      <c r="AF99" s="11" cm="1">
        <f t="array" ref="AF99">IF(AF$8=-1,AG99,IF(AF$8=99,AE99,IF(AF$8=0,INDEX($E99:$I99,0,AF$6),(INDEX($E99:$I99,0,AF$8+1)-INDEX($E99:$I99,0,AF$8))/(INDEX($D$5:$H$5,0,AF$8+1)-INDEX($D$5:$H$5,0,AF$8))+AE99)))</f>
        <v>117.52871495617349</v>
      </c>
      <c r="AG99" s="11" cm="1">
        <f t="array" ref="AG99">IF(AG$8=-1,AH99,IF(AG$8=99,AF99,IF(AG$8=0,INDEX($E99:$I99,0,AG$6),(INDEX($E99:$I99,0,AG$8+1)-INDEX($E99:$I99,0,AG$8))/(INDEX($D$5:$H$5,0,AG$8+1)-INDEX($D$5:$H$5,0,AG$8))+AF99)))</f>
        <v>117.52871495617349</v>
      </c>
      <c r="AH99" s="11" cm="1">
        <f t="array" ref="AH99">IF(AH$8=-1,AI99,IF(AH$8=99,AG99,IF(AH$8=0,INDEX($E99:$I99,0,AH$6),(INDEX($E99:$I99,0,AH$8+1)-INDEX($E99:$I99,0,AH$8))/(INDEX($D$5:$H$5,0,AH$8+1)-INDEX($D$5:$H$5,0,AH$8))+AG99)))</f>
        <v>117.52871495617349</v>
      </c>
      <c r="AI99" s="11" cm="1">
        <f t="array" ref="AI99">IF(AI$8=-1,AJ99,IF(AI$8=99,AH99,IF(AI$8=0,INDEX($E99:$I99,0,AI$6),(INDEX($E99:$I99,0,AI$8+1)-INDEX($E99:$I99,0,AI$8))/(INDEX($D$5:$H$5,0,AI$8+1)-INDEX($D$5:$H$5,0,AI$8))+AH99)))</f>
        <v>117.52871495617349</v>
      </c>
      <c r="AJ99" s="11" cm="1">
        <f t="array" ref="AJ99">IF(AJ$8=-1,AK99,IF(AJ$8=99,AI99,IF(AJ$8=0,INDEX($E99:$I99,0,AJ$6),(INDEX($E99:$I99,0,AJ$8+1)-INDEX($E99:$I99,0,AJ$8))/(INDEX($D$5:$H$5,0,AJ$8+1)-INDEX($D$5:$H$5,0,AJ$8))+AI99)))</f>
        <v>117.52871495617349</v>
      </c>
      <c r="AK99" s="11" cm="1">
        <f t="array" ref="AK99">IF(AK$8=-1,AL99,IF(AK$8=99,AJ99,IF(AK$8=0,INDEX($E99:$I99,0,AK$6),(INDEX($E99:$I99,0,AK$8+1)-INDEX($E99:$I99,0,AK$8))/(INDEX($D$5:$H$5,0,AK$8+1)-INDEX($D$5:$H$5,0,AK$8))+AJ99)))</f>
        <v>117.52871495617349</v>
      </c>
      <c r="AL99" s="11" cm="1">
        <f t="array" ref="AL99">IF(AL$8=-1,AM99,IF(AL$8=99,AK99,IF(AL$8=0,INDEX($E99:$I99,0,AL$6),(INDEX($E99:$I99,0,AL$8+1)-INDEX($E99:$I99,0,AL$8))/(INDEX($D$5:$H$5,0,AL$8+1)-INDEX($D$5:$H$5,0,AL$8))+AK99)))</f>
        <v>117.52871495617349</v>
      </c>
      <c r="AM99" s="11" cm="1">
        <f t="array" ref="AM99">IF(AM$8=-1,AN99,IF(AM$8=99,AL99,IF(AM$8=0,INDEX($E99:$I99,0,AM$6),(INDEX($E99:$I99,0,AM$8+1)-INDEX($E99:$I99,0,AM$8))/(INDEX($D$5:$H$5,0,AM$8+1)-INDEX($D$5:$H$5,0,AM$8))+AL99)))</f>
        <v>117.52871495617349</v>
      </c>
      <c r="AN99" s="11" cm="1">
        <f t="array" ref="AN99">IF(AN$8=-1,AO99,IF(AN$8=99,AM99,IF(AN$8=0,INDEX($E99:$I99,0,AN$6),(INDEX($E99:$I99,0,AN$8+1)-INDEX($E99:$I99,0,AN$8))/(INDEX($D$5:$H$5,0,AN$8+1)-INDEX($D$5:$H$5,0,AN$8))+AM99)))</f>
        <v>117.52871495617349</v>
      </c>
      <c r="AO99" s="11" cm="1">
        <f t="array" ref="AO99">IF(AO$8=-1,AP99,IF(AO$8=99,AN99,IF(AO$8=0,INDEX($E99:$K99,0,AO$6),(INDEX($E99:$K99,0,AO$8+1)-INDEX($E99:$K99,0,AO$8))/(INDEX($D$5:$J$5,0,AO$8+1)-INDEX($D$5:$J$5,0,AO$8))+AN99)))</f>
        <v>117.52871495617349</v>
      </c>
      <c r="AP99" s="11" cm="1">
        <f t="array" ref="AP99">IF(AP$8=-1,AQ99,IF(AP$8=99,AO99,IF(AP$8=0,INDEX($E99:$K99,0,AP$6),(INDEX($E99:$K99,0,AP$8+1)-INDEX($E99:$K99,0,AP$8))/(INDEX($D$5:$J$5,0,AP$8+1)-INDEX($D$5:$J$5,0,AP$8))+AO99)))</f>
        <v>117.52871495617349</v>
      </c>
      <c r="AQ99" s="11" cm="1">
        <f t="array" ref="AQ99">IF(AQ$8=-1,AR99,IF(AQ$8=99,AP99,IF(AQ$8=0,INDEX($E99:$K99,0,AQ$6),(INDEX($E99:$K99,0,AQ$8+1)-INDEX($E99:$K99,0,AQ$8))/(INDEX($D$5:$J$5,0,AQ$8+1)-INDEX($D$5:$J$5,0,AQ$8))+AP99)))</f>
        <v>117.52871495617349</v>
      </c>
      <c r="AR99" s="11" cm="1">
        <f t="array" ref="AR99">IF(AR$8=-1,AS99,IF(AR$8=99,AQ99,IF(AR$8=0,INDEX($E99:$K99,0,AR$6),(INDEX($E99:$K99,0,AR$8+1)-INDEX($E99:$K99,0,AR$8))/(INDEX($D$5:$J$5,0,AR$8+1)-INDEX($D$5:$J$5,0,AR$8))+AQ99)))</f>
        <v>117.52871495617349</v>
      </c>
      <c r="AS99" s="11" cm="1">
        <f t="array" ref="AS99">IF(AS$8=-1,AT99,IF(AS$8=99,AR99,IF(AS$8=0,INDEX($E99:$K99,0,AS$6),(INDEX($E99:$K99,0,AS$8+1)-INDEX($E99:$K99,0,AS$8))/(INDEX($D$5:$J$5,0,AS$8+1)-INDEX($D$5:$J$5,0,AS$8))+AR99)))</f>
        <v>117.52871495617349</v>
      </c>
      <c r="AT99" s="11" cm="1">
        <f t="array" ref="AT99">IF(AT$8=-1,AU99,IF(AT$8=99,AS99,IF(AT$8=0,INDEX($E99:$K99,0,AT$6),(INDEX($E99:$K99,0,AT$8+1)-INDEX($E99:$K99,0,AT$8))/(INDEX($D$5:$J$5,0,AT$8+1)-INDEX($D$5:$J$5,0,AT$8))+AS99)))</f>
        <v>117.52871495617349</v>
      </c>
      <c r="AU99" s="11" cm="1">
        <f t="array" ref="AU99">IF(AU$8=-1,AV99,IF(AU$8=99,AT99,IF(AU$8=0,INDEX($E99:$K99,0,AU$6),(INDEX($E99:$K99,0,AU$8+1)-INDEX($E99:$K99,0,AU$8))/(INDEX($D$5:$J$5,0,AU$8+1)-INDEX($D$5:$J$5,0,AU$8))+AT99)))</f>
        <v>117.52871495617349</v>
      </c>
      <c r="AV99" s="11" cm="1">
        <f t="array" ref="AV99">IF(AV$8=-1,AW99,IF(AV$8=99,AU99,IF(AV$8=0,INDEX($E99:$K99,0,AV$6),(INDEX($E99:$K99,0,AV$8+1)-INDEX($E99:$K99,0,AV$8))/(INDEX($D$5:$J$5,0,AV$8+1)-INDEX($D$5:$J$5,0,AV$8))+AU99)))</f>
        <v>117.52871495617349</v>
      </c>
      <c r="AW99" s="11" cm="1">
        <f t="array" ref="AW99">IF(AW$8=-1,AX99,IF(AW$8=99,AV99,IF(AW$8=0,INDEX($E99:$K99,0,AW$6),(INDEX($E99:$K99,0,AW$8+1)-INDEX($E99:$K99,0,AW$8))/(INDEX($D$5:$J$5,0,AW$8+1)-INDEX($D$5:$J$5,0,AW$8))+AV99)))</f>
        <v>117.52871495617349</v>
      </c>
      <c r="AX99" s="11" cm="1">
        <f t="array" ref="AX99">IF(AX$8=-1,AY99,IF(AX$8=99,AW99,IF(AX$8=0,INDEX($E99:$K99,0,AX$6),(INDEX($E99:$K99,0,AX$8+1)-INDEX($E99:$K99,0,AX$8))/(INDEX($D$5:$J$5,0,AX$8+1)-INDEX($D$5:$J$5,0,AX$8))+AW99)))</f>
        <v>117.52871495617349</v>
      </c>
      <c r="AY99" s="11" cm="1">
        <f t="array" ref="AY99">IF(AY$8=-1,AZ99,IF(AY$8=99,AX99,IF(AY$8=0,INDEX($E99:$K99,0,AY$6),(INDEX($E99:$K99,0,AY$8+1)-INDEX($E99:$K99,0,AY$8))/(INDEX($D$5:$J$5,0,AY$8+1)-INDEX($D$5:$J$5,0,AY$8))+AX99)))</f>
        <v>117.52871495617349</v>
      </c>
      <c r="AZ99" s="11" cm="1">
        <f t="array" ref="AZ99">IF(AZ$8=-1,BA99,IF(AZ$8=99,AY99,IF(AZ$8=0,INDEX($E99:$K99,0,AZ$6),(INDEX($E99:$K99,0,AZ$8+1)-INDEX($E99:$K99,0,AZ$8))/(INDEX($D$5:$J$5,0,AZ$8+1)-INDEX($D$5:$J$5,0,AZ$8))+AY99)))</f>
        <v>117.52871495617349</v>
      </c>
      <c r="BA99" s="11" cm="1">
        <f t="array" ref="BA99">IF(BA$8=-1,BB99,IF(BA$8=99,AZ99,IF(BA$8=0,INDEX($E99:$K99,0,BA$6),(INDEX($E99:$K99,0,BA$8+1)-INDEX($E99:$K99,0,BA$8))/(INDEX($D$5:$J$5,0,BA$8+1)-INDEX($D$5:$J$5,0,BA$8))+AZ99)))</f>
        <v>117.52871495617349</v>
      </c>
      <c r="BB99" s="11" cm="1">
        <f t="array" ref="BB99">IF(BB$8=-1,BC99,IF(BB$8=99,BA99,IF(BB$8=0,INDEX($E99:$K99,0,BB$6),(INDEX($E99:$K99,0,BB$8+1)-INDEX($E99:$K99,0,BB$8))/(INDEX($D$5:$J$5,0,BB$8+1)-INDEX($D$5:$J$5,0,BB$8))+BA99)))</f>
        <v>117.52871495617349</v>
      </c>
      <c r="BC99" s="11" cm="1">
        <f t="array" ref="BC99">IF(BC$8=-1,BD99,IF(BC$8=99,BB99,IF(BC$8=0,INDEX($E99:$K99,0,BC$6),(INDEX($E99:$K99,0,BC$8+1)-INDEX($E99:$K99,0,BC$8))/(INDEX($D$5:$J$5,0,BC$8+1)-INDEX($D$5:$J$5,0,BC$8))+BB99)))</f>
        <v>117.52871495617349</v>
      </c>
      <c r="BD99" s="11" cm="1">
        <f t="array" ref="BD99">IF(BD$8=-1,BE99,IF(BD$8=99,BC99,IF(BD$8=0,INDEX($E99:$K99,0,BD$6),(INDEX($E99:$K99,0,BD$8+1)-INDEX($E99:$K99,0,BD$8))/(INDEX($D$5:$J$5,0,BD$8+1)-INDEX($D$5:$J$5,0,BD$8))+BC99)))</f>
        <v>117.52871495617349</v>
      </c>
      <c r="BE99" s="11" cm="1">
        <f t="array" ref="BE99">IF(BE$8=-1,BF99,IF(BE$8=99,BD99,IF(BE$8=0,INDEX($E99:$K99,0,BE$6),(INDEX($E99:$K99,0,BE$8+1)-INDEX($E99:$K99,0,BE$8))/(INDEX($D$5:$J$5,0,BE$8+1)-INDEX($D$5:$J$5,0,BE$8))+BD99)))</f>
        <v>117.52871495617349</v>
      </c>
      <c r="BF99" s="11" cm="1">
        <f t="array" ref="BF99">IF(BF$8=-1,BG99,IF(BF$8=99,BE99,IF(BF$8=0,INDEX($E99:$K99,0,BF$6),(INDEX($E99:$K99,0,BF$8+1)-INDEX($E99:$K99,0,BF$8))/(INDEX($D$5:$J$5,0,BF$8+1)-INDEX($D$5:$J$5,0,BF$8))+BE99)))</f>
        <v>117.52871495617349</v>
      </c>
      <c r="BG99" s="11" cm="1">
        <f t="array" ref="BG99">IF(BG$8=-1,BH99,IF(BG$8=99,BF99,IF(BG$8=0,INDEX($E99:$K99,0,BG$6),(INDEX($E99:$K99,0,BG$8+1)-INDEX($E99:$K99,0,BG$8))/(INDEX($D$5:$J$5,0,BG$8+1)-INDEX($D$5:$J$5,0,BG$8))+BF99)))</f>
        <v>117.52871495617349</v>
      </c>
      <c r="BH99" s="11" cm="1">
        <f t="array" ref="BH99">IF(BH$8=-1,BI99,IF(BH$8=99,BG99,IF(BH$8=0,INDEX($E99:$K99,0,BH$6),(INDEX($E99:$K99,0,BH$8+1)-INDEX($E99:$K99,0,BH$8))/(INDEX($D$5:$J$5,0,BH$8+1)-INDEX($D$5:$J$5,0,BH$8))+BG99)))</f>
        <v>117.52871495617349</v>
      </c>
      <c r="BI99" s="11" cm="1">
        <f t="array" ref="BI99">IF(BI$8=-1,BJ99,IF(BI$8=99,BH99,IF(BI$8=0,INDEX($E99:$K99,0,BI$6),(INDEX($E99:$K99,0,BI$8+1)-INDEX($E99:$K99,0,BI$8))/(INDEX($D$5:$J$5,0,BI$8+1)-INDEX($D$5:$J$5,0,BI$8))+BH99)))</f>
        <v>117.52871495617349</v>
      </c>
      <c r="BJ99" s="11" cm="1">
        <f t="array" ref="BJ99">IF(BJ$8=-1,BK99,IF(BJ$8=99,BI99,IF(BJ$8=0,INDEX($E99:$K99,0,BJ$6),(INDEX($E99:$K99,0,BJ$8+1)-INDEX($E99:$K99,0,BJ$8))/(INDEX($D$5:$J$5,0,BJ$8+1)-INDEX($D$5:$J$5,0,BJ$8))+BI99)))</f>
        <v>117.52871495617349</v>
      </c>
      <c r="BK99" s="11" cm="1">
        <f t="array" ref="BK99">IF(BK$8=-1,BL99,IF(BK$8=99,BJ99,IF(BK$8=0,INDEX($E99:$K99,0,BK$6),(INDEX($E99:$K99,0,BK$8+1)-INDEX($E99:$K99,0,BK$8))/(INDEX($D$5:$J$5,0,BK$8+1)-INDEX($D$5:$J$5,0,BK$8))+BJ99)))</f>
        <v>117.52871495617349</v>
      </c>
      <c r="BL99" s="11" cm="1">
        <f t="array" ref="BL99">IF(BL$8=-1,BM99,IF(BL$8=99,BK99,IF(BL$8=0,INDEX($E99:$K99,0,BL$6),(INDEX($E99:$K99,0,BL$8+1)-INDEX($E99:$K99,0,BL$8))/(INDEX($D$5:$J$5,0,BL$8+1)-INDEX($D$5:$J$5,0,BL$8))+BK99)))</f>
        <v>117.52871495617349</v>
      </c>
      <c r="BM99" s="11" cm="1">
        <f t="array" ref="BM99">IF(BM$8=-1,BN99,IF(BM$8=99,BL99,IF(BM$8=0,INDEX($E99:$K99,0,BM$6),(INDEX($E99:$K99,0,BM$8+1)-INDEX($E99:$K99,0,BM$8))/(INDEX($D$5:$J$5,0,BM$8+1)-INDEX($D$5:$J$5,0,BM$8))+BL99)))</f>
        <v>117.52871495617349</v>
      </c>
      <c r="BN99" s="11" cm="1">
        <f t="array" ref="BN99">IF(BN$8=-1,BO99,IF(BN$8=99,BM99,IF(BN$8=0,INDEX($E99:$K99,0,BN$6),(INDEX($E99:$K99,0,BN$8+1)-INDEX($E99:$K99,0,BN$8))/(INDEX($D$5:$J$5,0,BN$8+1)-INDEX($D$5:$J$5,0,BN$8))+BM99)))</f>
        <v>117.52871495617349</v>
      </c>
      <c r="BO99" s="11" cm="1">
        <f t="array" ref="BO99">IF(BO$8=-1,BP99,IF(BO$8=99,BN99,IF(BO$8=0,INDEX($E99:$K99,0,BO$6),(INDEX($E99:$K99,0,BO$8+1)-INDEX($E99:$K99,0,BO$8))/(INDEX($D$5:$J$5,0,BO$8+1)-INDEX($D$5:$J$5,0,BO$8))+BN99)))</f>
        <v>117.52871495617349</v>
      </c>
      <c r="BP99" s="11" cm="1">
        <f t="array" ref="BP99">IF(BP$8=-1,BQ99,IF(BP$8=99,BO99,IF(BP$8=0,INDEX($E99:$K99,0,BP$6),(INDEX($E99:$K99,0,BP$8+1)-INDEX($E99:$K99,0,BP$8))/(INDEX($D$5:$J$5,0,BP$8+1)-INDEX($D$5:$J$5,0,BP$8))+BO99)))</f>
        <v>117.52871495617349</v>
      </c>
      <c r="BQ99" s="11" cm="1">
        <f t="array" ref="BQ99">IF(BQ$8=-1,BR99,IF(BQ$8=99,BP99,IF(BQ$8=0,INDEX($E99:$K99,0,BQ$6),(INDEX($E99:$K99,0,BQ$8+1)-INDEX($E99:$K99,0,BQ$8))/(INDEX($D$5:$J$5,0,BQ$8+1)-INDEX($D$5:$J$5,0,BQ$8))+BP99)))</f>
        <v>117.52871495617349</v>
      </c>
      <c r="BR99" s="11" cm="1">
        <f t="array" ref="BR99">IF(BR$8=-1,BS99,IF(BR$8=99,BQ99,IF(BR$8=0,INDEX($E99:$K99,0,BR$6),(INDEX($E99:$K99,0,BR$8+1)-INDEX($E99:$K99,0,BR$8))/(INDEX($D$5:$J$5,0,BR$8+1)-INDEX($D$5:$J$5,0,BR$8))+BQ99)))</f>
        <v>117.52871495617349</v>
      </c>
    </row>
    <row r="100" spans="1:70" ht="15">
      <c r="A100" t="s">
        <v>16</v>
      </c>
      <c r="B100" s="5" t="str">
        <f t="shared" si="154"/>
        <v>CEO</v>
      </c>
      <c r="C100" s="75" t="str">
        <f t="shared" si="151"/>
        <v>Commercial - Other</v>
      </c>
      <c r="D100" s="75" t="s">
        <v>66</v>
      </c>
      <c r="E100" s="84">
        <f t="shared" si="155"/>
        <v>141.24997285391106</v>
      </c>
      <c r="F100" s="92">
        <f t="shared" si="155"/>
        <v>145.08075848468391</v>
      </c>
      <c r="G100" s="92">
        <f t="shared" si="152"/>
        <v>145.08075848468391</v>
      </c>
      <c r="H100" s="92">
        <f t="shared" si="158" ref="H100">IF($N$57=-1,G100,((F100-E100)*2/5+E100)*(1+$H$91))</f>
        <v>145.08075848468391</v>
      </c>
      <c r="I100" s="134">
        <f t="shared" si="157"/>
        <v>145.08075848468391</v>
      </c>
      <c r="J100" s="134">
        <f t="shared" si="153"/>
        <v>145.08075848468391</v>
      </c>
      <c r="K100" s="134">
        <f t="shared" si="153"/>
        <v>145.08075848468391</v>
      </c>
      <c r="L100" s="11" cm="1">
        <f t="array" ref="L100">IF(L$8=-1,M100,IF(L$8=99,I100,IF(L$8=0,INDEX($E100:$I100,0,L$6),(INDEX($E100:$I100,0,L$8+1)-INDEX($E100:$I100,0,L$8))/(INDEX($D$5:$H$5,0,L$8+1)-INDEX($D$5:$H$5,0,L$8))+I100)))</f>
        <v>141.24997285391106</v>
      </c>
      <c r="M100" s="11" cm="1">
        <f t="array" ref="M100">IF(M$8=-1,N100,IF(M$8=99,L100,IF(M$8=0,INDEX($E100:$I100,0,M$6),(INDEX($E100:$I100,0,M$8+1)-INDEX($E100:$I100,0,M$8))/(INDEX($D$5:$H$5,0,M$8+1)-INDEX($D$5:$H$5,0,M$8))+L100)))</f>
        <v>142.01612998006564</v>
      </c>
      <c r="N100" s="11" cm="1">
        <f t="array" ref="N100">IF(N$8=-1,O100,IF(N$8=99,M100,IF(N$8=0,INDEX($E100:$I100,0,N$6),(INDEX($E100:$I100,0,N$8+1)-INDEX($E100:$I100,0,N$8))/(INDEX($D$5:$H$5,0,N$8+1)-INDEX($D$5:$H$5,0,N$8))+M100)))</f>
        <v>142.78228710622022</v>
      </c>
      <c r="O100" s="11" cm="1">
        <f t="array" ref="O100">IF(O$8=-1,P100,IF(O$8=99,N100,IF(O$8=0,INDEX($E100:$I100,0,O$6),(INDEX($E100:$I100,0,O$8+1)-INDEX($E100:$I100,0,O$8))/(INDEX($D$5:$H$5,0,O$8+1)-INDEX($D$5:$H$5,0,O$8))+N100)))</f>
        <v>143.54844423237481</v>
      </c>
      <c r="P100" s="11" cm="1">
        <f t="array" ref="P100">IF(P$8=-1,Q100,IF(P$8=99,O100,IF(P$8=0,INDEX($E100:$I100,0,P$6),(INDEX($E100:$I100,0,P$8+1)-INDEX($E100:$I100,0,P$8))/(INDEX($D$5:$H$5,0,P$8+1)-INDEX($D$5:$H$5,0,P$8))+O100)))</f>
        <v>144.31460135852939</v>
      </c>
      <c r="Q100" s="11" cm="1">
        <f t="array" ref="Q100">IF(Q$8=-1,R100,IF(Q$8=99,P100,IF(Q$8=0,INDEX($E100:$I100,0,Q$6),(INDEX($E100:$I100,0,Q$8+1)-INDEX($E100:$I100,0,Q$8))/(INDEX($D$5:$H$5,0,Q$8+1)-INDEX($D$5:$H$5,0,Q$8))+P100)))</f>
        <v>145.08075848468391</v>
      </c>
      <c r="R100" s="11" cm="1">
        <f t="array" ref="R100">IF(R$8=-1,S100,IF(R$8=99,Q100,IF(R$8=0,INDEX($E100:$I100,0,R$6),(INDEX($E100:$I100,0,R$8+1)-INDEX($E100:$I100,0,R$8))/(INDEX($D$5:$H$5,0,R$8+1)-INDEX($D$5:$H$5,0,R$8))+Q100)))</f>
        <v>145.08075848468391</v>
      </c>
      <c r="S100" s="11" cm="1">
        <f t="array" ref="S100">IF(S$8=-1,T100,IF(S$8=99,R100,IF(S$8=0,INDEX($E100:$I100,0,S$6),(INDEX($E100:$I100,0,S$8+1)-INDEX($E100:$I100,0,S$8))/(INDEX($D$5:$H$5,0,S$8+1)-INDEX($D$5:$H$5,0,S$8))+R100)))</f>
        <v>145.08075848468391</v>
      </c>
      <c r="T100" s="11" cm="1">
        <f t="array" ref="T100">IF(T$8=-1,U100,IF(T$8=99,S100,IF(T$8=0,INDEX($E100:$I100,0,T$6),(INDEX($E100:$I100,0,T$8+1)-INDEX($E100:$I100,0,T$8))/(INDEX($D$5:$H$5,0,T$8+1)-INDEX($D$5:$H$5,0,T$8))+S100)))</f>
        <v>145.08075848468391</v>
      </c>
      <c r="U100" s="11" cm="1">
        <f t="array" ref="U100">IF(U$8=-1,V100,IF(U$8=99,T100,IF(U$8=0,INDEX($E100:$I100,0,U$6),(INDEX($E100:$I100,0,U$8+1)-INDEX($E100:$I100,0,U$8))/(INDEX($D$5:$H$5,0,U$8+1)-INDEX($D$5:$H$5,0,U$8))+T100)))</f>
        <v>145.08075848468391</v>
      </c>
      <c r="V100" s="11" cm="1">
        <f t="array" ref="V100">IF(V$8=-1,W100,IF(V$8=99,U100,IF(V$8=0,INDEX($E100:$I100,0,V$6),(INDEX($E100:$I100,0,V$8+1)-INDEX($E100:$I100,0,V$8))/(INDEX($D$5:$H$5,0,V$8+1)-INDEX($D$5:$H$5,0,V$8))+U100)))</f>
        <v>145.08075848468391</v>
      </c>
      <c r="W100" s="11" cm="1">
        <f t="array" ref="W100">IF(W$8=-1,X100,IF(W$8=99,V100,IF(W$8=0,INDEX($E100:$I100,0,W$6),(INDEX($E100:$I100,0,W$8+1)-INDEX($E100:$I100,0,W$8))/(INDEX($D$5:$H$5,0,W$8+1)-INDEX($D$5:$H$5,0,W$8))+V100)))</f>
        <v>145.08075848468391</v>
      </c>
      <c r="X100" s="11" cm="1">
        <f t="array" ref="X100">IF(X$8=-1,Y100,IF(X$8=99,W100,IF(X$8=0,INDEX($E100:$I100,0,X$6),(INDEX($E100:$I100,0,X$8+1)-INDEX($E100:$I100,0,X$8))/(INDEX($D$5:$H$5,0,X$8+1)-INDEX($D$5:$H$5,0,X$8))+W100)))</f>
        <v>145.08075848468391</v>
      </c>
      <c r="Y100" s="11" cm="1">
        <f t="array" ref="Y100">IF(Y$8=-1,Z100,IF(Y$8=99,X100,IF(Y$8=0,INDEX($E100:$I100,0,Y$6),(INDEX($E100:$I100,0,Y$8+1)-INDEX($E100:$I100,0,Y$8))/(INDEX($D$5:$H$5,0,Y$8+1)-INDEX($D$5:$H$5,0,Y$8))+X100)))</f>
        <v>145.08075848468391</v>
      </c>
      <c r="Z100" s="11" cm="1">
        <f t="array" ref="Z100">IF(Z$8=-1,AA100,IF(Z$8=99,Y100,IF(Z$8=0,INDEX($E100:$I100,0,Z$6),(INDEX($E100:$I100,0,Z$8+1)-INDEX($E100:$I100,0,Z$8))/(INDEX($D$5:$H$5,0,Z$8+1)-INDEX($D$5:$H$5,0,Z$8))+Y100)))</f>
        <v>145.08075848468391</v>
      </c>
      <c r="AA100" s="11" cm="1">
        <f t="array" ref="AA100">IF(AA$8=-1,AB100,IF(AA$8=99,Z100,IF(AA$8=0,INDEX($E100:$I100,0,AA$6),(INDEX($E100:$I100,0,AA$8+1)-INDEX($E100:$I100,0,AA$8))/(INDEX($D$5:$H$5,0,AA$8+1)-INDEX($D$5:$H$5,0,AA$8))+Z100)))</f>
        <v>145.08075848468391</v>
      </c>
      <c r="AB100" s="11" cm="1">
        <f t="array" ref="AB100">IF(AB$8=-1,AC100,IF(AB$8=99,AA100,IF(AB$8=0,INDEX($E100:$I100,0,AB$6),(INDEX($E100:$I100,0,AB$8+1)-INDEX($E100:$I100,0,AB$8))/(INDEX($D$5:$H$5,0,AB$8+1)-INDEX($D$5:$H$5,0,AB$8))+AA100)))</f>
        <v>145.08075848468391</v>
      </c>
      <c r="AC100" s="11" cm="1">
        <f t="array" ref="AC100">IF(AC$8=-1,AD100,IF(AC$8=99,AB100,IF(AC$8=0,INDEX($E100:$I100,0,AC$6),(INDEX($E100:$I100,0,AC$8+1)-INDEX($E100:$I100,0,AC$8))/(INDEX($D$5:$H$5,0,AC$8+1)-INDEX($D$5:$H$5,0,AC$8))+AB100)))</f>
        <v>145.08075848468391</v>
      </c>
      <c r="AD100" s="11" cm="1">
        <f t="array" ref="AD100">IF(AD$8=-1,AE100,IF(AD$8=99,AC100,IF(AD$8=0,INDEX($E100:$I100,0,AD$6),(INDEX($E100:$I100,0,AD$8+1)-INDEX($E100:$I100,0,AD$8))/(INDEX($D$5:$H$5,0,AD$8+1)-INDEX($D$5:$H$5,0,AD$8))+AC100)))</f>
        <v>145.08075848468391</v>
      </c>
      <c r="AE100" s="11" cm="1">
        <f t="array" ref="AE100">IF(AE$8=-1,AF100,IF(AE$8=99,AD100,IF(AE$8=0,INDEX($E100:$I100,0,AE$6),(INDEX($E100:$I100,0,AE$8+1)-INDEX($E100:$I100,0,AE$8))/(INDEX($D$5:$H$5,0,AE$8+1)-INDEX($D$5:$H$5,0,AE$8))+AD100)))</f>
        <v>145.08075848468391</v>
      </c>
      <c r="AF100" s="11" cm="1">
        <f t="array" ref="AF100">IF(AF$8=-1,AG100,IF(AF$8=99,AE100,IF(AF$8=0,INDEX($E100:$I100,0,AF$6),(INDEX($E100:$I100,0,AF$8+1)-INDEX($E100:$I100,0,AF$8))/(INDEX($D$5:$H$5,0,AF$8+1)-INDEX($D$5:$H$5,0,AF$8))+AE100)))</f>
        <v>145.08075848468391</v>
      </c>
      <c r="AG100" s="11" cm="1">
        <f t="array" ref="AG100">IF(AG$8=-1,AH100,IF(AG$8=99,AF100,IF(AG$8=0,INDEX($E100:$I100,0,AG$6),(INDEX($E100:$I100,0,AG$8+1)-INDEX($E100:$I100,0,AG$8))/(INDEX($D$5:$H$5,0,AG$8+1)-INDEX($D$5:$H$5,0,AG$8))+AF100)))</f>
        <v>145.08075848468391</v>
      </c>
      <c r="AH100" s="11" cm="1">
        <f t="array" ref="AH100">IF(AH$8=-1,AI100,IF(AH$8=99,AG100,IF(AH$8=0,INDEX($E100:$I100,0,AH$6),(INDEX($E100:$I100,0,AH$8+1)-INDEX($E100:$I100,0,AH$8))/(INDEX($D$5:$H$5,0,AH$8+1)-INDEX($D$5:$H$5,0,AH$8))+AG100)))</f>
        <v>145.08075848468391</v>
      </c>
      <c r="AI100" s="11" cm="1">
        <f t="array" ref="AI100">IF(AI$8=-1,AJ100,IF(AI$8=99,AH100,IF(AI$8=0,INDEX($E100:$I100,0,AI$6),(INDEX($E100:$I100,0,AI$8+1)-INDEX($E100:$I100,0,AI$8))/(INDEX($D$5:$H$5,0,AI$8+1)-INDEX($D$5:$H$5,0,AI$8))+AH100)))</f>
        <v>145.08075848468391</v>
      </c>
      <c r="AJ100" s="11" cm="1">
        <f t="array" ref="AJ100">IF(AJ$8=-1,AK100,IF(AJ$8=99,AI100,IF(AJ$8=0,INDEX($E100:$I100,0,AJ$6),(INDEX($E100:$I100,0,AJ$8+1)-INDEX($E100:$I100,0,AJ$8))/(INDEX($D$5:$H$5,0,AJ$8+1)-INDEX($D$5:$H$5,0,AJ$8))+AI100)))</f>
        <v>145.08075848468391</v>
      </c>
      <c r="AK100" s="11" cm="1">
        <f t="array" ref="AK100">IF(AK$8=-1,AL100,IF(AK$8=99,AJ100,IF(AK$8=0,INDEX($E100:$I100,0,AK$6),(INDEX($E100:$I100,0,AK$8+1)-INDEX($E100:$I100,0,AK$8))/(INDEX($D$5:$H$5,0,AK$8+1)-INDEX($D$5:$H$5,0,AK$8))+AJ100)))</f>
        <v>145.08075848468391</v>
      </c>
      <c r="AL100" s="11" cm="1">
        <f t="array" ref="AL100">IF(AL$8=-1,AM100,IF(AL$8=99,AK100,IF(AL$8=0,INDEX($E100:$I100,0,AL$6),(INDEX($E100:$I100,0,AL$8+1)-INDEX($E100:$I100,0,AL$8))/(INDEX($D$5:$H$5,0,AL$8+1)-INDEX($D$5:$H$5,0,AL$8))+AK100)))</f>
        <v>145.08075848468391</v>
      </c>
      <c r="AM100" s="11" cm="1">
        <f t="array" ref="AM100">IF(AM$8=-1,AN100,IF(AM$8=99,AL100,IF(AM$8=0,INDEX($E100:$I100,0,AM$6),(INDEX($E100:$I100,0,AM$8+1)-INDEX($E100:$I100,0,AM$8))/(INDEX($D$5:$H$5,0,AM$8+1)-INDEX($D$5:$H$5,0,AM$8))+AL100)))</f>
        <v>145.08075848468391</v>
      </c>
      <c r="AN100" s="11" cm="1">
        <f t="array" ref="AN100">IF(AN$8=-1,AO100,IF(AN$8=99,AM100,IF(AN$8=0,INDEX($E100:$I100,0,AN$6),(INDEX($E100:$I100,0,AN$8+1)-INDEX($E100:$I100,0,AN$8))/(INDEX($D$5:$H$5,0,AN$8+1)-INDEX($D$5:$H$5,0,AN$8))+AM100)))</f>
        <v>145.08075848468391</v>
      </c>
      <c r="AO100" s="11" cm="1">
        <f t="array" ref="AO100">IF(AO$8=-1,AP100,IF(AO$8=99,AN100,IF(AO$8=0,INDEX($E100:$K100,0,AO$6),(INDEX($E100:$K100,0,AO$8+1)-INDEX($E100:$K100,0,AO$8))/(INDEX($D$5:$J$5,0,AO$8+1)-INDEX($D$5:$J$5,0,AO$8))+AN100)))</f>
        <v>145.08075848468391</v>
      </c>
      <c r="AP100" s="11" cm="1">
        <f t="array" ref="AP100">IF(AP$8=-1,AQ100,IF(AP$8=99,AO100,IF(AP$8=0,INDEX($E100:$K100,0,AP$6),(INDEX($E100:$K100,0,AP$8+1)-INDEX($E100:$K100,0,AP$8))/(INDEX($D$5:$J$5,0,AP$8+1)-INDEX($D$5:$J$5,0,AP$8))+AO100)))</f>
        <v>145.08075848468391</v>
      </c>
      <c r="AQ100" s="11" cm="1">
        <f t="array" ref="AQ100">IF(AQ$8=-1,AR100,IF(AQ$8=99,AP100,IF(AQ$8=0,INDEX($E100:$K100,0,AQ$6),(INDEX($E100:$K100,0,AQ$8+1)-INDEX($E100:$K100,0,AQ$8))/(INDEX($D$5:$J$5,0,AQ$8+1)-INDEX($D$5:$J$5,0,AQ$8))+AP100)))</f>
        <v>145.08075848468391</v>
      </c>
      <c r="AR100" s="11" cm="1">
        <f t="array" ref="AR100">IF(AR$8=-1,AS100,IF(AR$8=99,AQ100,IF(AR$8=0,INDEX($E100:$K100,0,AR$6),(INDEX($E100:$K100,0,AR$8+1)-INDEX($E100:$K100,0,AR$8))/(INDEX($D$5:$J$5,0,AR$8+1)-INDEX($D$5:$J$5,0,AR$8))+AQ100)))</f>
        <v>145.08075848468391</v>
      </c>
      <c r="AS100" s="11" cm="1">
        <f t="array" ref="AS100">IF(AS$8=-1,AT100,IF(AS$8=99,AR100,IF(AS$8=0,INDEX($E100:$K100,0,AS$6),(INDEX($E100:$K100,0,AS$8+1)-INDEX($E100:$K100,0,AS$8))/(INDEX($D$5:$J$5,0,AS$8+1)-INDEX($D$5:$J$5,0,AS$8))+AR100)))</f>
        <v>145.08075848468391</v>
      </c>
      <c r="AT100" s="11" cm="1">
        <f t="array" ref="AT100">IF(AT$8=-1,AU100,IF(AT$8=99,AS100,IF(AT$8=0,INDEX($E100:$K100,0,AT$6),(INDEX($E100:$K100,0,AT$8+1)-INDEX($E100:$K100,0,AT$8))/(INDEX($D$5:$J$5,0,AT$8+1)-INDEX($D$5:$J$5,0,AT$8))+AS100)))</f>
        <v>145.08075848468391</v>
      </c>
      <c r="AU100" s="11" cm="1">
        <f t="array" ref="AU100">IF(AU$8=-1,AV100,IF(AU$8=99,AT100,IF(AU$8=0,INDEX($E100:$K100,0,AU$6),(INDEX($E100:$K100,0,AU$8+1)-INDEX($E100:$K100,0,AU$8))/(INDEX($D$5:$J$5,0,AU$8+1)-INDEX($D$5:$J$5,0,AU$8))+AT100)))</f>
        <v>145.08075848468391</v>
      </c>
      <c r="AV100" s="11" cm="1">
        <f t="array" ref="AV100">IF(AV$8=-1,AW100,IF(AV$8=99,AU100,IF(AV$8=0,INDEX($E100:$K100,0,AV$6),(INDEX($E100:$K100,0,AV$8+1)-INDEX($E100:$K100,0,AV$8))/(INDEX($D$5:$J$5,0,AV$8+1)-INDEX($D$5:$J$5,0,AV$8))+AU100)))</f>
        <v>145.08075848468391</v>
      </c>
      <c r="AW100" s="11" cm="1">
        <f t="array" ref="AW100">IF(AW$8=-1,AX100,IF(AW$8=99,AV100,IF(AW$8=0,INDEX($E100:$K100,0,AW$6),(INDEX($E100:$K100,0,AW$8+1)-INDEX($E100:$K100,0,AW$8))/(INDEX($D$5:$J$5,0,AW$8+1)-INDEX($D$5:$J$5,0,AW$8))+AV100)))</f>
        <v>145.08075848468391</v>
      </c>
      <c r="AX100" s="11" cm="1">
        <f t="array" ref="AX100">IF(AX$8=-1,AY100,IF(AX$8=99,AW100,IF(AX$8=0,INDEX($E100:$K100,0,AX$6),(INDEX($E100:$K100,0,AX$8+1)-INDEX($E100:$K100,0,AX$8))/(INDEX($D$5:$J$5,0,AX$8+1)-INDEX($D$5:$J$5,0,AX$8))+AW100)))</f>
        <v>145.08075848468391</v>
      </c>
      <c r="AY100" s="11" cm="1">
        <f t="array" ref="AY100">IF(AY$8=-1,AZ100,IF(AY$8=99,AX100,IF(AY$8=0,INDEX($E100:$K100,0,AY$6),(INDEX($E100:$K100,0,AY$8+1)-INDEX($E100:$K100,0,AY$8))/(INDEX($D$5:$J$5,0,AY$8+1)-INDEX($D$5:$J$5,0,AY$8))+AX100)))</f>
        <v>145.08075848468391</v>
      </c>
      <c r="AZ100" s="11" cm="1">
        <f t="array" ref="AZ100">IF(AZ$8=-1,BA100,IF(AZ$8=99,AY100,IF(AZ$8=0,INDEX($E100:$K100,0,AZ$6),(INDEX($E100:$K100,0,AZ$8+1)-INDEX($E100:$K100,0,AZ$8))/(INDEX($D$5:$J$5,0,AZ$8+1)-INDEX($D$5:$J$5,0,AZ$8))+AY100)))</f>
        <v>145.08075848468391</v>
      </c>
      <c r="BA100" s="11" cm="1">
        <f t="array" ref="BA100">IF(BA$8=-1,BB100,IF(BA$8=99,AZ100,IF(BA$8=0,INDEX($E100:$K100,0,BA$6),(INDEX($E100:$K100,0,BA$8+1)-INDEX($E100:$K100,0,BA$8))/(INDEX($D$5:$J$5,0,BA$8+1)-INDEX($D$5:$J$5,0,BA$8))+AZ100)))</f>
        <v>145.08075848468391</v>
      </c>
      <c r="BB100" s="11" cm="1">
        <f t="array" ref="BB100">IF(BB$8=-1,BC100,IF(BB$8=99,BA100,IF(BB$8=0,INDEX($E100:$K100,0,BB$6),(INDEX($E100:$K100,0,BB$8+1)-INDEX($E100:$K100,0,BB$8))/(INDEX($D$5:$J$5,0,BB$8+1)-INDEX($D$5:$J$5,0,BB$8))+BA100)))</f>
        <v>145.08075848468391</v>
      </c>
      <c r="BC100" s="11" cm="1">
        <f t="array" ref="BC100">IF(BC$8=-1,BD100,IF(BC$8=99,BB100,IF(BC$8=0,INDEX($E100:$K100,0,BC$6),(INDEX($E100:$K100,0,BC$8+1)-INDEX($E100:$K100,0,BC$8))/(INDEX($D$5:$J$5,0,BC$8+1)-INDEX($D$5:$J$5,0,BC$8))+BB100)))</f>
        <v>145.08075848468391</v>
      </c>
      <c r="BD100" s="11" cm="1">
        <f t="array" ref="BD100">IF(BD$8=-1,BE100,IF(BD$8=99,BC100,IF(BD$8=0,INDEX($E100:$K100,0,BD$6),(INDEX($E100:$K100,0,BD$8+1)-INDEX($E100:$K100,0,BD$8))/(INDEX($D$5:$J$5,0,BD$8+1)-INDEX($D$5:$J$5,0,BD$8))+BC100)))</f>
        <v>145.08075848468391</v>
      </c>
      <c r="BE100" s="11" cm="1">
        <f t="array" ref="BE100">IF(BE$8=-1,BF100,IF(BE$8=99,BD100,IF(BE$8=0,INDEX($E100:$K100,0,BE$6),(INDEX($E100:$K100,0,BE$8+1)-INDEX($E100:$K100,0,BE$8))/(INDEX($D$5:$J$5,0,BE$8+1)-INDEX($D$5:$J$5,0,BE$8))+BD100)))</f>
        <v>145.08075848468391</v>
      </c>
      <c r="BF100" s="11" cm="1">
        <f t="array" ref="BF100">IF(BF$8=-1,BG100,IF(BF$8=99,BE100,IF(BF$8=0,INDEX($E100:$K100,0,BF$6),(INDEX($E100:$K100,0,BF$8+1)-INDEX($E100:$K100,0,BF$8))/(INDEX($D$5:$J$5,0,BF$8+1)-INDEX($D$5:$J$5,0,BF$8))+BE100)))</f>
        <v>145.08075848468391</v>
      </c>
      <c r="BG100" s="11" cm="1">
        <f t="array" ref="BG100">IF(BG$8=-1,BH100,IF(BG$8=99,BF100,IF(BG$8=0,INDEX($E100:$K100,0,BG$6),(INDEX($E100:$K100,0,BG$8+1)-INDEX($E100:$K100,0,BG$8))/(INDEX($D$5:$J$5,0,BG$8+1)-INDEX($D$5:$J$5,0,BG$8))+BF100)))</f>
        <v>145.08075848468391</v>
      </c>
      <c r="BH100" s="11" cm="1">
        <f t="array" ref="BH100">IF(BH$8=-1,BI100,IF(BH$8=99,BG100,IF(BH$8=0,INDEX($E100:$K100,0,BH$6),(INDEX($E100:$K100,0,BH$8+1)-INDEX($E100:$K100,0,BH$8))/(INDEX($D$5:$J$5,0,BH$8+1)-INDEX($D$5:$J$5,0,BH$8))+BG100)))</f>
        <v>145.08075848468391</v>
      </c>
      <c r="BI100" s="11" cm="1">
        <f t="array" ref="BI100">IF(BI$8=-1,BJ100,IF(BI$8=99,BH100,IF(BI$8=0,INDEX($E100:$K100,0,BI$6),(INDEX($E100:$K100,0,BI$8+1)-INDEX($E100:$K100,0,BI$8))/(INDEX($D$5:$J$5,0,BI$8+1)-INDEX($D$5:$J$5,0,BI$8))+BH100)))</f>
        <v>145.08075848468391</v>
      </c>
      <c r="BJ100" s="11" cm="1">
        <f t="array" ref="BJ100">IF(BJ$8=-1,BK100,IF(BJ$8=99,BI100,IF(BJ$8=0,INDEX($E100:$K100,0,BJ$6),(INDEX($E100:$K100,0,BJ$8+1)-INDEX($E100:$K100,0,BJ$8))/(INDEX($D$5:$J$5,0,BJ$8+1)-INDEX($D$5:$J$5,0,BJ$8))+BI100)))</f>
        <v>145.08075848468391</v>
      </c>
      <c r="BK100" s="11" cm="1">
        <f t="array" ref="BK100">IF(BK$8=-1,BL100,IF(BK$8=99,BJ100,IF(BK$8=0,INDEX($E100:$K100,0,BK$6),(INDEX($E100:$K100,0,BK$8+1)-INDEX($E100:$K100,0,BK$8))/(INDEX($D$5:$J$5,0,BK$8+1)-INDEX($D$5:$J$5,0,BK$8))+BJ100)))</f>
        <v>145.08075848468391</v>
      </c>
      <c r="BL100" s="11" cm="1">
        <f t="array" ref="BL100">IF(BL$8=-1,BM100,IF(BL$8=99,BK100,IF(BL$8=0,INDEX($E100:$K100,0,BL$6),(INDEX($E100:$K100,0,BL$8+1)-INDEX($E100:$K100,0,BL$8))/(INDEX($D$5:$J$5,0,BL$8+1)-INDEX($D$5:$J$5,0,BL$8))+BK100)))</f>
        <v>145.08075848468391</v>
      </c>
      <c r="BM100" s="11" cm="1">
        <f t="array" ref="BM100">IF(BM$8=-1,BN100,IF(BM$8=99,BL100,IF(BM$8=0,INDEX($E100:$K100,0,BM$6),(INDEX($E100:$K100,0,BM$8+1)-INDEX($E100:$K100,0,BM$8))/(INDEX($D$5:$J$5,0,BM$8+1)-INDEX($D$5:$J$5,0,BM$8))+BL100)))</f>
        <v>145.08075848468391</v>
      </c>
      <c r="BN100" s="11" cm="1">
        <f t="array" ref="BN100">IF(BN$8=-1,BO100,IF(BN$8=99,BM100,IF(BN$8=0,INDEX($E100:$K100,0,BN$6),(INDEX($E100:$K100,0,BN$8+1)-INDEX($E100:$K100,0,BN$8))/(INDEX($D$5:$J$5,0,BN$8+1)-INDEX($D$5:$J$5,0,BN$8))+BM100)))</f>
        <v>145.08075848468391</v>
      </c>
      <c r="BO100" s="11" cm="1">
        <f t="array" ref="BO100">IF(BO$8=-1,BP100,IF(BO$8=99,BN100,IF(BO$8=0,INDEX($E100:$K100,0,BO$6),(INDEX($E100:$K100,0,BO$8+1)-INDEX($E100:$K100,0,BO$8))/(INDEX($D$5:$J$5,0,BO$8+1)-INDEX($D$5:$J$5,0,BO$8))+BN100)))</f>
        <v>145.08075848468391</v>
      </c>
      <c r="BP100" s="11" cm="1">
        <f t="array" ref="BP100">IF(BP$8=-1,BQ100,IF(BP$8=99,BO100,IF(BP$8=0,INDEX($E100:$K100,0,BP$6),(INDEX($E100:$K100,0,BP$8+1)-INDEX($E100:$K100,0,BP$8))/(INDEX($D$5:$J$5,0,BP$8+1)-INDEX($D$5:$J$5,0,BP$8))+BO100)))</f>
        <v>145.08075848468391</v>
      </c>
      <c r="BQ100" s="11" cm="1">
        <f t="array" ref="BQ100">IF(BQ$8=-1,BR100,IF(BQ$8=99,BP100,IF(BQ$8=0,INDEX($E100:$K100,0,BQ$6),(INDEX($E100:$K100,0,BQ$8+1)-INDEX($E100:$K100,0,BQ$8))/(INDEX($D$5:$J$5,0,BQ$8+1)-INDEX($D$5:$J$5,0,BQ$8))+BP100)))</f>
        <v>145.08075848468391</v>
      </c>
      <c r="BR100" s="11" cm="1">
        <f t="array" ref="BR100">IF(BR$8=-1,BS100,IF(BR$8=99,BQ100,IF(BR$8=0,INDEX($E100:$K100,0,BR$6),(INDEX($E100:$K100,0,BR$8+1)-INDEX($E100:$K100,0,BR$8))/(INDEX($D$5:$J$5,0,BR$8+1)-INDEX($D$5:$J$5,0,BR$8))+BQ100)))</f>
        <v>145.08075848468391</v>
      </c>
    </row>
    <row r="101" spans="1:50" ht="15">
      <c r="A101" t="s">
        <v>16</v>
      </c>
      <c r="B101" s="5"/>
      <c r="I101" s="135"/>
      <c r="M101" s="75"/>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27">
        <v>0.01</v>
      </c>
    </row>
    <row r="102" spans="1:50" ht="15">
      <c r="A102" t="s">
        <v>16</v>
      </c>
      <c r="E102" s="84"/>
      <c r="F102" s="84"/>
      <c r="G102" s="84"/>
      <c r="H102" s="84"/>
      <c r="I102" s="154"/>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c r="AG102" s="84"/>
      <c r="AH102" s="84"/>
      <c r="AI102" s="84"/>
      <c r="AJ102" s="84"/>
      <c r="AK102" s="84"/>
      <c r="AL102" s="84"/>
      <c r="AM102" s="84"/>
      <c r="AN102" s="84"/>
      <c r="AO102" s="84"/>
      <c r="AP102" s="84"/>
      <c r="AQ102" s="84"/>
      <c r="AR102" s="84"/>
      <c r="AS102" s="84"/>
      <c r="AT102" s="84"/>
      <c r="AU102" s="84"/>
      <c r="AV102" s="84"/>
      <c r="AW102" s="84"/>
      <c r="AX102" s="75" t="s">
        <v>461</v>
      </c>
    </row>
    <row r="103" spans="1:50" ht="18.75">
      <c r="A103" t="s">
        <v>16</v>
      </c>
      <c r="B103" s="144" t="s">
        <v>67</v>
      </c>
      <c r="I103" s="135"/>
      <c r="L103" s="84"/>
      <c r="M103" s="84"/>
      <c r="N103" s="84"/>
      <c r="O103" s="84"/>
      <c r="P103" s="84"/>
      <c r="Q103" s="84"/>
      <c r="R103" s="84"/>
      <c r="S103" s="84"/>
      <c r="T103" s="84"/>
      <c r="U103" s="84"/>
      <c r="V103" s="84"/>
      <c r="W103" s="84"/>
      <c r="X103" s="84"/>
      <c r="Y103" s="84"/>
      <c r="Z103" s="84"/>
      <c r="AA103" s="84"/>
      <c r="AB103" s="84"/>
      <c r="AC103" s="84"/>
      <c r="AD103" s="84"/>
      <c r="AE103" s="84"/>
      <c r="AF103" s="84"/>
      <c r="AG103" s="84"/>
      <c r="AH103" s="84"/>
      <c r="AI103" s="84"/>
      <c r="AJ103" s="84"/>
      <c r="AK103" s="84"/>
      <c r="AL103" s="84"/>
      <c r="AM103" s="84"/>
      <c r="AN103" s="84"/>
      <c r="AO103" s="84"/>
      <c r="AP103" s="84"/>
      <c r="AQ103" s="84"/>
      <c r="AR103" s="84"/>
      <c r="AS103" s="84"/>
      <c r="AT103" s="84"/>
      <c r="AU103" s="84"/>
      <c r="AV103" s="84"/>
      <c r="AW103" s="84"/>
      <c r="AX103" s="75" t="s">
        <v>462</v>
      </c>
    </row>
    <row r="104" spans="1:70" ht="15.75" thickBot="1">
      <c r="A104" t="s">
        <v>16</v>
      </c>
      <c r="B104" s="72"/>
      <c r="C104" s="72" t="s">
        <v>243</v>
      </c>
      <c r="D104" s="72"/>
      <c r="E104" s="72"/>
      <c r="F104" s="85"/>
      <c r="G104" s="85"/>
      <c r="H104" s="85"/>
      <c r="I104" s="155"/>
      <c r="J104" s="85"/>
      <c r="K104" s="85"/>
      <c r="L104" s="85">
        <f t="shared" si="159" ref="L104:BR104">L67</f>
        <v>2012</v>
      </c>
      <c r="M104" s="85">
        <f t="shared" si="159"/>
        <v>2013</v>
      </c>
      <c r="N104" s="85">
        <f t="shared" si="159"/>
        <v>2014</v>
      </c>
      <c r="O104" s="85">
        <f t="shared" si="159"/>
        <v>2015</v>
      </c>
      <c r="P104" s="85">
        <f t="shared" si="159"/>
        <v>2016</v>
      </c>
      <c r="Q104" s="85">
        <f t="shared" si="159"/>
        <v>2017</v>
      </c>
      <c r="R104" s="85">
        <f t="shared" si="159"/>
        <v>2018</v>
      </c>
      <c r="S104" s="85">
        <f t="shared" si="159"/>
        <v>2019</v>
      </c>
      <c r="T104" s="85">
        <f t="shared" si="159"/>
        <v>2020</v>
      </c>
      <c r="U104" s="85">
        <f t="shared" si="159"/>
        <v>2021</v>
      </c>
      <c r="V104" s="85">
        <f t="shared" si="159"/>
        <v>2022</v>
      </c>
      <c r="W104" s="85">
        <f t="shared" si="159"/>
        <v>2023</v>
      </c>
      <c r="X104" s="85">
        <f t="shared" si="159"/>
        <v>2024</v>
      </c>
      <c r="Y104" s="85">
        <f t="shared" si="159"/>
        <v>2025</v>
      </c>
      <c r="Z104" s="85">
        <f t="shared" si="159"/>
        <v>2026</v>
      </c>
      <c r="AA104" s="85">
        <f t="shared" si="159"/>
        <v>2027</v>
      </c>
      <c r="AB104" s="85">
        <f t="shared" si="159"/>
        <v>2028</v>
      </c>
      <c r="AC104" s="85">
        <f t="shared" si="159"/>
        <v>2029</v>
      </c>
      <c r="AD104" s="85">
        <f t="shared" si="159"/>
        <v>2030</v>
      </c>
      <c r="AE104" s="85">
        <f t="shared" si="159"/>
        <v>2031</v>
      </c>
      <c r="AF104" s="85">
        <f t="shared" si="159"/>
        <v>2032</v>
      </c>
      <c r="AG104" s="85">
        <f t="shared" si="159"/>
        <v>2033</v>
      </c>
      <c r="AH104" s="85">
        <f t="shared" si="159"/>
        <v>2034</v>
      </c>
      <c r="AI104" s="85">
        <f t="shared" si="159"/>
        <v>2035</v>
      </c>
      <c r="AJ104" s="85">
        <f t="shared" si="159"/>
        <v>2036</v>
      </c>
      <c r="AK104" s="85">
        <f t="shared" si="159"/>
        <v>2037</v>
      </c>
      <c r="AL104" s="85">
        <f t="shared" si="159"/>
        <v>2038</v>
      </c>
      <c r="AM104" s="85">
        <f t="shared" si="159"/>
        <v>2039</v>
      </c>
      <c r="AN104" s="85">
        <f t="shared" si="159"/>
        <v>2040</v>
      </c>
      <c r="AO104" s="85">
        <f t="shared" si="159"/>
        <v>2041</v>
      </c>
      <c r="AP104" s="85">
        <f t="shared" si="159"/>
        <v>2042</v>
      </c>
      <c r="AQ104" s="85">
        <f t="shared" si="159"/>
        <v>2043</v>
      </c>
      <c r="AR104" s="85">
        <f t="shared" si="159"/>
        <v>2044</v>
      </c>
      <c r="AS104" s="85">
        <f t="shared" si="159"/>
        <v>2045</v>
      </c>
      <c r="AT104" s="85">
        <f t="shared" si="159"/>
        <v>2046</v>
      </c>
      <c r="AU104" s="85">
        <f t="shared" si="159"/>
        <v>2047</v>
      </c>
      <c r="AV104" s="85">
        <f t="shared" si="159"/>
        <v>2048</v>
      </c>
      <c r="AW104" s="85">
        <f t="shared" si="159"/>
        <v>2049</v>
      </c>
      <c r="AX104" s="85">
        <f t="shared" si="159"/>
        <v>2050</v>
      </c>
      <c r="AY104" s="85">
        <f t="shared" si="159"/>
        <v>2051</v>
      </c>
      <c r="AZ104" s="85">
        <f t="shared" si="159"/>
        <v>2052</v>
      </c>
      <c r="BA104" s="85">
        <f t="shared" si="159"/>
        <v>2053</v>
      </c>
      <c r="BB104" s="85">
        <f t="shared" si="159"/>
        <v>2054</v>
      </c>
      <c r="BC104" s="85">
        <f t="shared" si="159"/>
        <v>2055</v>
      </c>
      <c r="BD104" s="85">
        <f t="shared" si="159"/>
        <v>2056</v>
      </c>
      <c r="BE104" s="85">
        <f t="shared" si="159"/>
        <v>2057</v>
      </c>
      <c r="BF104" s="85">
        <f t="shared" si="159"/>
        <v>2058</v>
      </c>
      <c r="BG104" s="85">
        <f t="shared" si="159"/>
        <v>2059</v>
      </c>
      <c r="BH104" s="85">
        <f t="shared" si="159"/>
        <v>2060</v>
      </c>
      <c r="BI104" s="85">
        <f t="shared" si="159"/>
        <v>2061</v>
      </c>
      <c r="BJ104" s="85">
        <f t="shared" si="159"/>
        <v>2062</v>
      </c>
      <c r="BK104" s="85">
        <f t="shared" si="159"/>
        <v>2063</v>
      </c>
      <c r="BL104" s="85">
        <f t="shared" si="159"/>
        <v>2064</v>
      </c>
      <c r="BM104" s="85">
        <f t="shared" si="159"/>
        <v>2065</v>
      </c>
      <c r="BN104" s="85">
        <f t="shared" si="159"/>
        <v>2066</v>
      </c>
      <c r="BO104" s="85">
        <f t="shared" si="159"/>
        <v>2067</v>
      </c>
      <c r="BP104" s="85">
        <f t="shared" si="159"/>
        <v>2068</v>
      </c>
      <c r="BQ104" s="85">
        <f t="shared" si="159"/>
        <v>2069</v>
      </c>
      <c r="BR104" s="85">
        <f t="shared" si="159"/>
        <v>2070</v>
      </c>
    </row>
    <row r="105" spans="1:70" ht="15">
      <c r="A105" t="s">
        <v>16</v>
      </c>
      <c r="B105" s="5" t="s">
        <v>234</v>
      </c>
      <c r="C105" s="75" t="str">
        <f t="shared" si="160" ref="C105:C113">C70</f>
        <v>Commercial - Cooling</v>
      </c>
      <c r="I105" s="135"/>
      <c r="L105" s="75">
        <v>1</v>
      </c>
      <c r="M105" s="75">
        <v>1</v>
      </c>
      <c r="N105" s="75">
        <v>1</v>
      </c>
      <c r="O105" s="75">
        <v>1</v>
      </c>
      <c r="P105" s="75">
        <v>1</v>
      </c>
      <c r="Q105" s="75">
        <v>1</v>
      </c>
      <c r="R105" s="75">
        <v>1</v>
      </c>
      <c r="S105" s="75">
        <v>1</v>
      </c>
      <c r="T105" s="75">
        <v>1</v>
      </c>
      <c r="U105" s="75">
        <v>1</v>
      </c>
      <c r="V105" s="75">
        <v>1</v>
      </c>
      <c r="W105" s="75">
        <v>1</v>
      </c>
      <c r="X105" s="75">
        <v>1</v>
      </c>
      <c r="Y105" s="75">
        <v>1</v>
      </c>
      <c r="Z105" s="75">
        <v>1</v>
      </c>
      <c r="AA105" s="75">
        <v>1</v>
      </c>
      <c r="AB105" s="75">
        <v>1</v>
      </c>
      <c r="AC105" s="75">
        <v>1</v>
      </c>
      <c r="AD105" s="75">
        <v>1</v>
      </c>
      <c r="AE105" s="75">
        <v>1</v>
      </c>
      <c r="AF105" s="75">
        <v>1</v>
      </c>
      <c r="AG105" s="75">
        <v>1</v>
      </c>
      <c r="AH105" s="75">
        <v>1</v>
      </c>
      <c r="AI105" s="75">
        <v>1</v>
      </c>
      <c r="AJ105" s="75">
        <v>1</v>
      </c>
      <c r="AK105" s="75">
        <v>1</v>
      </c>
      <c r="AL105" s="75">
        <v>1</v>
      </c>
      <c r="AM105" s="75">
        <v>1</v>
      </c>
      <c r="AN105" s="75">
        <v>1</v>
      </c>
      <c r="AO105" s="75">
        <v>1</v>
      </c>
      <c r="AP105" s="75">
        <v>1</v>
      </c>
      <c r="AQ105" s="75">
        <v>1</v>
      </c>
      <c r="AR105" s="75">
        <v>1</v>
      </c>
      <c r="AS105" s="75">
        <v>1</v>
      </c>
      <c r="AT105" s="75">
        <v>1</v>
      </c>
      <c r="AU105" s="75">
        <v>1</v>
      </c>
      <c r="AV105" s="75">
        <v>1</v>
      </c>
      <c r="AW105" s="75">
        <v>1</v>
      </c>
      <c r="AX105" s="75">
        <v>1</v>
      </c>
      <c r="AY105" s="75">
        <v>1</v>
      </c>
      <c r="AZ105" s="75">
        <v>1</v>
      </c>
      <c r="BA105" s="75">
        <v>1</v>
      </c>
      <c r="BB105" s="75">
        <v>1</v>
      </c>
      <c r="BC105" s="75">
        <v>1</v>
      </c>
      <c r="BD105" s="75">
        <v>1</v>
      </c>
      <c r="BE105" s="75">
        <v>1</v>
      </c>
      <c r="BF105" s="75">
        <v>1</v>
      </c>
      <c r="BG105" s="75">
        <v>1</v>
      </c>
      <c r="BH105" s="75">
        <v>1</v>
      </c>
      <c r="BI105" s="75">
        <v>1</v>
      </c>
      <c r="BJ105" s="75">
        <v>1</v>
      </c>
      <c r="BK105" s="75">
        <v>1</v>
      </c>
      <c r="BL105" s="75">
        <v>1</v>
      </c>
      <c r="BM105" s="75">
        <v>1</v>
      </c>
      <c r="BN105" s="75">
        <v>1</v>
      </c>
      <c r="BO105" s="75">
        <v>1</v>
      </c>
      <c r="BP105" s="75">
        <v>1</v>
      </c>
      <c r="BQ105" s="75">
        <v>1</v>
      </c>
      <c r="BR105" s="75">
        <v>1</v>
      </c>
    </row>
    <row r="106" spans="1:70" ht="15">
      <c r="A106" t="s">
        <v>16</v>
      </c>
      <c r="B106" s="5" t="s">
        <v>235</v>
      </c>
      <c r="C106" s="75" t="str">
        <f t="shared" si="160"/>
        <v>Commercial - Space Heating</v>
      </c>
      <c r="I106" s="135"/>
      <c r="L106" s="75">
        <v>1</v>
      </c>
      <c r="M106" s="75">
        <v>1</v>
      </c>
      <c r="N106" s="75">
        <v>1</v>
      </c>
      <c r="O106" s="75">
        <v>1</v>
      </c>
      <c r="P106" s="75">
        <v>1</v>
      </c>
      <c r="Q106" s="75">
        <v>1</v>
      </c>
      <c r="R106" s="75">
        <v>1</v>
      </c>
      <c r="S106" s="75">
        <v>1</v>
      </c>
      <c r="T106" s="75">
        <v>1</v>
      </c>
      <c r="U106" s="75">
        <v>1</v>
      </c>
      <c r="V106" s="75">
        <v>1</v>
      </c>
      <c r="W106" s="75">
        <v>1</v>
      </c>
      <c r="X106" s="75">
        <v>1</v>
      </c>
      <c r="Y106" s="75">
        <v>1</v>
      </c>
      <c r="Z106" s="75">
        <v>1</v>
      </c>
      <c r="AA106" s="75">
        <v>1</v>
      </c>
      <c r="AB106" s="75">
        <v>1</v>
      </c>
      <c r="AC106" s="75">
        <v>1</v>
      </c>
      <c r="AD106" s="75">
        <v>1</v>
      </c>
      <c r="AE106" s="75">
        <v>1</v>
      </c>
      <c r="AF106" s="75">
        <v>1</v>
      </c>
      <c r="AG106" s="75">
        <v>1</v>
      </c>
      <c r="AH106" s="75">
        <v>1</v>
      </c>
      <c r="AI106" s="75">
        <v>1</v>
      </c>
      <c r="AJ106" s="75">
        <v>1</v>
      </c>
      <c r="AK106" s="75">
        <v>1</v>
      </c>
      <c r="AL106" s="75">
        <v>1</v>
      </c>
      <c r="AM106" s="75">
        <v>1</v>
      </c>
      <c r="AN106" s="75">
        <v>1</v>
      </c>
      <c r="AO106" s="75">
        <v>1</v>
      </c>
      <c r="AP106" s="75">
        <v>1</v>
      </c>
      <c r="AQ106" s="75">
        <v>1</v>
      </c>
      <c r="AR106" s="75">
        <v>1</v>
      </c>
      <c r="AS106" s="75">
        <v>1</v>
      </c>
      <c r="AT106" s="75">
        <v>1</v>
      </c>
      <c r="AU106" s="75">
        <v>1</v>
      </c>
      <c r="AV106" s="75">
        <v>1</v>
      </c>
      <c r="AW106" s="75">
        <v>1</v>
      </c>
      <c r="AX106" s="75">
        <v>1</v>
      </c>
      <c r="AY106" s="75">
        <v>1</v>
      </c>
      <c r="AZ106" s="75">
        <v>1</v>
      </c>
      <c r="BA106" s="75">
        <v>1</v>
      </c>
      <c r="BB106" s="75">
        <v>1</v>
      </c>
      <c r="BC106" s="75">
        <v>1</v>
      </c>
      <c r="BD106" s="75">
        <v>1</v>
      </c>
      <c r="BE106" s="75">
        <v>1</v>
      </c>
      <c r="BF106" s="75">
        <v>1</v>
      </c>
      <c r="BG106" s="75">
        <v>1</v>
      </c>
      <c r="BH106" s="75">
        <v>1</v>
      </c>
      <c r="BI106" s="75">
        <v>1</v>
      </c>
      <c r="BJ106" s="75">
        <v>1</v>
      </c>
      <c r="BK106" s="75">
        <v>1</v>
      </c>
      <c r="BL106" s="75">
        <v>1</v>
      </c>
      <c r="BM106" s="75">
        <v>1</v>
      </c>
      <c r="BN106" s="75">
        <v>1</v>
      </c>
      <c r="BO106" s="75">
        <v>1</v>
      </c>
      <c r="BP106" s="75">
        <v>1</v>
      </c>
      <c r="BQ106" s="75">
        <v>1</v>
      </c>
      <c r="BR106" s="75">
        <v>1</v>
      </c>
    </row>
    <row r="107" spans="1:74" ht="15">
      <c r="A107" t="s">
        <v>16</v>
      </c>
      <c r="B107" s="5" t="s">
        <v>236</v>
      </c>
      <c r="C107" s="75" t="str">
        <f t="shared" si="160"/>
        <v>Commercial - Cooking</v>
      </c>
      <c r="I107" s="135"/>
      <c r="L107" s="75">
        <v>1</v>
      </c>
      <c r="M107" s="75">
        <v>1</v>
      </c>
      <c r="N107" s="75">
        <v>1</v>
      </c>
      <c r="O107" s="75">
        <v>1</v>
      </c>
      <c r="P107" s="75">
        <v>1</v>
      </c>
      <c r="Q107" s="75">
        <v>1</v>
      </c>
      <c r="R107" s="75">
        <v>1</v>
      </c>
      <c r="S107" s="75">
        <v>1</v>
      </c>
      <c r="T107" s="75">
        <v>1</v>
      </c>
      <c r="U107" s="75">
        <v>1</v>
      </c>
      <c r="V107" s="75">
        <v>1</v>
      </c>
      <c r="W107" s="75">
        <v>1</v>
      </c>
      <c r="X107" s="75">
        <v>1</v>
      </c>
      <c r="Y107" s="75">
        <v>1</v>
      </c>
      <c r="Z107" s="75">
        <v>1</v>
      </c>
      <c r="AA107" s="75">
        <v>1</v>
      </c>
      <c r="AB107" s="75">
        <v>1</v>
      </c>
      <c r="AC107" s="75">
        <v>1</v>
      </c>
      <c r="AD107" s="75">
        <v>1</v>
      </c>
      <c r="AE107" s="75">
        <v>1</v>
      </c>
      <c r="AF107" s="75">
        <v>1</v>
      </c>
      <c r="AG107" s="75">
        <v>1</v>
      </c>
      <c r="AH107" s="75">
        <v>1</v>
      </c>
      <c r="AI107" s="75">
        <v>1</v>
      </c>
      <c r="AJ107" s="75">
        <v>1</v>
      </c>
      <c r="AK107" s="75">
        <v>1</v>
      </c>
      <c r="AL107" s="75">
        <v>1</v>
      </c>
      <c r="AM107" s="75">
        <v>1</v>
      </c>
      <c r="AN107" s="75">
        <v>1</v>
      </c>
      <c r="AO107" s="75">
        <v>1</v>
      </c>
      <c r="AP107" s="75">
        <v>1</v>
      </c>
      <c r="AQ107" s="75">
        <v>1</v>
      </c>
      <c r="AR107" s="75">
        <v>1</v>
      </c>
      <c r="AS107" s="75">
        <v>1</v>
      </c>
      <c r="AT107" s="75">
        <v>1</v>
      </c>
      <c r="AU107" s="75">
        <v>1</v>
      </c>
      <c r="AV107" s="75">
        <v>1</v>
      </c>
      <c r="AW107" s="75">
        <v>1</v>
      </c>
      <c r="AX107" s="75">
        <v>1</v>
      </c>
      <c r="AY107" s="75">
        <v>1</v>
      </c>
      <c r="AZ107" s="75">
        <v>1</v>
      </c>
      <c r="BA107" s="75">
        <v>1</v>
      </c>
      <c r="BB107" s="75">
        <v>1</v>
      </c>
      <c r="BC107" s="75">
        <v>1</v>
      </c>
      <c r="BD107" s="75">
        <v>1</v>
      </c>
      <c r="BE107" s="75">
        <v>1</v>
      </c>
      <c r="BF107" s="75">
        <v>1</v>
      </c>
      <c r="BG107" s="75">
        <v>1</v>
      </c>
      <c r="BH107" s="75">
        <v>1</v>
      </c>
      <c r="BI107" s="75">
        <v>1</v>
      </c>
      <c r="BJ107" s="75">
        <v>1</v>
      </c>
      <c r="BK107" s="75">
        <v>1</v>
      </c>
      <c r="BL107" s="75">
        <v>1</v>
      </c>
      <c r="BM107" s="75">
        <v>1</v>
      </c>
      <c r="BN107" s="75">
        <v>1</v>
      </c>
      <c r="BO107" s="75">
        <v>1</v>
      </c>
      <c r="BP107" s="75">
        <v>1</v>
      </c>
      <c r="BQ107" s="75">
        <v>1</v>
      </c>
      <c r="BR107" s="75">
        <v>1</v>
      </c>
      <c r="BU107" s="296"/>
      <c r="BV107" s="296"/>
    </row>
    <row r="108" spans="1:70" ht="15">
      <c r="A108" t="s">
        <v>16</v>
      </c>
      <c r="B108" s="5" t="s">
        <v>237</v>
      </c>
      <c r="C108" s="75" t="str">
        <f t="shared" si="160"/>
        <v>Commercial - Lighting</v>
      </c>
      <c r="I108" s="135"/>
      <c r="L108" s="75">
        <v>1</v>
      </c>
      <c r="M108" s="75">
        <v>1</v>
      </c>
      <c r="N108" s="75">
        <v>1</v>
      </c>
      <c r="O108" s="75">
        <v>1</v>
      </c>
      <c r="P108" s="75">
        <v>1</v>
      </c>
      <c r="Q108" s="75">
        <v>1</v>
      </c>
      <c r="R108" s="75">
        <v>1</v>
      </c>
      <c r="S108" s="75">
        <v>1</v>
      </c>
      <c r="T108" s="75">
        <v>1</v>
      </c>
      <c r="U108" s="75">
        <v>1</v>
      </c>
      <c r="V108" s="75">
        <v>1</v>
      </c>
      <c r="W108" s="75">
        <v>1</v>
      </c>
      <c r="X108" s="75">
        <v>1</v>
      </c>
      <c r="Y108" s="75">
        <v>1</v>
      </c>
      <c r="Z108" s="75">
        <v>1</v>
      </c>
      <c r="AA108" s="75">
        <v>1</v>
      </c>
      <c r="AB108" s="75">
        <v>1</v>
      </c>
      <c r="AC108" s="75">
        <v>1</v>
      </c>
      <c r="AD108" s="75">
        <v>1</v>
      </c>
      <c r="AE108" s="75">
        <v>1</v>
      </c>
      <c r="AF108" s="75">
        <v>1</v>
      </c>
      <c r="AG108" s="75">
        <v>1</v>
      </c>
      <c r="AH108" s="75">
        <v>1</v>
      </c>
      <c r="AI108" s="75">
        <v>1</v>
      </c>
      <c r="AJ108" s="75">
        <v>1</v>
      </c>
      <c r="AK108" s="75">
        <v>1</v>
      </c>
      <c r="AL108" s="75">
        <v>1</v>
      </c>
      <c r="AM108" s="75">
        <v>1</v>
      </c>
      <c r="AN108" s="75">
        <v>1</v>
      </c>
      <c r="AO108" s="75">
        <v>1</v>
      </c>
      <c r="AP108" s="75">
        <v>1</v>
      </c>
      <c r="AQ108" s="75">
        <v>1</v>
      </c>
      <c r="AR108" s="75">
        <v>1</v>
      </c>
      <c r="AS108" s="75">
        <v>1</v>
      </c>
      <c r="AT108" s="75">
        <v>1</v>
      </c>
      <c r="AU108" s="75">
        <v>1</v>
      </c>
      <c r="AV108" s="75">
        <v>1</v>
      </c>
      <c r="AW108" s="75">
        <v>1</v>
      </c>
      <c r="AX108" s="75">
        <v>1</v>
      </c>
      <c r="AY108" s="75">
        <v>1</v>
      </c>
      <c r="AZ108" s="75">
        <v>1</v>
      </c>
      <c r="BA108" s="75">
        <v>1</v>
      </c>
      <c r="BB108" s="75">
        <v>1</v>
      </c>
      <c r="BC108" s="75">
        <v>1</v>
      </c>
      <c r="BD108" s="75">
        <v>1</v>
      </c>
      <c r="BE108" s="75">
        <v>1</v>
      </c>
      <c r="BF108" s="75">
        <v>1</v>
      </c>
      <c r="BG108" s="75">
        <v>1</v>
      </c>
      <c r="BH108" s="75">
        <v>1</v>
      </c>
      <c r="BI108" s="75">
        <v>1</v>
      </c>
      <c r="BJ108" s="75">
        <v>1</v>
      </c>
      <c r="BK108" s="75">
        <v>1</v>
      </c>
      <c r="BL108" s="75">
        <v>1</v>
      </c>
      <c r="BM108" s="75">
        <v>1</v>
      </c>
      <c r="BN108" s="75">
        <v>1</v>
      </c>
      <c r="BO108" s="75">
        <v>1</v>
      </c>
      <c r="BP108" s="75">
        <v>1</v>
      </c>
      <c r="BQ108" s="75">
        <v>1</v>
      </c>
      <c r="BR108" s="75">
        <v>1</v>
      </c>
    </row>
    <row r="109" spans="1:70" ht="15">
      <c r="A109" t="s">
        <v>16</v>
      </c>
      <c r="B109" s="5" t="s">
        <v>238</v>
      </c>
      <c r="C109" s="75" t="str">
        <f t="shared" si="160"/>
        <v>Commercial - Refrigeration</v>
      </c>
      <c r="I109" s="135"/>
      <c r="L109" s="75">
        <v>1</v>
      </c>
      <c r="M109" s="75">
        <v>1</v>
      </c>
      <c r="N109" s="75">
        <v>1</v>
      </c>
      <c r="O109" s="75">
        <v>1</v>
      </c>
      <c r="P109" s="75">
        <v>1</v>
      </c>
      <c r="Q109" s="75">
        <v>1</v>
      </c>
      <c r="R109" s="75">
        <v>1</v>
      </c>
      <c r="S109" s="75">
        <v>1</v>
      </c>
      <c r="T109" s="75">
        <v>1</v>
      </c>
      <c r="U109" s="75">
        <v>1</v>
      </c>
      <c r="V109" s="75">
        <v>1</v>
      </c>
      <c r="W109" s="75">
        <v>1</v>
      </c>
      <c r="X109" s="75">
        <v>1</v>
      </c>
      <c r="Y109" s="75">
        <v>1</v>
      </c>
      <c r="Z109" s="75">
        <v>1</v>
      </c>
      <c r="AA109" s="75">
        <v>1</v>
      </c>
      <c r="AB109" s="75">
        <v>1</v>
      </c>
      <c r="AC109" s="75">
        <v>1</v>
      </c>
      <c r="AD109" s="75">
        <v>1</v>
      </c>
      <c r="AE109" s="75">
        <v>1</v>
      </c>
      <c r="AF109" s="75">
        <v>1</v>
      </c>
      <c r="AG109" s="75">
        <v>1</v>
      </c>
      <c r="AH109" s="75">
        <v>1</v>
      </c>
      <c r="AI109" s="75">
        <v>1</v>
      </c>
      <c r="AJ109" s="75">
        <v>1</v>
      </c>
      <c r="AK109" s="75">
        <v>1</v>
      </c>
      <c r="AL109" s="75">
        <v>1</v>
      </c>
      <c r="AM109" s="75">
        <v>1</v>
      </c>
      <c r="AN109" s="75">
        <v>1</v>
      </c>
      <c r="AO109" s="75">
        <v>1</v>
      </c>
      <c r="AP109" s="75">
        <v>1</v>
      </c>
      <c r="AQ109" s="75">
        <v>1</v>
      </c>
      <c r="AR109" s="75">
        <v>1</v>
      </c>
      <c r="AS109" s="75">
        <v>1</v>
      </c>
      <c r="AT109" s="75">
        <v>1</v>
      </c>
      <c r="AU109" s="75">
        <v>1</v>
      </c>
      <c r="AV109" s="75">
        <v>1</v>
      </c>
      <c r="AW109" s="75">
        <v>1</v>
      </c>
      <c r="AX109" s="75">
        <v>1</v>
      </c>
      <c r="AY109" s="75">
        <v>1</v>
      </c>
      <c r="AZ109" s="75">
        <v>1</v>
      </c>
      <c r="BA109" s="75">
        <v>1</v>
      </c>
      <c r="BB109" s="75">
        <v>1</v>
      </c>
      <c r="BC109" s="75">
        <v>1</v>
      </c>
      <c r="BD109" s="75">
        <v>1</v>
      </c>
      <c r="BE109" s="75">
        <v>1</v>
      </c>
      <c r="BF109" s="75">
        <v>1</v>
      </c>
      <c r="BG109" s="75">
        <v>1</v>
      </c>
      <c r="BH109" s="75">
        <v>1</v>
      </c>
      <c r="BI109" s="75">
        <v>1</v>
      </c>
      <c r="BJ109" s="75">
        <v>1</v>
      </c>
      <c r="BK109" s="75">
        <v>1</v>
      </c>
      <c r="BL109" s="75">
        <v>1</v>
      </c>
      <c r="BM109" s="75">
        <v>1</v>
      </c>
      <c r="BN109" s="75">
        <v>1</v>
      </c>
      <c r="BO109" s="75">
        <v>1</v>
      </c>
      <c r="BP109" s="75">
        <v>1</v>
      </c>
      <c r="BQ109" s="75">
        <v>1</v>
      </c>
      <c r="BR109" s="75">
        <v>1</v>
      </c>
    </row>
    <row r="110" spans="1:70" ht="15">
      <c r="A110" t="s">
        <v>16</v>
      </c>
      <c r="B110" s="5" t="s">
        <v>239</v>
      </c>
      <c r="C110" s="75" t="str">
        <f t="shared" si="160"/>
        <v>Commercial - Water Heating</v>
      </c>
      <c r="I110" s="135"/>
      <c r="L110" s="75">
        <v>1</v>
      </c>
      <c r="M110" s="75">
        <v>1</v>
      </c>
      <c r="N110" s="75">
        <v>1</v>
      </c>
      <c r="O110" s="75">
        <v>1</v>
      </c>
      <c r="P110" s="75">
        <v>1</v>
      </c>
      <c r="Q110" s="75">
        <v>1</v>
      </c>
      <c r="R110" s="75">
        <v>1</v>
      </c>
      <c r="S110" s="75">
        <v>1</v>
      </c>
      <c r="T110" s="75">
        <v>1</v>
      </c>
      <c r="U110" s="75">
        <v>1</v>
      </c>
      <c r="V110" s="75">
        <v>1</v>
      </c>
      <c r="W110" s="75">
        <v>1</v>
      </c>
      <c r="X110" s="75">
        <v>1</v>
      </c>
      <c r="Y110" s="75">
        <v>1</v>
      </c>
      <c r="Z110" s="75">
        <v>1</v>
      </c>
      <c r="AA110" s="75">
        <v>1</v>
      </c>
      <c r="AB110" s="75">
        <v>1</v>
      </c>
      <c r="AC110" s="75">
        <v>1</v>
      </c>
      <c r="AD110" s="75">
        <v>1</v>
      </c>
      <c r="AE110" s="75">
        <v>1</v>
      </c>
      <c r="AF110" s="75">
        <v>1</v>
      </c>
      <c r="AG110" s="75">
        <v>1</v>
      </c>
      <c r="AH110" s="75">
        <v>1</v>
      </c>
      <c r="AI110" s="75">
        <v>1</v>
      </c>
      <c r="AJ110" s="75">
        <v>1</v>
      </c>
      <c r="AK110" s="75">
        <v>1</v>
      </c>
      <c r="AL110" s="75">
        <v>1</v>
      </c>
      <c r="AM110" s="75">
        <v>1</v>
      </c>
      <c r="AN110" s="75">
        <v>1</v>
      </c>
      <c r="AO110" s="75">
        <v>1</v>
      </c>
      <c r="AP110" s="75">
        <v>1</v>
      </c>
      <c r="AQ110" s="75">
        <v>1</v>
      </c>
      <c r="AR110" s="75">
        <v>1</v>
      </c>
      <c r="AS110" s="75">
        <v>1</v>
      </c>
      <c r="AT110" s="75">
        <v>1</v>
      </c>
      <c r="AU110" s="75">
        <v>1</v>
      </c>
      <c r="AV110" s="75">
        <v>1</v>
      </c>
      <c r="AW110" s="75">
        <v>1</v>
      </c>
      <c r="AX110" s="75">
        <v>1</v>
      </c>
      <c r="AY110" s="75">
        <v>1</v>
      </c>
      <c r="AZ110" s="75">
        <v>1</v>
      </c>
      <c r="BA110" s="75">
        <v>1</v>
      </c>
      <c r="BB110" s="75">
        <v>1</v>
      </c>
      <c r="BC110" s="75">
        <v>1</v>
      </c>
      <c r="BD110" s="75">
        <v>1</v>
      </c>
      <c r="BE110" s="75">
        <v>1</v>
      </c>
      <c r="BF110" s="75">
        <v>1</v>
      </c>
      <c r="BG110" s="75">
        <v>1</v>
      </c>
      <c r="BH110" s="75">
        <v>1</v>
      </c>
      <c r="BI110" s="75">
        <v>1</v>
      </c>
      <c r="BJ110" s="75">
        <v>1</v>
      </c>
      <c r="BK110" s="75">
        <v>1</v>
      </c>
      <c r="BL110" s="75">
        <v>1</v>
      </c>
      <c r="BM110" s="75">
        <v>1</v>
      </c>
      <c r="BN110" s="75">
        <v>1</v>
      </c>
      <c r="BO110" s="75">
        <v>1</v>
      </c>
      <c r="BP110" s="75">
        <v>1</v>
      </c>
      <c r="BQ110" s="75">
        <v>1</v>
      </c>
      <c r="BR110" s="75">
        <v>1</v>
      </c>
    </row>
    <row r="111" spans="1:70" ht="15">
      <c r="A111" t="s">
        <v>16</v>
      </c>
      <c r="B111" s="5" t="s">
        <v>240</v>
      </c>
      <c r="C111" s="75" t="str">
        <f t="shared" si="160"/>
        <v>Commercial - Public lights</v>
      </c>
      <c r="I111" s="135"/>
      <c r="L111" s="75">
        <v>1</v>
      </c>
      <c r="M111" s="75">
        <v>1</v>
      </c>
      <c r="N111" s="75">
        <v>1</v>
      </c>
      <c r="O111" s="75">
        <v>1</v>
      </c>
      <c r="P111" s="75">
        <v>1</v>
      </c>
      <c r="Q111" s="75">
        <v>1</v>
      </c>
      <c r="R111" s="75">
        <v>1</v>
      </c>
      <c r="S111" s="75">
        <v>1</v>
      </c>
      <c r="T111" s="75">
        <v>1</v>
      </c>
      <c r="U111" s="75">
        <v>1</v>
      </c>
      <c r="V111" s="75">
        <v>1</v>
      </c>
      <c r="W111" s="75">
        <v>1</v>
      </c>
      <c r="X111" s="75">
        <v>1</v>
      </c>
      <c r="Y111" s="75">
        <v>1</v>
      </c>
      <c r="Z111" s="75">
        <v>1</v>
      </c>
      <c r="AA111" s="75">
        <v>1</v>
      </c>
      <c r="AB111" s="75">
        <v>1</v>
      </c>
      <c r="AC111" s="75">
        <v>1</v>
      </c>
      <c r="AD111" s="75">
        <v>1</v>
      </c>
      <c r="AE111" s="75">
        <v>1</v>
      </c>
      <c r="AF111" s="75">
        <v>1</v>
      </c>
      <c r="AG111" s="75">
        <v>1</v>
      </c>
      <c r="AH111" s="75">
        <v>1</v>
      </c>
      <c r="AI111" s="75">
        <v>1</v>
      </c>
      <c r="AJ111" s="75">
        <v>1</v>
      </c>
      <c r="AK111" s="75">
        <v>1</v>
      </c>
      <c r="AL111" s="75">
        <v>1</v>
      </c>
      <c r="AM111" s="75">
        <v>1</v>
      </c>
      <c r="AN111" s="75">
        <v>1</v>
      </c>
      <c r="AO111" s="75">
        <v>1</v>
      </c>
      <c r="AP111" s="75">
        <v>1</v>
      </c>
      <c r="AQ111" s="75">
        <v>1</v>
      </c>
      <c r="AR111" s="75">
        <v>1</v>
      </c>
      <c r="AS111" s="75">
        <v>1</v>
      </c>
      <c r="AT111" s="75">
        <v>1</v>
      </c>
      <c r="AU111" s="75">
        <v>1</v>
      </c>
      <c r="AV111" s="75">
        <v>1</v>
      </c>
      <c r="AW111" s="75">
        <v>1</v>
      </c>
      <c r="AX111" s="75">
        <v>1</v>
      </c>
      <c r="AY111" s="75">
        <v>1</v>
      </c>
      <c r="AZ111" s="75">
        <v>1</v>
      </c>
      <c r="BA111" s="75">
        <v>1</v>
      </c>
      <c r="BB111" s="75">
        <v>1</v>
      </c>
      <c r="BC111" s="75">
        <v>1</v>
      </c>
      <c r="BD111" s="75">
        <v>1</v>
      </c>
      <c r="BE111" s="75">
        <v>1</v>
      </c>
      <c r="BF111" s="75">
        <v>1</v>
      </c>
      <c r="BG111" s="75">
        <v>1</v>
      </c>
      <c r="BH111" s="75">
        <v>1</v>
      </c>
      <c r="BI111" s="75">
        <v>1</v>
      </c>
      <c r="BJ111" s="75">
        <v>1</v>
      </c>
      <c r="BK111" s="75">
        <v>1</v>
      </c>
      <c r="BL111" s="75">
        <v>1</v>
      </c>
      <c r="BM111" s="75">
        <v>1</v>
      </c>
      <c r="BN111" s="75">
        <v>1</v>
      </c>
      <c r="BO111" s="75">
        <v>1</v>
      </c>
      <c r="BP111" s="75">
        <v>1</v>
      </c>
      <c r="BQ111" s="75">
        <v>1</v>
      </c>
      <c r="BR111" s="75">
        <v>1</v>
      </c>
    </row>
    <row r="112" spans="1:70" ht="15">
      <c r="A112" t="s">
        <v>16</v>
      </c>
      <c r="B112" s="5" t="s">
        <v>241</v>
      </c>
      <c r="C112" s="75" t="str">
        <f t="shared" si="160"/>
        <v>Commercial - Public Water</v>
      </c>
      <c r="I112" s="135"/>
      <c r="L112" s="75">
        <v>1</v>
      </c>
      <c r="M112" s="75">
        <v>1</v>
      </c>
      <c r="N112" s="75">
        <v>1</v>
      </c>
      <c r="O112" s="75">
        <v>1</v>
      </c>
      <c r="P112" s="75">
        <v>1</v>
      </c>
      <c r="Q112" s="75">
        <v>1</v>
      </c>
      <c r="R112" s="75">
        <v>1</v>
      </c>
      <c r="S112" s="75">
        <v>1</v>
      </c>
      <c r="T112" s="75">
        <v>1</v>
      </c>
      <c r="U112" s="75">
        <v>1</v>
      </c>
      <c r="V112" s="75">
        <v>1</v>
      </c>
      <c r="W112" s="75">
        <v>1</v>
      </c>
      <c r="X112" s="75">
        <v>1</v>
      </c>
      <c r="Y112" s="75">
        <v>1</v>
      </c>
      <c r="Z112" s="75">
        <v>1</v>
      </c>
      <c r="AA112" s="75">
        <v>1</v>
      </c>
      <c r="AB112" s="75">
        <v>1</v>
      </c>
      <c r="AC112" s="75">
        <v>1</v>
      </c>
      <c r="AD112" s="75">
        <v>1</v>
      </c>
      <c r="AE112" s="75">
        <v>1</v>
      </c>
      <c r="AF112" s="75">
        <v>1</v>
      </c>
      <c r="AG112" s="75">
        <v>1</v>
      </c>
      <c r="AH112" s="75">
        <v>1</v>
      </c>
      <c r="AI112" s="75">
        <v>1</v>
      </c>
      <c r="AJ112" s="75">
        <v>1</v>
      </c>
      <c r="AK112" s="75">
        <v>1</v>
      </c>
      <c r="AL112" s="75">
        <v>1</v>
      </c>
      <c r="AM112" s="75">
        <v>1</v>
      </c>
      <c r="AN112" s="75">
        <v>1</v>
      </c>
      <c r="AO112" s="75">
        <v>1</v>
      </c>
      <c r="AP112" s="75">
        <v>1</v>
      </c>
      <c r="AQ112" s="75">
        <v>1</v>
      </c>
      <c r="AR112" s="75">
        <v>1</v>
      </c>
      <c r="AS112" s="75">
        <v>1</v>
      </c>
      <c r="AT112" s="75">
        <v>1</v>
      </c>
      <c r="AU112" s="75">
        <v>1</v>
      </c>
      <c r="AV112" s="75">
        <v>1</v>
      </c>
      <c r="AW112" s="75">
        <v>1</v>
      </c>
      <c r="AX112" s="75">
        <v>1</v>
      </c>
      <c r="AY112" s="75">
        <v>1</v>
      </c>
      <c r="AZ112" s="75">
        <v>1</v>
      </c>
      <c r="BA112" s="75">
        <v>1</v>
      </c>
      <c r="BB112" s="75">
        <v>1</v>
      </c>
      <c r="BC112" s="75">
        <v>1</v>
      </c>
      <c r="BD112" s="75">
        <v>1</v>
      </c>
      <c r="BE112" s="75">
        <v>1</v>
      </c>
      <c r="BF112" s="75">
        <v>1</v>
      </c>
      <c r="BG112" s="75">
        <v>1</v>
      </c>
      <c r="BH112" s="75">
        <v>1</v>
      </c>
      <c r="BI112" s="75">
        <v>1</v>
      </c>
      <c r="BJ112" s="75">
        <v>1</v>
      </c>
      <c r="BK112" s="75">
        <v>1</v>
      </c>
      <c r="BL112" s="75">
        <v>1</v>
      </c>
      <c r="BM112" s="75">
        <v>1</v>
      </c>
      <c r="BN112" s="75">
        <v>1</v>
      </c>
      <c r="BO112" s="75">
        <v>1</v>
      </c>
      <c r="BP112" s="75">
        <v>1</v>
      </c>
      <c r="BQ112" s="75">
        <v>1</v>
      </c>
      <c r="BR112" s="75">
        <v>1</v>
      </c>
    </row>
    <row r="113" spans="1:70" ht="15">
      <c r="A113" t="s">
        <v>16</v>
      </c>
      <c r="B113" s="5" t="s">
        <v>242</v>
      </c>
      <c r="C113" s="75" t="str">
        <f t="shared" si="160"/>
        <v>Commercial - Other</v>
      </c>
      <c r="I113" s="135"/>
      <c r="L113" s="75">
        <v>1</v>
      </c>
      <c r="M113" s="75">
        <v>1</v>
      </c>
      <c r="N113" s="75">
        <v>1</v>
      </c>
      <c r="O113" s="75">
        <v>1</v>
      </c>
      <c r="P113" s="75">
        <v>1</v>
      </c>
      <c r="Q113" s="75">
        <v>1</v>
      </c>
      <c r="R113" s="75">
        <v>1</v>
      </c>
      <c r="S113" s="75">
        <v>1</v>
      </c>
      <c r="T113" s="75">
        <v>1</v>
      </c>
      <c r="U113" s="75">
        <v>1</v>
      </c>
      <c r="V113" s="75">
        <v>1</v>
      </c>
      <c r="W113" s="75">
        <v>1</v>
      </c>
      <c r="X113" s="75">
        <v>1</v>
      </c>
      <c r="Y113" s="75">
        <v>1</v>
      </c>
      <c r="Z113" s="75">
        <v>1</v>
      </c>
      <c r="AA113" s="75">
        <v>1</v>
      </c>
      <c r="AB113" s="75">
        <v>1</v>
      </c>
      <c r="AC113" s="75">
        <v>1</v>
      </c>
      <c r="AD113" s="75">
        <v>1</v>
      </c>
      <c r="AE113" s="75">
        <v>1</v>
      </c>
      <c r="AF113" s="75">
        <v>1</v>
      </c>
      <c r="AG113" s="75">
        <v>1</v>
      </c>
      <c r="AH113" s="75">
        <v>1</v>
      </c>
      <c r="AI113" s="75">
        <v>1</v>
      </c>
      <c r="AJ113" s="75">
        <v>1</v>
      </c>
      <c r="AK113" s="75">
        <v>1</v>
      </c>
      <c r="AL113" s="75">
        <v>1</v>
      </c>
      <c r="AM113" s="75">
        <v>1</v>
      </c>
      <c r="AN113" s="75">
        <v>1</v>
      </c>
      <c r="AO113" s="75">
        <v>1</v>
      </c>
      <c r="AP113" s="75">
        <v>1</v>
      </c>
      <c r="AQ113" s="75">
        <v>1</v>
      </c>
      <c r="AR113" s="75">
        <v>1</v>
      </c>
      <c r="AS113" s="75">
        <v>1</v>
      </c>
      <c r="AT113" s="75">
        <v>1</v>
      </c>
      <c r="AU113" s="75">
        <v>1</v>
      </c>
      <c r="AV113" s="75">
        <v>1</v>
      </c>
      <c r="AW113" s="75">
        <v>1</v>
      </c>
      <c r="AX113" s="75">
        <v>1</v>
      </c>
      <c r="AY113" s="75">
        <v>1</v>
      </c>
      <c r="AZ113" s="75">
        <v>1</v>
      </c>
      <c r="BA113" s="75">
        <v>1</v>
      </c>
      <c r="BB113" s="75">
        <v>1</v>
      </c>
      <c r="BC113" s="75">
        <v>1</v>
      </c>
      <c r="BD113" s="75">
        <v>1</v>
      </c>
      <c r="BE113" s="75">
        <v>1</v>
      </c>
      <c r="BF113" s="75">
        <v>1</v>
      </c>
      <c r="BG113" s="75">
        <v>1</v>
      </c>
      <c r="BH113" s="75">
        <v>1</v>
      </c>
      <c r="BI113" s="75">
        <v>1</v>
      </c>
      <c r="BJ113" s="75">
        <v>1</v>
      </c>
      <c r="BK113" s="75">
        <v>1</v>
      </c>
      <c r="BL113" s="75">
        <v>1</v>
      </c>
      <c r="BM113" s="75">
        <v>1</v>
      </c>
      <c r="BN113" s="75">
        <v>1</v>
      </c>
      <c r="BO113" s="75">
        <v>1</v>
      </c>
      <c r="BP113" s="75">
        <v>1</v>
      </c>
      <c r="BQ113" s="75">
        <v>1</v>
      </c>
      <c r="BR113" s="75">
        <v>1</v>
      </c>
    </row>
    <row r="114" spans="1:13" ht="15">
      <c r="A114" t="s">
        <v>16</v>
      </c>
      <c r="B114" s="5"/>
      <c r="I114" s="135"/>
      <c r="M114" s="75"/>
    </row>
    <row r="115" spans="1:13" ht="15.75" thickBot="1">
      <c r="A115" t="s">
        <v>16</v>
      </c>
      <c r="B115" s="5"/>
      <c r="C115" s="72" t="s">
        <v>244</v>
      </c>
      <c r="D115" s="75" t="s">
        <v>767</v>
      </c>
      <c r="E115" s="75" t="s">
        <v>768</v>
      </c>
      <c r="I115" s="135"/>
      <c r="M115" s="75"/>
    </row>
    <row r="116" spans="1:70" ht="15">
      <c r="A116" t="s">
        <v>16</v>
      </c>
      <c r="B116" s="5" t="str">
        <f>B105</f>
        <v>CNC</v>
      </c>
      <c r="C116" s="5" t="str">
        <f>C105</f>
        <v>Commercial - Cooling</v>
      </c>
      <c r="E116" s="292">
        <f>E$125/9</f>
        <v>0</v>
      </c>
      <c r="F116" s="293" t="s">
        <v>769</v>
      </c>
      <c r="H116" s="294"/>
      <c r="I116" s="135"/>
      <c r="L116" s="137">
        <f t="shared" si="161" ref="L116:AA124">(1-$E116)</f>
        <v>1</v>
      </c>
      <c r="M116" s="96">
        <f t="shared" si="161"/>
        <v>1</v>
      </c>
      <c r="N116" s="96">
        <f t="shared" si="161"/>
        <v>1</v>
      </c>
      <c r="O116" s="96">
        <f t="shared" si="161"/>
        <v>1</v>
      </c>
      <c r="P116" s="96">
        <f t="shared" si="161"/>
        <v>1</v>
      </c>
      <c r="Q116" s="96">
        <f t="shared" si="161"/>
        <v>1</v>
      </c>
      <c r="R116" s="96">
        <f t="shared" si="161"/>
        <v>1</v>
      </c>
      <c r="S116" s="96">
        <f t="shared" si="161"/>
        <v>1</v>
      </c>
      <c r="T116" s="96">
        <f t="shared" si="161"/>
        <v>1</v>
      </c>
      <c r="U116" s="96">
        <f t="shared" si="161"/>
        <v>1</v>
      </c>
      <c r="V116" s="96">
        <f t="shared" si="161"/>
        <v>1</v>
      </c>
      <c r="W116" s="96">
        <f t="shared" si="161"/>
        <v>1</v>
      </c>
      <c r="X116" s="96">
        <f t="shared" si="161"/>
        <v>1</v>
      </c>
      <c r="Y116" s="96">
        <f t="shared" si="161"/>
        <v>1</v>
      </c>
      <c r="Z116" s="96">
        <f t="shared" si="161"/>
        <v>1</v>
      </c>
      <c r="AA116" s="96">
        <f t="shared" si="161"/>
        <v>1</v>
      </c>
      <c r="AB116" s="96">
        <f t="shared" si="162" ref="AB116:AY124">(1-$E116)</f>
        <v>1</v>
      </c>
      <c r="AC116" s="96">
        <f t="shared" si="162"/>
        <v>1</v>
      </c>
      <c r="AD116" s="96">
        <f t="shared" si="162"/>
        <v>1</v>
      </c>
      <c r="AE116" s="96">
        <f t="shared" si="162"/>
        <v>1</v>
      </c>
      <c r="AF116" s="96">
        <f t="shared" si="162"/>
        <v>1</v>
      </c>
      <c r="AG116" s="96">
        <f t="shared" si="162"/>
        <v>1</v>
      </c>
      <c r="AH116" s="96">
        <f t="shared" si="162"/>
        <v>1</v>
      </c>
      <c r="AI116" s="96">
        <f t="shared" si="162"/>
        <v>1</v>
      </c>
      <c r="AJ116" s="96">
        <f t="shared" si="162"/>
        <v>1</v>
      </c>
      <c r="AK116" s="96">
        <f t="shared" si="162"/>
        <v>1</v>
      </c>
      <c r="AL116" s="96">
        <f t="shared" si="162"/>
        <v>1</v>
      </c>
      <c r="AM116" s="96">
        <f t="shared" si="162"/>
        <v>1</v>
      </c>
      <c r="AN116" s="96">
        <f t="shared" si="162"/>
        <v>1</v>
      </c>
      <c r="AO116" s="96">
        <f t="shared" si="162"/>
        <v>1</v>
      </c>
      <c r="AP116" s="96">
        <f t="shared" si="162"/>
        <v>1</v>
      </c>
      <c r="AQ116" s="96">
        <f t="shared" si="162"/>
        <v>1</v>
      </c>
      <c r="AR116" s="96">
        <f t="shared" si="162"/>
        <v>1</v>
      </c>
      <c r="AS116" s="96">
        <f t="shared" si="162"/>
        <v>1</v>
      </c>
      <c r="AT116" s="96">
        <f t="shared" si="162"/>
        <v>1</v>
      </c>
      <c r="AU116" s="96">
        <f t="shared" si="162"/>
        <v>1</v>
      </c>
      <c r="AV116" s="96">
        <f t="shared" si="162"/>
        <v>1</v>
      </c>
      <c r="AW116" s="96">
        <f t="shared" si="162"/>
        <v>1</v>
      </c>
      <c r="AX116" s="96">
        <f t="shared" si="162"/>
        <v>1</v>
      </c>
      <c r="AY116" s="96">
        <f t="shared" si="162"/>
        <v>1</v>
      </c>
      <c r="AZ116" s="96">
        <f t="shared" si="163" ref="AY116:BR122">(1-$E116)</f>
        <v>1</v>
      </c>
      <c r="BA116" s="96">
        <f t="shared" si="163"/>
        <v>1</v>
      </c>
      <c r="BB116" s="96">
        <f t="shared" si="163"/>
        <v>1</v>
      </c>
      <c r="BC116" s="96">
        <f t="shared" si="163"/>
        <v>1</v>
      </c>
      <c r="BD116" s="96">
        <f t="shared" si="163"/>
        <v>1</v>
      </c>
      <c r="BE116" s="96">
        <f t="shared" si="163"/>
        <v>1</v>
      </c>
      <c r="BF116" s="96">
        <f t="shared" si="163"/>
        <v>1</v>
      </c>
      <c r="BG116" s="96">
        <f t="shared" si="163"/>
        <v>1</v>
      </c>
      <c r="BH116" s="96">
        <f t="shared" si="163"/>
        <v>1</v>
      </c>
      <c r="BI116" s="96">
        <f t="shared" si="163"/>
        <v>1</v>
      </c>
      <c r="BJ116" s="96">
        <f t="shared" si="163"/>
        <v>1</v>
      </c>
      <c r="BK116" s="96">
        <f t="shared" si="163"/>
        <v>1</v>
      </c>
      <c r="BL116" s="96">
        <f t="shared" si="163"/>
        <v>1</v>
      </c>
      <c r="BM116" s="96">
        <f t="shared" si="163"/>
        <v>1</v>
      </c>
      <c r="BN116" s="96">
        <f t="shared" si="163"/>
        <v>1</v>
      </c>
      <c r="BO116" s="96">
        <f t="shared" si="163"/>
        <v>1</v>
      </c>
      <c r="BP116" s="96">
        <f t="shared" si="163"/>
        <v>1</v>
      </c>
      <c r="BQ116" s="96">
        <f t="shared" si="163"/>
        <v>1</v>
      </c>
      <c r="BR116" s="96">
        <f t="shared" si="163"/>
        <v>1</v>
      </c>
    </row>
    <row r="117" spans="1:70" ht="15">
      <c r="A117" t="s">
        <v>16</v>
      </c>
      <c r="B117" s="5" t="str">
        <f t="shared" si="164" ref="B117:C124">B106</f>
        <v>CNH</v>
      </c>
      <c r="C117" s="5" t="str">
        <f t="shared" si="164"/>
        <v>Commercial - Space Heating</v>
      </c>
      <c r="E117" s="292">
        <f t="shared" si="165" ref="E117:E124">E$125/9</f>
        <v>0</v>
      </c>
      <c r="F117" s="299"/>
      <c r="G117" s="295"/>
      <c r="H117" s="294"/>
      <c r="I117" s="135"/>
      <c r="L117" s="137">
        <f t="shared" si="161"/>
        <v>1</v>
      </c>
      <c r="M117" s="96">
        <f t="shared" si="161"/>
        <v>1</v>
      </c>
      <c r="N117" s="96">
        <f t="shared" si="161"/>
        <v>1</v>
      </c>
      <c r="O117" s="96">
        <f t="shared" si="161"/>
        <v>1</v>
      </c>
      <c r="P117" s="96">
        <f t="shared" si="161"/>
        <v>1</v>
      </c>
      <c r="Q117" s="96">
        <f t="shared" si="161"/>
        <v>1</v>
      </c>
      <c r="R117" s="96">
        <f t="shared" si="161"/>
        <v>1</v>
      </c>
      <c r="S117" s="96">
        <f t="shared" si="161"/>
        <v>1</v>
      </c>
      <c r="T117" s="96">
        <f t="shared" si="161"/>
        <v>1</v>
      </c>
      <c r="U117" s="96">
        <f t="shared" si="161"/>
        <v>1</v>
      </c>
      <c r="V117" s="96">
        <f t="shared" si="161"/>
        <v>1</v>
      </c>
      <c r="W117" s="96">
        <f t="shared" si="161"/>
        <v>1</v>
      </c>
      <c r="X117" s="96">
        <f t="shared" si="161"/>
        <v>1</v>
      </c>
      <c r="Y117" s="96">
        <f t="shared" si="161"/>
        <v>1</v>
      </c>
      <c r="Z117" s="96">
        <f t="shared" si="161"/>
        <v>1</v>
      </c>
      <c r="AA117" s="96">
        <f t="shared" si="161"/>
        <v>1</v>
      </c>
      <c r="AB117" s="96">
        <f t="shared" si="162"/>
        <v>1</v>
      </c>
      <c r="AC117" s="96">
        <f t="shared" si="162"/>
        <v>1</v>
      </c>
      <c r="AD117" s="96">
        <f t="shared" si="162"/>
        <v>1</v>
      </c>
      <c r="AE117" s="96">
        <f t="shared" si="162"/>
        <v>1</v>
      </c>
      <c r="AF117" s="96">
        <f t="shared" si="162"/>
        <v>1</v>
      </c>
      <c r="AG117" s="96">
        <f t="shared" si="162"/>
        <v>1</v>
      </c>
      <c r="AH117" s="96">
        <f t="shared" si="162"/>
        <v>1</v>
      </c>
      <c r="AI117" s="96">
        <f t="shared" si="162"/>
        <v>1</v>
      </c>
      <c r="AJ117" s="96">
        <f t="shared" si="162"/>
        <v>1</v>
      </c>
      <c r="AK117" s="96">
        <f t="shared" si="162"/>
        <v>1</v>
      </c>
      <c r="AL117" s="96">
        <f t="shared" si="162"/>
        <v>1</v>
      </c>
      <c r="AM117" s="96">
        <f t="shared" si="162"/>
        <v>1</v>
      </c>
      <c r="AN117" s="96">
        <f t="shared" si="162"/>
        <v>1</v>
      </c>
      <c r="AO117" s="96">
        <f t="shared" si="162"/>
        <v>1</v>
      </c>
      <c r="AP117" s="96">
        <f t="shared" si="162"/>
        <v>1</v>
      </c>
      <c r="AQ117" s="96">
        <f t="shared" si="162"/>
        <v>1</v>
      </c>
      <c r="AR117" s="96">
        <f t="shared" si="162"/>
        <v>1</v>
      </c>
      <c r="AS117" s="96">
        <f t="shared" si="162"/>
        <v>1</v>
      </c>
      <c r="AT117" s="96">
        <f t="shared" si="162"/>
        <v>1</v>
      </c>
      <c r="AU117" s="96">
        <f t="shared" si="162"/>
        <v>1</v>
      </c>
      <c r="AV117" s="96">
        <f t="shared" si="162"/>
        <v>1</v>
      </c>
      <c r="AW117" s="96">
        <f t="shared" si="162"/>
        <v>1</v>
      </c>
      <c r="AX117" s="96">
        <f t="shared" si="162"/>
        <v>1</v>
      </c>
      <c r="AY117" s="96">
        <f t="shared" si="163"/>
        <v>1</v>
      </c>
      <c r="AZ117" s="96">
        <f t="shared" si="163"/>
        <v>1</v>
      </c>
      <c r="BA117" s="96">
        <f t="shared" si="163"/>
        <v>1</v>
      </c>
      <c r="BB117" s="96">
        <f t="shared" si="163"/>
        <v>1</v>
      </c>
      <c r="BC117" s="96">
        <f t="shared" si="163"/>
        <v>1</v>
      </c>
      <c r="BD117" s="96">
        <f t="shared" si="163"/>
        <v>1</v>
      </c>
      <c r="BE117" s="96">
        <f t="shared" si="163"/>
        <v>1</v>
      </c>
      <c r="BF117" s="96">
        <f t="shared" si="163"/>
        <v>1</v>
      </c>
      <c r="BG117" s="96">
        <f t="shared" si="163"/>
        <v>1</v>
      </c>
      <c r="BH117" s="96">
        <f t="shared" si="163"/>
        <v>1</v>
      </c>
      <c r="BI117" s="96">
        <f t="shared" si="163"/>
        <v>1</v>
      </c>
      <c r="BJ117" s="96">
        <f t="shared" si="163"/>
        <v>1</v>
      </c>
      <c r="BK117" s="96">
        <f t="shared" si="163"/>
        <v>1</v>
      </c>
      <c r="BL117" s="96">
        <f t="shared" si="163"/>
        <v>1</v>
      </c>
      <c r="BM117" s="96">
        <f t="shared" si="163"/>
        <v>1</v>
      </c>
      <c r="BN117" s="96">
        <f t="shared" si="163"/>
        <v>1</v>
      </c>
      <c r="BO117" s="96">
        <f t="shared" si="163"/>
        <v>1</v>
      </c>
      <c r="BP117" s="96">
        <f t="shared" si="163"/>
        <v>1</v>
      </c>
      <c r="BQ117" s="96">
        <f t="shared" si="163"/>
        <v>1</v>
      </c>
      <c r="BR117" s="96">
        <f t="shared" si="163"/>
        <v>1</v>
      </c>
    </row>
    <row r="118" spans="1:70" ht="15">
      <c r="A118" t="s">
        <v>16</v>
      </c>
      <c r="B118" s="5" t="str">
        <f t="shared" si="164"/>
        <v>CNK</v>
      </c>
      <c r="C118" s="5" t="str">
        <f t="shared" si="164"/>
        <v>Commercial - Cooking</v>
      </c>
      <c r="E118" s="292">
        <f t="shared" si="165"/>
        <v>0</v>
      </c>
      <c r="F118" s="299"/>
      <c r="G118" s="295"/>
      <c r="H118" s="294"/>
      <c r="I118" s="135"/>
      <c r="L118" s="137">
        <f t="shared" si="161"/>
        <v>1</v>
      </c>
      <c r="M118" s="96">
        <f t="shared" si="161"/>
        <v>1</v>
      </c>
      <c r="N118" s="96">
        <f t="shared" si="161"/>
        <v>1</v>
      </c>
      <c r="O118" s="96">
        <f>(1-$E118)</f>
        <v>1</v>
      </c>
      <c r="P118" s="96">
        <f t="shared" si="161"/>
        <v>1</v>
      </c>
      <c r="Q118" s="96">
        <f t="shared" si="161"/>
        <v>1</v>
      </c>
      <c r="R118" s="96">
        <f t="shared" si="161"/>
        <v>1</v>
      </c>
      <c r="S118" s="96">
        <f t="shared" si="161"/>
        <v>1</v>
      </c>
      <c r="T118" s="96">
        <f t="shared" si="161"/>
        <v>1</v>
      </c>
      <c r="U118" s="96">
        <f t="shared" si="161"/>
        <v>1</v>
      </c>
      <c r="V118" s="96">
        <f t="shared" si="161"/>
        <v>1</v>
      </c>
      <c r="W118" s="96">
        <f t="shared" si="161"/>
        <v>1</v>
      </c>
      <c r="X118" s="96">
        <f t="shared" si="161"/>
        <v>1</v>
      </c>
      <c r="Y118" s="96">
        <f t="shared" si="161"/>
        <v>1</v>
      </c>
      <c r="Z118" s="96">
        <f t="shared" si="161"/>
        <v>1</v>
      </c>
      <c r="AA118" s="96">
        <f t="shared" si="161"/>
        <v>1</v>
      </c>
      <c r="AB118" s="96">
        <f t="shared" si="162"/>
        <v>1</v>
      </c>
      <c r="AC118" s="96">
        <f t="shared" si="162"/>
        <v>1</v>
      </c>
      <c r="AD118" s="96">
        <f t="shared" si="162"/>
        <v>1</v>
      </c>
      <c r="AE118" s="96">
        <f t="shared" si="162"/>
        <v>1</v>
      </c>
      <c r="AF118" s="96">
        <f t="shared" si="162"/>
        <v>1</v>
      </c>
      <c r="AG118" s="96">
        <f t="shared" si="162"/>
        <v>1</v>
      </c>
      <c r="AH118" s="96">
        <f t="shared" si="162"/>
        <v>1</v>
      </c>
      <c r="AI118" s="96">
        <f t="shared" si="162"/>
        <v>1</v>
      </c>
      <c r="AJ118" s="96">
        <f t="shared" si="162"/>
        <v>1</v>
      </c>
      <c r="AK118" s="96">
        <f t="shared" si="162"/>
        <v>1</v>
      </c>
      <c r="AL118" s="96">
        <f t="shared" si="162"/>
        <v>1</v>
      </c>
      <c r="AM118" s="96">
        <f t="shared" si="162"/>
        <v>1</v>
      </c>
      <c r="AN118" s="96">
        <f t="shared" si="162"/>
        <v>1</v>
      </c>
      <c r="AO118" s="96">
        <f t="shared" si="162"/>
        <v>1</v>
      </c>
      <c r="AP118" s="96">
        <f t="shared" si="162"/>
        <v>1</v>
      </c>
      <c r="AQ118" s="96">
        <f t="shared" si="162"/>
        <v>1</v>
      </c>
      <c r="AR118" s="96">
        <f t="shared" si="162"/>
        <v>1</v>
      </c>
      <c r="AS118" s="96">
        <f t="shared" si="162"/>
        <v>1</v>
      </c>
      <c r="AT118" s="96">
        <f t="shared" si="162"/>
        <v>1</v>
      </c>
      <c r="AU118" s="96">
        <f t="shared" si="162"/>
        <v>1</v>
      </c>
      <c r="AV118" s="96">
        <f t="shared" si="162"/>
        <v>1</v>
      </c>
      <c r="AW118" s="96">
        <f t="shared" si="162"/>
        <v>1</v>
      </c>
      <c r="AX118" s="96">
        <f t="shared" si="162"/>
        <v>1</v>
      </c>
      <c r="AY118" s="96">
        <f t="shared" si="163"/>
        <v>1</v>
      </c>
      <c r="AZ118" s="96">
        <f t="shared" si="163"/>
        <v>1</v>
      </c>
      <c r="BA118" s="96">
        <f t="shared" si="163"/>
        <v>1</v>
      </c>
      <c r="BB118" s="96">
        <f t="shared" si="163"/>
        <v>1</v>
      </c>
      <c r="BC118" s="96">
        <f t="shared" si="163"/>
        <v>1</v>
      </c>
      <c r="BD118" s="96">
        <f t="shared" si="163"/>
        <v>1</v>
      </c>
      <c r="BE118" s="96">
        <f t="shared" si="163"/>
        <v>1</v>
      </c>
      <c r="BF118" s="96">
        <f t="shared" si="163"/>
        <v>1</v>
      </c>
      <c r="BG118" s="96">
        <f t="shared" si="163"/>
        <v>1</v>
      </c>
      <c r="BH118" s="96">
        <f t="shared" si="163"/>
        <v>1</v>
      </c>
      <c r="BI118" s="96">
        <f t="shared" si="163"/>
        <v>1</v>
      </c>
      <c r="BJ118" s="96">
        <f t="shared" si="163"/>
        <v>1</v>
      </c>
      <c r="BK118" s="96">
        <f t="shared" si="163"/>
        <v>1</v>
      </c>
      <c r="BL118" s="96">
        <f t="shared" si="163"/>
        <v>1</v>
      </c>
      <c r="BM118" s="96">
        <f t="shared" si="163"/>
        <v>1</v>
      </c>
      <c r="BN118" s="96">
        <f t="shared" si="163"/>
        <v>1</v>
      </c>
      <c r="BO118" s="96">
        <f t="shared" si="163"/>
        <v>1</v>
      </c>
      <c r="BP118" s="96">
        <f t="shared" si="163"/>
        <v>1</v>
      </c>
      <c r="BQ118" s="96">
        <f t="shared" si="163"/>
        <v>1</v>
      </c>
      <c r="BR118" s="96">
        <f t="shared" si="163"/>
        <v>1</v>
      </c>
    </row>
    <row r="119" spans="1:70" ht="15">
      <c r="A119" t="s">
        <v>16</v>
      </c>
      <c r="B119" s="5" t="str">
        <f t="shared" si="164"/>
        <v>CNL</v>
      </c>
      <c r="C119" s="5" t="str">
        <f t="shared" si="164"/>
        <v>Commercial - Lighting</v>
      </c>
      <c r="E119" s="292">
        <f t="shared" si="165"/>
        <v>0</v>
      </c>
      <c r="F119" s="299"/>
      <c r="G119" s="295"/>
      <c r="H119" s="294"/>
      <c r="I119" s="135"/>
      <c r="L119" s="137">
        <f t="shared" si="161"/>
        <v>1</v>
      </c>
      <c r="M119" s="96">
        <f t="shared" si="161"/>
        <v>1</v>
      </c>
      <c r="N119" s="96">
        <f t="shared" si="161"/>
        <v>1</v>
      </c>
      <c r="O119" s="96">
        <f t="shared" si="161"/>
        <v>1</v>
      </c>
      <c r="P119" s="96">
        <f t="shared" si="161"/>
        <v>1</v>
      </c>
      <c r="Q119" s="96">
        <f t="shared" si="161"/>
        <v>1</v>
      </c>
      <c r="R119" s="96">
        <f t="shared" si="161"/>
        <v>1</v>
      </c>
      <c r="S119" s="96">
        <f t="shared" si="161"/>
        <v>1</v>
      </c>
      <c r="T119" s="96">
        <f t="shared" si="161"/>
        <v>1</v>
      </c>
      <c r="U119" s="96">
        <f t="shared" si="161"/>
        <v>1</v>
      </c>
      <c r="V119" s="96">
        <f t="shared" si="161"/>
        <v>1</v>
      </c>
      <c r="W119" s="96">
        <f t="shared" si="161"/>
        <v>1</v>
      </c>
      <c r="X119" s="96">
        <f t="shared" si="161"/>
        <v>1</v>
      </c>
      <c r="Y119" s="96">
        <f t="shared" si="161"/>
        <v>1</v>
      </c>
      <c r="Z119" s="96">
        <f t="shared" si="161"/>
        <v>1</v>
      </c>
      <c r="AA119" s="96">
        <f t="shared" si="161"/>
        <v>1</v>
      </c>
      <c r="AB119" s="96">
        <f t="shared" si="162"/>
        <v>1</v>
      </c>
      <c r="AC119" s="96">
        <f t="shared" si="162"/>
        <v>1</v>
      </c>
      <c r="AD119" s="96">
        <f t="shared" si="162"/>
        <v>1</v>
      </c>
      <c r="AE119" s="96">
        <f t="shared" si="162"/>
        <v>1</v>
      </c>
      <c r="AF119" s="96">
        <f t="shared" si="162"/>
        <v>1</v>
      </c>
      <c r="AG119" s="96">
        <f t="shared" si="162"/>
        <v>1</v>
      </c>
      <c r="AH119" s="96">
        <f t="shared" si="162"/>
        <v>1</v>
      </c>
      <c r="AI119" s="96">
        <f t="shared" si="162"/>
        <v>1</v>
      </c>
      <c r="AJ119" s="96">
        <f t="shared" si="162"/>
        <v>1</v>
      </c>
      <c r="AK119" s="96">
        <f t="shared" si="162"/>
        <v>1</v>
      </c>
      <c r="AL119" s="96">
        <f t="shared" si="162"/>
        <v>1</v>
      </c>
      <c r="AM119" s="96">
        <f t="shared" si="162"/>
        <v>1</v>
      </c>
      <c r="AN119" s="96">
        <f t="shared" si="162"/>
        <v>1</v>
      </c>
      <c r="AO119" s="96">
        <f t="shared" si="162"/>
        <v>1</v>
      </c>
      <c r="AP119" s="96">
        <f t="shared" si="162"/>
        <v>1</v>
      </c>
      <c r="AQ119" s="96">
        <f t="shared" si="162"/>
        <v>1</v>
      </c>
      <c r="AR119" s="96">
        <f t="shared" si="162"/>
        <v>1</v>
      </c>
      <c r="AS119" s="96">
        <f t="shared" si="162"/>
        <v>1</v>
      </c>
      <c r="AT119" s="96">
        <f t="shared" si="162"/>
        <v>1</v>
      </c>
      <c r="AU119" s="96">
        <f t="shared" si="162"/>
        <v>1</v>
      </c>
      <c r="AV119" s="96">
        <f t="shared" si="162"/>
        <v>1</v>
      </c>
      <c r="AW119" s="96">
        <f t="shared" si="162"/>
        <v>1</v>
      </c>
      <c r="AX119" s="96">
        <f t="shared" si="162"/>
        <v>1</v>
      </c>
      <c r="AY119" s="96">
        <f t="shared" si="163"/>
        <v>1</v>
      </c>
      <c r="AZ119" s="96">
        <f t="shared" si="163"/>
        <v>1</v>
      </c>
      <c r="BA119" s="96">
        <f t="shared" si="163"/>
        <v>1</v>
      </c>
      <c r="BB119" s="96">
        <f t="shared" si="163"/>
        <v>1</v>
      </c>
      <c r="BC119" s="96">
        <f t="shared" si="163"/>
        <v>1</v>
      </c>
      <c r="BD119" s="96">
        <f t="shared" si="163"/>
        <v>1</v>
      </c>
      <c r="BE119" s="96">
        <f t="shared" si="163"/>
        <v>1</v>
      </c>
      <c r="BF119" s="96">
        <f t="shared" si="163"/>
        <v>1</v>
      </c>
      <c r="BG119" s="96">
        <f t="shared" si="163"/>
        <v>1</v>
      </c>
      <c r="BH119" s="96">
        <f t="shared" si="163"/>
        <v>1</v>
      </c>
      <c r="BI119" s="96">
        <f t="shared" si="163"/>
        <v>1</v>
      </c>
      <c r="BJ119" s="96">
        <f t="shared" si="163"/>
        <v>1</v>
      </c>
      <c r="BK119" s="96">
        <f t="shared" si="163"/>
        <v>1</v>
      </c>
      <c r="BL119" s="96">
        <f t="shared" si="163"/>
        <v>1</v>
      </c>
      <c r="BM119" s="96">
        <f t="shared" si="163"/>
        <v>1</v>
      </c>
      <c r="BN119" s="96">
        <f t="shared" si="163"/>
        <v>1</v>
      </c>
      <c r="BO119" s="96">
        <f t="shared" si="163"/>
        <v>1</v>
      </c>
      <c r="BP119" s="96">
        <f t="shared" si="163"/>
        <v>1</v>
      </c>
      <c r="BQ119" s="96">
        <f t="shared" si="163"/>
        <v>1</v>
      </c>
      <c r="BR119" s="96">
        <f t="shared" si="163"/>
        <v>1</v>
      </c>
    </row>
    <row r="120" spans="1:70" ht="15">
      <c r="A120" t="s">
        <v>16</v>
      </c>
      <c r="B120" s="5" t="str">
        <f t="shared" si="164"/>
        <v>CNR</v>
      </c>
      <c r="C120" s="5" t="str">
        <f t="shared" si="164"/>
        <v>Commercial - Refrigeration</v>
      </c>
      <c r="E120" s="292">
        <f t="shared" si="165"/>
        <v>0</v>
      </c>
      <c r="F120" s="299"/>
      <c r="G120" s="295"/>
      <c r="H120" s="294"/>
      <c r="I120" s="135"/>
      <c r="L120" s="137">
        <f t="shared" si="161"/>
        <v>1</v>
      </c>
      <c r="M120" s="96">
        <f t="shared" si="161"/>
        <v>1</v>
      </c>
      <c r="N120" s="96">
        <f t="shared" si="161"/>
        <v>1</v>
      </c>
      <c r="O120" s="96">
        <f t="shared" si="161"/>
        <v>1</v>
      </c>
      <c r="P120" s="96">
        <f t="shared" si="161"/>
        <v>1</v>
      </c>
      <c r="Q120" s="96">
        <f t="shared" si="161"/>
        <v>1</v>
      </c>
      <c r="R120" s="96">
        <f t="shared" si="161"/>
        <v>1</v>
      </c>
      <c r="S120" s="96">
        <f t="shared" si="161"/>
        <v>1</v>
      </c>
      <c r="T120" s="96">
        <f t="shared" si="161"/>
        <v>1</v>
      </c>
      <c r="U120" s="96">
        <f t="shared" si="161"/>
        <v>1</v>
      </c>
      <c r="V120" s="96">
        <f t="shared" si="161"/>
        <v>1</v>
      </c>
      <c r="W120" s="96">
        <f t="shared" si="161"/>
        <v>1</v>
      </c>
      <c r="X120" s="96">
        <f t="shared" si="161"/>
        <v>1</v>
      </c>
      <c r="Y120" s="96">
        <f t="shared" si="161"/>
        <v>1</v>
      </c>
      <c r="Z120" s="96">
        <f t="shared" si="161"/>
        <v>1</v>
      </c>
      <c r="AA120" s="96">
        <f t="shared" si="161"/>
        <v>1</v>
      </c>
      <c r="AB120" s="96">
        <f t="shared" si="162"/>
        <v>1</v>
      </c>
      <c r="AC120" s="96">
        <f t="shared" si="162"/>
        <v>1</v>
      </c>
      <c r="AD120" s="96">
        <f t="shared" si="162"/>
        <v>1</v>
      </c>
      <c r="AE120" s="96">
        <f t="shared" si="162"/>
        <v>1</v>
      </c>
      <c r="AF120" s="96">
        <f t="shared" si="162"/>
        <v>1</v>
      </c>
      <c r="AG120" s="96">
        <f t="shared" si="162"/>
        <v>1</v>
      </c>
      <c r="AH120" s="96">
        <f t="shared" si="162"/>
        <v>1</v>
      </c>
      <c r="AI120" s="96">
        <f t="shared" si="162"/>
        <v>1</v>
      </c>
      <c r="AJ120" s="96">
        <f t="shared" si="162"/>
        <v>1</v>
      </c>
      <c r="AK120" s="96">
        <f t="shared" si="162"/>
        <v>1</v>
      </c>
      <c r="AL120" s="96">
        <f t="shared" si="162"/>
        <v>1</v>
      </c>
      <c r="AM120" s="96">
        <f t="shared" si="162"/>
        <v>1</v>
      </c>
      <c r="AN120" s="96">
        <f t="shared" si="162"/>
        <v>1</v>
      </c>
      <c r="AO120" s="96">
        <f t="shared" si="162"/>
        <v>1</v>
      </c>
      <c r="AP120" s="96">
        <f t="shared" si="162"/>
        <v>1</v>
      </c>
      <c r="AQ120" s="96">
        <f t="shared" si="162"/>
        <v>1</v>
      </c>
      <c r="AR120" s="96">
        <f t="shared" si="162"/>
        <v>1</v>
      </c>
      <c r="AS120" s="96">
        <f t="shared" si="162"/>
        <v>1</v>
      </c>
      <c r="AT120" s="96">
        <f t="shared" si="162"/>
        <v>1</v>
      </c>
      <c r="AU120" s="96">
        <f t="shared" si="162"/>
        <v>1</v>
      </c>
      <c r="AV120" s="96">
        <f t="shared" si="162"/>
        <v>1</v>
      </c>
      <c r="AW120" s="96">
        <f t="shared" si="162"/>
        <v>1</v>
      </c>
      <c r="AX120" s="96">
        <f t="shared" si="162"/>
        <v>1</v>
      </c>
      <c r="AY120" s="96">
        <f t="shared" si="163"/>
        <v>1</v>
      </c>
      <c r="AZ120" s="96">
        <f t="shared" si="163"/>
        <v>1</v>
      </c>
      <c r="BA120" s="96">
        <f t="shared" si="163"/>
        <v>1</v>
      </c>
      <c r="BB120" s="96">
        <f t="shared" si="163"/>
        <v>1</v>
      </c>
      <c r="BC120" s="96">
        <f t="shared" si="163"/>
        <v>1</v>
      </c>
      <c r="BD120" s="96">
        <f t="shared" si="163"/>
        <v>1</v>
      </c>
      <c r="BE120" s="96">
        <f t="shared" si="163"/>
        <v>1</v>
      </c>
      <c r="BF120" s="96">
        <f t="shared" si="163"/>
        <v>1</v>
      </c>
      <c r="BG120" s="96">
        <f t="shared" si="163"/>
        <v>1</v>
      </c>
      <c r="BH120" s="96">
        <f t="shared" si="163"/>
        <v>1</v>
      </c>
      <c r="BI120" s="96">
        <f t="shared" si="163"/>
        <v>1</v>
      </c>
      <c r="BJ120" s="96">
        <f t="shared" si="163"/>
        <v>1</v>
      </c>
      <c r="BK120" s="96">
        <f t="shared" si="163"/>
        <v>1</v>
      </c>
      <c r="BL120" s="96">
        <f t="shared" si="163"/>
        <v>1</v>
      </c>
      <c r="BM120" s="96">
        <f t="shared" si="163"/>
        <v>1</v>
      </c>
      <c r="BN120" s="96">
        <f t="shared" si="163"/>
        <v>1</v>
      </c>
      <c r="BO120" s="96">
        <f t="shared" si="163"/>
        <v>1</v>
      </c>
      <c r="BP120" s="96">
        <f t="shared" si="163"/>
        <v>1</v>
      </c>
      <c r="BQ120" s="96">
        <f t="shared" si="163"/>
        <v>1</v>
      </c>
      <c r="BR120" s="96">
        <f t="shared" si="163"/>
        <v>1</v>
      </c>
    </row>
    <row r="121" spans="1:70" ht="15">
      <c r="A121" t="s">
        <v>16</v>
      </c>
      <c r="B121" s="5" t="str">
        <f t="shared" si="164"/>
        <v>CNW</v>
      </c>
      <c r="C121" s="5" t="str">
        <f t="shared" si="164"/>
        <v>Commercial - Water Heating</v>
      </c>
      <c r="E121" s="292">
        <f t="shared" si="165"/>
        <v>0</v>
      </c>
      <c r="F121" s="299"/>
      <c r="G121" s="295"/>
      <c r="H121" s="294"/>
      <c r="I121" s="135"/>
      <c r="L121" s="137">
        <f t="shared" si="161"/>
        <v>1</v>
      </c>
      <c r="M121" s="96">
        <f t="shared" si="161"/>
        <v>1</v>
      </c>
      <c r="N121" s="96">
        <f t="shared" si="161"/>
        <v>1</v>
      </c>
      <c r="O121" s="96">
        <f t="shared" si="161"/>
        <v>1</v>
      </c>
      <c r="P121" s="96">
        <f t="shared" si="161"/>
        <v>1</v>
      </c>
      <c r="Q121" s="96">
        <f t="shared" si="161"/>
        <v>1</v>
      </c>
      <c r="R121" s="96">
        <f t="shared" si="161"/>
        <v>1</v>
      </c>
      <c r="S121" s="96">
        <f t="shared" si="161"/>
        <v>1</v>
      </c>
      <c r="T121" s="96">
        <f t="shared" si="161"/>
        <v>1</v>
      </c>
      <c r="U121" s="96">
        <f t="shared" si="161"/>
        <v>1</v>
      </c>
      <c r="V121" s="96">
        <f t="shared" si="161"/>
        <v>1</v>
      </c>
      <c r="W121" s="96">
        <f t="shared" si="161"/>
        <v>1</v>
      </c>
      <c r="X121" s="96">
        <f t="shared" si="161"/>
        <v>1</v>
      </c>
      <c r="Y121" s="96">
        <f t="shared" si="161"/>
        <v>1</v>
      </c>
      <c r="Z121" s="96">
        <f t="shared" si="161"/>
        <v>1</v>
      </c>
      <c r="AA121" s="96">
        <f t="shared" si="161"/>
        <v>1</v>
      </c>
      <c r="AB121" s="96">
        <f t="shared" si="162"/>
        <v>1</v>
      </c>
      <c r="AC121" s="96">
        <f t="shared" si="162"/>
        <v>1</v>
      </c>
      <c r="AD121" s="96">
        <f t="shared" si="162"/>
        <v>1</v>
      </c>
      <c r="AE121" s="96">
        <f t="shared" si="162"/>
        <v>1</v>
      </c>
      <c r="AF121" s="96">
        <f t="shared" si="162"/>
        <v>1</v>
      </c>
      <c r="AG121" s="96">
        <f t="shared" si="162"/>
        <v>1</v>
      </c>
      <c r="AH121" s="96">
        <f t="shared" si="162"/>
        <v>1</v>
      </c>
      <c r="AI121" s="96">
        <f t="shared" si="162"/>
        <v>1</v>
      </c>
      <c r="AJ121" s="96">
        <f t="shared" si="162"/>
        <v>1</v>
      </c>
      <c r="AK121" s="96">
        <f t="shared" si="162"/>
        <v>1</v>
      </c>
      <c r="AL121" s="96">
        <f t="shared" si="162"/>
        <v>1</v>
      </c>
      <c r="AM121" s="96">
        <f t="shared" si="162"/>
        <v>1</v>
      </c>
      <c r="AN121" s="96">
        <f t="shared" si="162"/>
        <v>1</v>
      </c>
      <c r="AO121" s="96">
        <f t="shared" si="162"/>
        <v>1</v>
      </c>
      <c r="AP121" s="96">
        <f t="shared" si="162"/>
        <v>1</v>
      </c>
      <c r="AQ121" s="96">
        <f t="shared" si="162"/>
        <v>1</v>
      </c>
      <c r="AR121" s="96">
        <f t="shared" si="162"/>
        <v>1</v>
      </c>
      <c r="AS121" s="96">
        <f t="shared" si="162"/>
        <v>1</v>
      </c>
      <c r="AT121" s="96">
        <f t="shared" si="162"/>
        <v>1</v>
      </c>
      <c r="AU121" s="96">
        <f t="shared" si="162"/>
        <v>1</v>
      </c>
      <c r="AV121" s="96">
        <f t="shared" si="162"/>
        <v>1</v>
      </c>
      <c r="AW121" s="96">
        <f t="shared" si="162"/>
        <v>1</v>
      </c>
      <c r="AX121" s="96">
        <f t="shared" si="162"/>
        <v>1</v>
      </c>
      <c r="AY121" s="96">
        <f t="shared" si="163"/>
        <v>1</v>
      </c>
      <c r="AZ121" s="96">
        <f t="shared" si="163"/>
        <v>1</v>
      </c>
      <c r="BA121" s="96">
        <f t="shared" si="163"/>
        <v>1</v>
      </c>
      <c r="BB121" s="96">
        <f t="shared" si="163"/>
        <v>1</v>
      </c>
      <c r="BC121" s="96">
        <f t="shared" si="163"/>
        <v>1</v>
      </c>
      <c r="BD121" s="96">
        <f t="shared" si="163"/>
        <v>1</v>
      </c>
      <c r="BE121" s="96">
        <f t="shared" si="163"/>
        <v>1</v>
      </c>
      <c r="BF121" s="96">
        <f t="shared" si="163"/>
        <v>1</v>
      </c>
      <c r="BG121" s="96">
        <f t="shared" si="163"/>
        <v>1</v>
      </c>
      <c r="BH121" s="96">
        <f t="shared" si="163"/>
        <v>1</v>
      </c>
      <c r="BI121" s="96">
        <f t="shared" si="163"/>
        <v>1</v>
      </c>
      <c r="BJ121" s="96">
        <f t="shared" si="163"/>
        <v>1</v>
      </c>
      <c r="BK121" s="96">
        <f t="shared" si="163"/>
        <v>1</v>
      </c>
      <c r="BL121" s="96">
        <f t="shared" si="163"/>
        <v>1</v>
      </c>
      <c r="BM121" s="96">
        <f t="shared" si="163"/>
        <v>1</v>
      </c>
      <c r="BN121" s="96">
        <f t="shared" si="163"/>
        <v>1</v>
      </c>
      <c r="BO121" s="96">
        <f t="shared" si="163"/>
        <v>1</v>
      </c>
      <c r="BP121" s="96">
        <f t="shared" si="163"/>
        <v>1</v>
      </c>
      <c r="BQ121" s="96">
        <f t="shared" si="163"/>
        <v>1</v>
      </c>
      <c r="BR121" s="96">
        <f t="shared" si="163"/>
        <v>1</v>
      </c>
    </row>
    <row r="122" spans="1:70" ht="15">
      <c r="A122" t="s">
        <v>16</v>
      </c>
      <c r="B122" s="5" t="str">
        <f t="shared" si="164"/>
        <v>CNG</v>
      </c>
      <c r="C122" s="5" t="str">
        <f t="shared" si="164"/>
        <v>Commercial - Public lights</v>
      </c>
      <c r="E122" s="292">
        <f t="shared" si="165"/>
        <v>0</v>
      </c>
      <c r="F122" s="299"/>
      <c r="G122" s="295"/>
      <c r="I122" s="135"/>
      <c r="L122" s="137">
        <f t="shared" si="161"/>
        <v>1</v>
      </c>
      <c r="M122" s="96">
        <f t="shared" si="161"/>
        <v>1</v>
      </c>
      <c r="N122" s="96">
        <f t="shared" si="161"/>
        <v>1</v>
      </c>
      <c r="O122" s="96">
        <f t="shared" si="161"/>
        <v>1</v>
      </c>
      <c r="P122" s="96">
        <f t="shared" si="161"/>
        <v>1</v>
      </c>
      <c r="Q122" s="96">
        <f t="shared" si="161"/>
        <v>1</v>
      </c>
      <c r="R122" s="96">
        <f t="shared" si="161"/>
        <v>1</v>
      </c>
      <c r="S122" s="96">
        <f t="shared" si="161"/>
        <v>1</v>
      </c>
      <c r="T122" s="96">
        <f t="shared" si="161"/>
        <v>1</v>
      </c>
      <c r="U122" s="96">
        <f t="shared" si="161"/>
        <v>1</v>
      </c>
      <c r="V122" s="96">
        <f t="shared" si="161"/>
        <v>1</v>
      </c>
      <c r="W122" s="96">
        <f t="shared" si="161"/>
        <v>1</v>
      </c>
      <c r="X122" s="96">
        <f t="shared" si="161"/>
        <v>1</v>
      </c>
      <c r="Y122" s="96">
        <f t="shared" si="161"/>
        <v>1</v>
      </c>
      <c r="Z122" s="96">
        <f t="shared" si="161"/>
        <v>1</v>
      </c>
      <c r="AA122" s="96">
        <f t="shared" si="161"/>
        <v>1</v>
      </c>
      <c r="AB122" s="96">
        <f t="shared" si="162"/>
        <v>1</v>
      </c>
      <c r="AC122" s="96">
        <f t="shared" si="162"/>
        <v>1</v>
      </c>
      <c r="AD122" s="96">
        <f t="shared" si="162"/>
        <v>1</v>
      </c>
      <c r="AE122" s="96">
        <f t="shared" si="162"/>
        <v>1</v>
      </c>
      <c r="AF122" s="96">
        <f t="shared" si="162"/>
        <v>1</v>
      </c>
      <c r="AG122" s="96">
        <f t="shared" si="162"/>
        <v>1</v>
      </c>
      <c r="AH122" s="96">
        <f t="shared" si="162"/>
        <v>1</v>
      </c>
      <c r="AI122" s="96">
        <f t="shared" si="162"/>
        <v>1</v>
      </c>
      <c r="AJ122" s="96">
        <f t="shared" si="162"/>
        <v>1</v>
      </c>
      <c r="AK122" s="96">
        <f t="shared" si="162"/>
        <v>1</v>
      </c>
      <c r="AL122" s="96">
        <f t="shared" si="162"/>
        <v>1</v>
      </c>
      <c r="AM122" s="96">
        <f t="shared" si="162"/>
        <v>1</v>
      </c>
      <c r="AN122" s="96">
        <f t="shared" si="162"/>
        <v>1</v>
      </c>
      <c r="AO122" s="96">
        <f t="shared" si="162"/>
        <v>1</v>
      </c>
      <c r="AP122" s="96">
        <f t="shared" si="162"/>
        <v>1</v>
      </c>
      <c r="AQ122" s="96">
        <f t="shared" si="162"/>
        <v>1</v>
      </c>
      <c r="AR122" s="96">
        <f t="shared" si="162"/>
        <v>1</v>
      </c>
      <c r="AS122" s="96">
        <f t="shared" si="162"/>
        <v>1</v>
      </c>
      <c r="AT122" s="96">
        <f t="shared" si="162"/>
        <v>1</v>
      </c>
      <c r="AU122" s="96">
        <f t="shared" si="162"/>
        <v>1</v>
      </c>
      <c r="AV122" s="96">
        <f t="shared" si="162"/>
        <v>1</v>
      </c>
      <c r="AW122" s="96">
        <f t="shared" si="162"/>
        <v>1</v>
      </c>
      <c r="AX122" s="96">
        <f t="shared" si="162"/>
        <v>1</v>
      </c>
      <c r="AY122" s="96">
        <f t="shared" si="163"/>
        <v>1</v>
      </c>
      <c r="AZ122" s="96">
        <f t="shared" si="163"/>
        <v>1</v>
      </c>
      <c r="BA122" s="96">
        <f t="shared" si="163"/>
        <v>1</v>
      </c>
      <c r="BB122" s="96">
        <f t="shared" si="163"/>
        <v>1</v>
      </c>
      <c r="BC122" s="96">
        <f t="shared" si="163"/>
        <v>1</v>
      </c>
      <c r="BD122" s="96">
        <f t="shared" si="163"/>
        <v>1</v>
      </c>
      <c r="BE122" s="96">
        <f t="shared" si="163"/>
        <v>1</v>
      </c>
      <c r="BF122" s="96">
        <f t="shared" si="163"/>
        <v>1</v>
      </c>
      <c r="BG122" s="96">
        <f t="shared" si="163"/>
        <v>1</v>
      </c>
      <c r="BH122" s="96">
        <f t="shared" si="163"/>
        <v>1</v>
      </c>
      <c r="BI122" s="96">
        <f t="shared" si="163"/>
        <v>1</v>
      </c>
      <c r="BJ122" s="96">
        <f t="shared" si="163"/>
        <v>1</v>
      </c>
      <c r="BK122" s="96">
        <f t="shared" si="163"/>
        <v>1</v>
      </c>
      <c r="BL122" s="96">
        <f t="shared" si="163"/>
        <v>1</v>
      </c>
      <c r="BM122" s="96">
        <f t="shared" si="163"/>
        <v>1</v>
      </c>
      <c r="BN122" s="96">
        <f t="shared" si="163"/>
        <v>1</v>
      </c>
      <c r="BO122" s="96">
        <f t="shared" si="166" ref="AY122:BR124">(1-$E122)</f>
        <v>1</v>
      </c>
      <c r="BP122" s="96">
        <f t="shared" si="166"/>
        <v>1</v>
      </c>
      <c r="BQ122" s="96">
        <f t="shared" si="166"/>
        <v>1</v>
      </c>
      <c r="BR122" s="96">
        <f t="shared" si="166"/>
        <v>1</v>
      </c>
    </row>
    <row r="123" spans="1:70" ht="15">
      <c r="A123" t="s">
        <v>16</v>
      </c>
      <c r="B123" s="5" t="str">
        <f t="shared" si="164"/>
        <v>CNT</v>
      </c>
      <c r="C123" s="5" t="str">
        <f t="shared" si="164"/>
        <v>Commercial - Public Water</v>
      </c>
      <c r="E123" s="292">
        <f t="shared" si="165"/>
        <v>0</v>
      </c>
      <c r="F123" s="299"/>
      <c r="G123" s="295"/>
      <c r="H123" s="294"/>
      <c r="I123" s="135"/>
      <c r="L123" s="137">
        <f t="shared" si="161"/>
        <v>1</v>
      </c>
      <c r="M123" s="96">
        <f t="shared" si="161"/>
        <v>1</v>
      </c>
      <c r="N123" s="96">
        <f t="shared" si="161"/>
        <v>1</v>
      </c>
      <c r="O123" s="96">
        <f t="shared" si="161"/>
        <v>1</v>
      </c>
      <c r="P123" s="96">
        <f t="shared" si="161"/>
        <v>1</v>
      </c>
      <c r="Q123" s="96">
        <f t="shared" si="161"/>
        <v>1</v>
      </c>
      <c r="R123" s="96">
        <f t="shared" si="161"/>
        <v>1</v>
      </c>
      <c r="S123" s="96">
        <f t="shared" si="161"/>
        <v>1</v>
      </c>
      <c r="T123" s="96">
        <f t="shared" si="161"/>
        <v>1</v>
      </c>
      <c r="U123" s="96">
        <f t="shared" si="161"/>
        <v>1</v>
      </c>
      <c r="V123" s="96">
        <f t="shared" si="161"/>
        <v>1</v>
      </c>
      <c r="W123" s="96">
        <f t="shared" si="161"/>
        <v>1</v>
      </c>
      <c r="X123" s="96">
        <f t="shared" si="161"/>
        <v>1</v>
      </c>
      <c r="Y123" s="96">
        <f t="shared" si="161"/>
        <v>1</v>
      </c>
      <c r="Z123" s="96">
        <f t="shared" si="161"/>
        <v>1</v>
      </c>
      <c r="AA123" s="96">
        <f t="shared" si="161"/>
        <v>1</v>
      </c>
      <c r="AB123" s="96">
        <f t="shared" si="162"/>
        <v>1</v>
      </c>
      <c r="AC123" s="96">
        <f t="shared" si="162"/>
        <v>1</v>
      </c>
      <c r="AD123" s="96">
        <f t="shared" si="162"/>
        <v>1</v>
      </c>
      <c r="AE123" s="96">
        <f t="shared" si="162"/>
        <v>1</v>
      </c>
      <c r="AF123" s="96">
        <f t="shared" si="162"/>
        <v>1</v>
      </c>
      <c r="AG123" s="96">
        <f t="shared" si="162"/>
        <v>1</v>
      </c>
      <c r="AH123" s="96">
        <f t="shared" si="162"/>
        <v>1</v>
      </c>
      <c r="AI123" s="96">
        <f t="shared" si="162"/>
        <v>1</v>
      </c>
      <c r="AJ123" s="96">
        <f t="shared" si="162"/>
        <v>1</v>
      </c>
      <c r="AK123" s="96">
        <f t="shared" si="162"/>
        <v>1</v>
      </c>
      <c r="AL123" s="96">
        <f t="shared" si="162"/>
        <v>1</v>
      </c>
      <c r="AM123" s="96">
        <f t="shared" si="162"/>
        <v>1</v>
      </c>
      <c r="AN123" s="96">
        <f t="shared" si="162"/>
        <v>1</v>
      </c>
      <c r="AO123" s="96">
        <f t="shared" si="162"/>
        <v>1</v>
      </c>
      <c r="AP123" s="96">
        <f t="shared" si="162"/>
        <v>1</v>
      </c>
      <c r="AQ123" s="96">
        <f t="shared" si="162"/>
        <v>1</v>
      </c>
      <c r="AR123" s="96">
        <f t="shared" si="162"/>
        <v>1</v>
      </c>
      <c r="AS123" s="96">
        <f t="shared" si="162"/>
        <v>1</v>
      </c>
      <c r="AT123" s="96">
        <f t="shared" si="162"/>
        <v>1</v>
      </c>
      <c r="AU123" s="96">
        <f t="shared" si="162"/>
        <v>1</v>
      </c>
      <c r="AV123" s="96">
        <f t="shared" si="162"/>
        <v>1</v>
      </c>
      <c r="AW123" s="96">
        <f t="shared" si="162"/>
        <v>1</v>
      </c>
      <c r="AX123" s="96">
        <f t="shared" si="162"/>
        <v>1</v>
      </c>
      <c r="AY123" s="96">
        <f t="shared" si="166"/>
        <v>1</v>
      </c>
      <c r="AZ123" s="96">
        <f t="shared" si="166"/>
        <v>1</v>
      </c>
      <c r="BA123" s="96">
        <f t="shared" si="166"/>
        <v>1</v>
      </c>
      <c r="BB123" s="96">
        <f t="shared" si="166"/>
        <v>1</v>
      </c>
      <c r="BC123" s="96">
        <f t="shared" si="166"/>
        <v>1</v>
      </c>
      <c r="BD123" s="96">
        <f t="shared" si="166"/>
        <v>1</v>
      </c>
      <c r="BE123" s="96">
        <f t="shared" si="166"/>
        <v>1</v>
      </c>
      <c r="BF123" s="96">
        <f t="shared" si="166"/>
        <v>1</v>
      </c>
      <c r="BG123" s="96">
        <f t="shared" si="166"/>
        <v>1</v>
      </c>
      <c r="BH123" s="96">
        <f t="shared" si="166"/>
        <v>1</v>
      </c>
      <c r="BI123" s="96">
        <f t="shared" si="166"/>
        <v>1</v>
      </c>
      <c r="BJ123" s="96">
        <f t="shared" si="166"/>
        <v>1</v>
      </c>
      <c r="BK123" s="96">
        <f t="shared" si="166"/>
        <v>1</v>
      </c>
      <c r="BL123" s="96">
        <f t="shared" si="166"/>
        <v>1</v>
      </c>
      <c r="BM123" s="96">
        <f t="shared" si="166"/>
        <v>1</v>
      </c>
      <c r="BN123" s="96">
        <f t="shared" si="166"/>
        <v>1</v>
      </c>
      <c r="BO123" s="96">
        <f t="shared" si="166"/>
        <v>1</v>
      </c>
      <c r="BP123" s="96">
        <f t="shared" si="166"/>
        <v>1</v>
      </c>
      <c r="BQ123" s="96">
        <f t="shared" si="166"/>
        <v>1</v>
      </c>
      <c r="BR123" s="96">
        <f t="shared" si="166"/>
        <v>1</v>
      </c>
    </row>
    <row r="124" spans="1:70" ht="15">
      <c r="A124" t="s">
        <v>16</v>
      </c>
      <c r="B124" s="5" t="str">
        <f t="shared" si="164"/>
        <v>CNO</v>
      </c>
      <c r="C124" s="5" t="str">
        <f t="shared" si="164"/>
        <v>Commercial - Other</v>
      </c>
      <c r="E124" s="292">
        <f t="shared" si="165"/>
        <v>0</v>
      </c>
      <c r="F124" s="75" t="s">
        <v>772</v>
      </c>
      <c r="H124" s="68">
        <f>IF(N57=1,27%,0)</f>
        <v>0</v>
      </c>
      <c r="I124" s="135"/>
      <c r="L124" s="137">
        <f t="shared" si="161"/>
        <v>1</v>
      </c>
      <c r="M124" s="96">
        <f t="shared" si="161"/>
        <v>1</v>
      </c>
      <c r="N124" s="96">
        <f t="shared" si="161"/>
        <v>1</v>
      </c>
      <c r="O124" s="96">
        <f t="shared" si="161"/>
        <v>1</v>
      </c>
      <c r="P124" s="96">
        <f t="shared" si="161"/>
        <v>1</v>
      </c>
      <c r="Q124" s="96">
        <f t="shared" si="161"/>
        <v>1</v>
      </c>
      <c r="R124" s="96">
        <f t="shared" si="161"/>
        <v>1</v>
      </c>
      <c r="S124" s="96">
        <f t="shared" si="161"/>
        <v>1</v>
      </c>
      <c r="T124" s="96">
        <f t="shared" si="161"/>
        <v>1</v>
      </c>
      <c r="U124" s="96">
        <f t="shared" si="161"/>
        <v>1</v>
      </c>
      <c r="V124" s="96">
        <f t="shared" si="161"/>
        <v>1</v>
      </c>
      <c r="W124" s="96">
        <f t="shared" si="161"/>
        <v>1</v>
      </c>
      <c r="X124" s="96">
        <f t="shared" si="161"/>
        <v>1</v>
      </c>
      <c r="Y124" s="96">
        <f t="shared" si="161"/>
        <v>1</v>
      </c>
      <c r="Z124" s="96">
        <f t="shared" si="161"/>
        <v>1</v>
      </c>
      <c r="AA124" s="96">
        <f t="shared" si="161"/>
        <v>1</v>
      </c>
      <c r="AB124" s="96">
        <f t="shared" si="162"/>
        <v>1</v>
      </c>
      <c r="AC124" s="96">
        <f t="shared" si="162"/>
        <v>1</v>
      </c>
      <c r="AD124" s="96">
        <f t="shared" si="162"/>
        <v>1</v>
      </c>
      <c r="AE124" s="96">
        <f t="shared" si="162"/>
        <v>1</v>
      </c>
      <c r="AF124" s="96">
        <f t="shared" si="162"/>
        <v>1</v>
      </c>
      <c r="AG124" s="96">
        <f t="shared" si="162"/>
        <v>1</v>
      </c>
      <c r="AH124" s="96">
        <f t="shared" si="162"/>
        <v>1</v>
      </c>
      <c r="AI124" s="96">
        <f t="shared" si="162"/>
        <v>1</v>
      </c>
      <c r="AJ124" s="96">
        <f t="shared" si="162"/>
        <v>1</v>
      </c>
      <c r="AK124" s="96">
        <f t="shared" si="162"/>
        <v>1</v>
      </c>
      <c r="AL124" s="96">
        <f t="shared" si="162"/>
        <v>1</v>
      </c>
      <c r="AM124" s="96">
        <f t="shared" si="162"/>
        <v>1</v>
      </c>
      <c r="AN124" s="96">
        <f t="shared" si="162"/>
        <v>1</v>
      </c>
      <c r="AO124" s="96">
        <f t="shared" si="162"/>
        <v>1</v>
      </c>
      <c r="AP124" s="96">
        <f t="shared" si="162"/>
        <v>1</v>
      </c>
      <c r="AQ124" s="96">
        <f t="shared" si="162"/>
        <v>1</v>
      </c>
      <c r="AR124" s="96">
        <f t="shared" si="162"/>
        <v>1</v>
      </c>
      <c r="AS124" s="96">
        <f t="shared" si="162"/>
        <v>1</v>
      </c>
      <c r="AT124" s="96">
        <f t="shared" si="162"/>
        <v>1</v>
      </c>
      <c r="AU124" s="96">
        <f t="shared" si="162"/>
        <v>1</v>
      </c>
      <c r="AV124" s="96">
        <f t="shared" si="162"/>
        <v>1</v>
      </c>
      <c r="AW124" s="96">
        <f t="shared" si="162"/>
        <v>1</v>
      </c>
      <c r="AX124" s="96">
        <f t="shared" si="162"/>
        <v>1</v>
      </c>
      <c r="AY124" s="96">
        <f t="shared" si="166"/>
        <v>1</v>
      </c>
      <c r="AZ124" s="96">
        <f t="shared" si="166"/>
        <v>1</v>
      </c>
      <c r="BA124" s="96">
        <f t="shared" si="166"/>
        <v>1</v>
      </c>
      <c r="BB124" s="96">
        <f t="shared" si="166"/>
        <v>1</v>
      </c>
      <c r="BC124" s="96">
        <f t="shared" si="166"/>
        <v>1</v>
      </c>
      <c r="BD124" s="96">
        <f t="shared" si="166"/>
        <v>1</v>
      </c>
      <c r="BE124" s="96">
        <f t="shared" si="166"/>
        <v>1</v>
      </c>
      <c r="BF124" s="96">
        <f t="shared" si="166"/>
        <v>1</v>
      </c>
      <c r="BG124" s="96">
        <f t="shared" si="166"/>
        <v>1</v>
      </c>
      <c r="BH124" s="96">
        <f t="shared" si="166"/>
        <v>1</v>
      </c>
      <c r="BI124" s="96">
        <f t="shared" si="166"/>
        <v>1</v>
      </c>
      <c r="BJ124" s="96">
        <f t="shared" si="166"/>
        <v>1</v>
      </c>
      <c r="BK124" s="96">
        <f t="shared" si="166"/>
        <v>1</v>
      </c>
      <c r="BL124" s="96">
        <f t="shared" si="166"/>
        <v>1</v>
      </c>
      <c r="BM124" s="96">
        <f t="shared" si="166"/>
        <v>1</v>
      </c>
      <c r="BN124" s="96">
        <f t="shared" si="166"/>
        <v>1</v>
      </c>
      <c r="BO124" s="96">
        <f t="shared" si="166"/>
        <v>1</v>
      </c>
      <c r="BP124" s="96">
        <f t="shared" si="166"/>
        <v>1</v>
      </c>
      <c r="BQ124" s="96">
        <f t="shared" si="166"/>
        <v>1</v>
      </c>
      <c r="BR124" s="96">
        <f t="shared" si="166"/>
        <v>1</v>
      </c>
    </row>
    <row r="125" spans="1:13" ht="15">
      <c r="A125" t="s">
        <v>16</v>
      </c>
      <c r="B125" s="5"/>
      <c r="C125" s="5"/>
      <c r="D125" s="75" t="s">
        <v>773</v>
      </c>
      <c r="E125" s="298">
        <f>((1/(1-H124))-1)</f>
        <v>0</v>
      </c>
      <c r="F125" s="75" t="s">
        <v>774</v>
      </c>
      <c r="I125" s="135"/>
      <c r="M125" s="75"/>
    </row>
    <row r="126" spans="1:13" ht="15.75" thickBot="1">
      <c r="A126" t="s">
        <v>16</v>
      </c>
      <c r="B126" s="5"/>
      <c r="C126" s="72" t="s">
        <v>245</v>
      </c>
      <c r="E126" s="75" t="s">
        <v>770</v>
      </c>
      <c r="I126" s="135"/>
      <c r="M126" s="75"/>
    </row>
    <row r="127" spans="1:70" ht="15">
      <c r="A127" t="s">
        <v>16</v>
      </c>
      <c r="B127" s="5" t="str">
        <f t="shared" si="167" ref="B127:C135">B116</f>
        <v>CNC</v>
      </c>
      <c r="C127" s="5" t="str">
        <f t="shared" si="167"/>
        <v>Commercial - Cooling</v>
      </c>
      <c r="E127" s="128">
        <f>E$136/9</f>
        <v>0</v>
      </c>
      <c r="G127" s="295"/>
      <c r="I127" s="135"/>
      <c r="L127" s="300">
        <f t="shared" si="168" ref="L127:AX133">L116*(1-$E127)</f>
        <v>1</v>
      </c>
      <c r="M127" s="301">
        <f t="shared" si="168"/>
        <v>1</v>
      </c>
      <c r="N127" s="301">
        <f t="shared" si="168"/>
        <v>1</v>
      </c>
      <c r="O127" s="301">
        <f t="shared" si="168"/>
        <v>1</v>
      </c>
      <c r="P127" s="93">
        <f t="shared" si="168"/>
        <v>1</v>
      </c>
      <c r="Q127" s="93">
        <f t="shared" si="168"/>
        <v>1</v>
      </c>
      <c r="R127" s="93">
        <f t="shared" si="168"/>
        <v>1</v>
      </c>
      <c r="S127" s="93">
        <f t="shared" si="168"/>
        <v>1</v>
      </c>
      <c r="T127" s="93">
        <f t="shared" si="168"/>
        <v>1</v>
      </c>
      <c r="U127" s="93">
        <f t="shared" si="168"/>
        <v>1</v>
      </c>
      <c r="V127" s="93">
        <f t="shared" si="168"/>
        <v>1</v>
      </c>
      <c r="W127" s="93">
        <f t="shared" si="168"/>
        <v>1</v>
      </c>
      <c r="X127" s="93">
        <f t="shared" si="168"/>
        <v>1</v>
      </c>
      <c r="Y127" s="93">
        <f t="shared" si="168"/>
        <v>1</v>
      </c>
      <c r="Z127" s="93">
        <f t="shared" si="168"/>
        <v>1</v>
      </c>
      <c r="AA127" s="93">
        <f t="shared" si="168"/>
        <v>1</v>
      </c>
      <c r="AB127" s="93">
        <f t="shared" si="168"/>
        <v>1</v>
      </c>
      <c r="AC127" s="93">
        <f t="shared" si="168"/>
        <v>1</v>
      </c>
      <c r="AD127" s="93">
        <f t="shared" si="168"/>
        <v>1</v>
      </c>
      <c r="AE127" s="93">
        <f t="shared" si="168"/>
        <v>1</v>
      </c>
      <c r="AF127" s="93">
        <f t="shared" si="168"/>
        <v>1</v>
      </c>
      <c r="AG127" s="93">
        <f t="shared" si="168"/>
        <v>1</v>
      </c>
      <c r="AH127" s="93">
        <f t="shared" si="168"/>
        <v>1</v>
      </c>
      <c r="AI127" s="93">
        <f t="shared" si="168"/>
        <v>1</v>
      </c>
      <c r="AJ127" s="93">
        <f t="shared" si="168"/>
        <v>1</v>
      </c>
      <c r="AK127" s="93">
        <f t="shared" si="168"/>
        <v>1</v>
      </c>
      <c r="AL127" s="93">
        <f t="shared" si="168"/>
        <v>1</v>
      </c>
      <c r="AM127" s="93">
        <f t="shared" si="168"/>
        <v>1</v>
      </c>
      <c r="AN127" s="93">
        <f t="shared" si="168"/>
        <v>1</v>
      </c>
      <c r="AO127" s="93">
        <f t="shared" si="168"/>
        <v>1</v>
      </c>
      <c r="AP127" s="93">
        <f t="shared" si="168"/>
        <v>1</v>
      </c>
      <c r="AQ127" s="93">
        <f t="shared" si="168"/>
        <v>1</v>
      </c>
      <c r="AR127" s="93">
        <f t="shared" si="168"/>
        <v>1</v>
      </c>
      <c r="AS127" s="93">
        <f t="shared" si="168"/>
        <v>1</v>
      </c>
      <c r="AT127" s="93">
        <f t="shared" si="168"/>
        <v>1</v>
      </c>
      <c r="AU127" s="93">
        <f t="shared" si="168"/>
        <v>1</v>
      </c>
      <c r="AV127" s="93">
        <f t="shared" si="168"/>
        <v>1</v>
      </c>
      <c r="AW127" s="93">
        <f t="shared" si="168"/>
        <v>1</v>
      </c>
      <c r="AX127" s="93">
        <f t="shared" si="168"/>
        <v>1</v>
      </c>
      <c r="AY127" s="93">
        <f t="shared" si="169" ref="AY127:BR132">AY116*(1-$E127)</f>
        <v>1</v>
      </c>
      <c r="AZ127" s="93">
        <f t="shared" si="169"/>
        <v>1</v>
      </c>
      <c r="BA127" s="93">
        <f t="shared" si="169"/>
        <v>1</v>
      </c>
      <c r="BB127" s="93">
        <f t="shared" si="169"/>
        <v>1</v>
      </c>
      <c r="BC127" s="93">
        <f t="shared" si="169"/>
        <v>1</v>
      </c>
      <c r="BD127" s="93">
        <f t="shared" si="169"/>
        <v>1</v>
      </c>
      <c r="BE127" s="93">
        <f t="shared" si="169"/>
        <v>1</v>
      </c>
      <c r="BF127" s="93">
        <f t="shared" si="169"/>
        <v>1</v>
      </c>
      <c r="BG127" s="93">
        <f t="shared" si="169"/>
        <v>1</v>
      </c>
      <c r="BH127" s="93">
        <f t="shared" si="169"/>
        <v>1</v>
      </c>
      <c r="BI127" s="93">
        <f t="shared" si="169"/>
        <v>1</v>
      </c>
      <c r="BJ127" s="93">
        <f t="shared" si="169"/>
        <v>1</v>
      </c>
      <c r="BK127" s="93">
        <f t="shared" si="169"/>
        <v>1</v>
      </c>
      <c r="BL127" s="93">
        <f t="shared" si="169"/>
        <v>1</v>
      </c>
      <c r="BM127" s="93">
        <f t="shared" si="169"/>
        <v>1</v>
      </c>
      <c r="BN127" s="93">
        <f t="shared" si="169"/>
        <v>1</v>
      </c>
      <c r="BO127" s="93">
        <f t="shared" si="169"/>
        <v>1</v>
      </c>
      <c r="BP127" s="93">
        <f t="shared" si="169"/>
        <v>1</v>
      </c>
      <c r="BQ127" s="93">
        <f t="shared" si="169"/>
        <v>1</v>
      </c>
      <c r="BR127" s="93">
        <f t="shared" si="169"/>
        <v>1</v>
      </c>
    </row>
    <row r="128" spans="1:70" ht="15">
      <c r="A128" t="s">
        <v>16</v>
      </c>
      <c r="B128" s="5" t="str">
        <f t="shared" si="167"/>
        <v>CNH</v>
      </c>
      <c r="C128" s="5" t="str">
        <f t="shared" si="167"/>
        <v>Commercial - Space Heating</v>
      </c>
      <c r="E128" s="128">
        <f t="shared" si="170" ref="E128:E135">E$136/9</f>
        <v>0</v>
      </c>
      <c r="G128" s="295" t="s">
        <v>775</v>
      </c>
      <c r="H128" s="127">
        <v>0.09</v>
      </c>
      <c r="I128" s="135"/>
      <c r="L128" s="300">
        <f t="shared" si="168"/>
        <v>1</v>
      </c>
      <c r="M128" s="301">
        <f t="shared" si="168"/>
        <v>1</v>
      </c>
      <c r="N128" s="301">
        <f t="shared" si="168"/>
        <v>1</v>
      </c>
      <c r="O128" s="301">
        <f t="shared" si="168"/>
        <v>1</v>
      </c>
      <c r="P128" s="93">
        <f t="shared" si="168"/>
        <v>1</v>
      </c>
      <c r="Q128" s="93">
        <f t="shared" si="168"/>
        <v>1</v>
      </c>
      <c r="R128" s="93">
        <f t="shared" si="168"/>
        <v>1</v>
      </c>
      <c r="S128" s="93">
        <f t="shared" si="168"/>
        <v>1</v>
      </c>
      <c r="T128" s="93">
        <f t="shared" si="168"/>
        <v>1</v>
      </c>
      <c r="U128" s="93">
        <f t="shared" si="168"/>
        <v>1</v>
      </c>
      <c r="V128" s="93">
        <f t="shared" si="168"/>
        <v>1</v>
      </c>
      <c r="W128" s="93">
        <f t="shared" si="168"/>
        <v>1</v>
      </c>
      <c r="X128" s="93">
        <f t="shared" si="168"/>
        <v>1</v>
      </c>
      <c r="Y128" s="93">
        <f t="shared" si="168"/>
        <v>1</v>
      </c>
      <c r="Z128" s="93">
        <f t="shared" si="168"/>
        <v>1</v>
      </c>
      <c r="AA128" s="93">
        <f t="shared" si="168"/>
        <v>1</v>
      </c>
      <c r="AB128" s="93">
        <f t="shared" si="168"/>
        <v>1</v>
      </c>
      <c r="AC128" s="93">
        <f t="shared" si="168"/>
        <v>1</v>
      </c>
      <c r="AD128" s="93">
        <f t="shared" si="168"/>
        <v>1</v>
      </c>
      <c r="AE128" s="93">
        <f t="shared" si="168"/>
        <v>1</v>
      </c>
      <c r="AF128" s="93">
        <f t="shared" si="168"/>
        <v>1</v>
      </c>
      <c r="AG128" s="93">
        <f t="shared" si="168"/>
        <v>1</v>
      </c>
      <c r="AH128" s="93">
        <f t="shared" si="168"/>
        <v>1</v>
      </c>
      <c r="AI128" s="93">
        <f t="shared" si="168"/>
        <v>1</v>
      </c>
      <c r="AJ128" s="93">
        <f t="shared" si="168"/>
        <v>1</v>
      </c>
      <c r="AK128" s="93">
        <f t="shared" si="168"/>
        <v>1</v>
      </c>
      <c r="AL128" s="93">
        <f t="shared" si="168"/>
        <v>1</v>
      </c>
      <c r="AM128" s="93">
        <f t="shared" si="168"/>
        <v>1</v>
      </c>
      <c r="AN128" s="93">
        <f t="shared" si="168"/>
        <v>1</v>
      </c>
      <c r="AO128" s="93">
        <f t="shared" si="168"/>
        <v>1</v>
      </c>
      <c r="AP128" s="93">
        <f t="shared" si="168"/>
        <v>1</v>
      </c>
      <c r="AQ128" s="93">
        <f t="shared" si="168"/>
        <v>1</v>
      </c>
      <c r="AR128" s="93">
        <f t="shared" si="168"/>
        <v>1</v>
      </c>
      <c r="AS128" s="93">
        <f t="shared" si="168"/>
        <v>1</v>
      </c>
      <c r="AT128" s="93">
        <f t="shared" si="168"/>
        <v>1</v>
      </c>
      <c r="AU128" s="93">
        <f t="shared" si="168"/>
        <v>1</v>
      </c>
      <c r="AV128" s="93">
        <f t="shared" si="168"/>
        <v>1</v>
      </c>
      <c r="AW128" s="93">
        <f t="shared" si="168"/>
        <v>1</v>
      </c>
      <c r="AX128" s="93">
        <f t="shared" si="168"/>
        <v>1</v>
      </c>
      <c r="AY128" s="93">
        <f t="shared" si="169"/>
        <v>1</v>
      </c>
      <c r="AZ128" s="93">
        <f t="shared" si="169"/>
        <v>1</v>
      </c>
      <c r="BA128" s="93">
        <f t="shared" si="169"/>
        <v>1</v>
      </c>
      <c r="BB128" s="93">
        <f t="shared" si="169"/>
        <v>1</v>
      </c>
      <c r="BC128" s="93">
        <f t="shared" si="169"/>
        <v>1</v>
      </c>
      <c r="BD128" s="93">
        <f t="shared" si="169"/>
        <v>1</v>
      </c>
      <c r="BE128" s="93">
        <f t="shared" si="169"/>
        <v>1</v>
      </c>
      <c r="BF128" s="93">
        <f t="shared" si="169"/>
        <v>1</v>
      </c>
      <c r="BG128" s="93">
        <f t="shared" si="169"/>
        <v>1</v>
      </c>
      <c r="BH128" s="93">
        <f t="shared" si="169"/>
        <v>1</v>
      </c>
      <c r="BI128" s="93">
        <f t="shared" si="169"/>
        <v>1</v>
      </c>
      <c r="BJ128" s="93">
        <f t="shared" si="169"/>
        <v>1</v>
      </c>
      <c r="BK128" s="93">
        <f t="shared" si="169"/>
        <v>1</v>
      </c>
      <c r="BL128" s="93">
        <f t="shared" si="169"/>
        <v>1</v>
      </c>
      <c r="BM128" s="93">
        <f t="shared" si="169"/>
        <v>1</v>
      </c>
      <c r="BN128" s="93">
        <f t="shared" si="169"/>
        <v>1</v>
      </c>
      <c r="BO128" s="93">
        <f t="shared" si="169"/>
        <v>1</v>
      </c>
      <c r="BP128" s="93">
        <f t="shared" si="169"/>
        <v>1</v>
      </c>
      <c r="BQ128" s="93">
        <f t="shared" si="169"/>
        <v>1</v>
      </c>
      <c r="BR128" s="93">
        <f t="shared" si="169"/>
        <v>1</v>
      </c>
    </row>
    <row r="129" spans="1:70" ht="15">
      <c r="A129" t="s">
        <v>16</v>
      </c>
      <c r="B129" s="5" t="str">
        <f t="shared" si="167"/>
        <v>CNK</v>
      </c>
      <c r="C129" s="5" t="str">
        <f t="shared" si="167"/>
        <v>Commercial - Cooking</v>
      </c>
      <c r="E129" s="128">
        <f t="shared" si="170"/>
        <v>0</v>
      </c>
      <c r="G129" s="295" t="s">
        <v>772</v>
      </c>
      <c r="H129" s="68">
        <f>(1-(1/(H128+1)))</f>
        <v>0.082568807339449601</v>
      </c>
      <c r="I129" s="135"/>
      <c r="L129" s="300">
        <f t="shared" si="168"/>
        <v>1</v>
      </c>
      <c r="M129" s="301">
        <f t="shared" si="168"/>
        <v>1</v>
      </c>
      <c r="N129" s="301">
        <f t="shared" si="168"/>
        <v>1</v>
      </c>
      <c r="O129" s="301">
        <f t="shared" si="168"/>
        <v>1</v>
      </c>
      <c r="P129" s="93">
        <f t="shared" si="168"/>
        <v>1</v>
      </c>
      <c r="Q129" s="93">
        <f t="shared" si="168"/>
        <v>1</v>
      </c>
      <c r="R129" s="93">
        <f t="shared" si="168"/>
        <v>1</v>
      </c>
      <c r="S129" s="93">
        <f t="shared" si="168"/>
        <v>1</v>
      </c>
      <c r="T129" s="93">
        <f t="shared" si="168"/>
        <v>1</v>
      </c>
      <c r="U129" s="93">
        <f t="shared" si="168"/>
        <v>1</v>
      </c>
      <c r="V129" s="93">
        <f t="shared" si="168"/>
        <v>1</v>
      </c>
      <c r="W129" s="93">
        <f t="shared" si="168"/>
        <v>1</v>
      </c>
      <c r="X129" s="93">
        <f t="shared" si="168"/>
        <v>1</v>
      </c>
      <c r="Y129" s="93">
        <f t="shared" si="168"/>
        <v>1</v>
      </c>
      <c r="Z129" s="93">
        <f t="shared" si="168"/>
        <v>1</v>
      </c>
      <c r="AA129" s="93">
        <f t="shared" si="168"/>
        <v>1</v>
      </c>
      <c r="AB129" s="93">
        <f t="shared" si="168"/>
        <v>1</v>
      </c>
      <c r="AC129" s="93">
        <f t="shared" si="168"/>
        <v>1</v>
      </c>
      <c r="AD129" s="93">
        <f t="shared" si="168"/>
        <v>1</v>
      </c>
      <c r="AE129" s="93">
        <f t="shared" si="168"/>
        <v>1</v>
      </c>
      <c r="AF129" s="93">
        <f t="shared" si="168"/>
        <v>1</v>
      </c>
      <c r="AG129" s="93">
        <f t="shared" si="168"/>
        <v>1</v>
      </c>
      <c r="AH129" s="93">
        <f t="shared" si="168"/>
        <v>1</v>
      </c>
      <c r="AI129" s="93">
        <f t="shared" si="168"/>
        <v>1</v>
      </c>
      <c r="AJ129" s="93">
        <f t="shared" si="168"/>
        <v>1</v>
      </c>
      <c r="AK129" s="93">
        <f t="shared" si="168"/>
        <v>1</v>
      </c>
      <c r="AL129" s="93">
        <f t="shared" si="168"/>
        <v>1</v>
      </c>
      <c r="AM129" s="93">
        <f t="shared" si="168"/>
        <v>1</v>
      </c>
      <c r="AN129" s="93">
        <f t="shared" si="168"/>
        <v>1</v>
      </c>
      <c r="AO129" s="93">
        <f t="shared" si="168"/>
        <v>1</v>
      </c>
      <c r="AP129" s="93">
        <f t="shared" si="168"/>
        <v>1</v>
      </c>
      <c r="AQ129" s="93">
        <f t="shared" si="168"/>
        <v>1</v>
      </c>
      <c r="AR129" s="93">
        <f t="shared" si="168"/>
        <v>1</v>
      </c>
      <c r="AS129" s="93">
        <f t="shared" si="168"/>
        <v>1</v>
      </c>
      <c r="AT129" s="93">
        <f t="shared" si="168"/>
        <v>1</v>
      </c>
      <c r="AU129" s="93">
        <f t="shared" si="168"/>
        <v>1</v>
      </c>
      <c r="AV129" s="93">
        <f t="shared" si="168"/>
        <v>1</v>
      </c>
      <c r="AW129" s="93">
        <f t="shared" si="168"/>
        <v>1</v>
      </c>
      <c r="AX129" s="93">
        <f t="shared" si="168"/>
        <v>1</v>
      </c>
      <c r="AY129" s="93">
        <f t="shared" si="169"/>
        <v>1</v>
      </c>
      <c r="AZ129" s="93">
        <f t="shared" si="169"/>
        <v>1</v>
      </c>
      <c r="BA129" s="93">
        <f t="shared" si="169"/>
        <v>1</v>
      </c>
      <c r="BB129" s="93">
        <f t="shared" si="169"/>
        <v>1</v>
      </c>
      <c r="BC129" s="93">
        <f t="shared" si="169"/>
        <v>1</v>
      </c>
      <c r="BD129" s="93">
        <f t="shared" si="169"/>
        <v>1</v>
      </c>
      <c r="BE129" s="93">
        <f t="shared" si="169"/>
        <v>1</v>
      </c>
      <c r="BF129" s="93">
        <f t="shared" si="169"/>
        <v>1</v>
      </c>
      <c r="BG129" s="93">
        <f t="shared" si="169"/>
        <v>1</v>
      </c>
      <c r="BH129" s="93">
        <f t="shared" si="169"/>
        <v>1</v>
      </c>
      <c r="BI129" s="93">
        <f t="shared" si="169"/>
        <v>1</v>
      </c>
      <c r="BJ129" s="93">
        <f t="shared" si="169"/>
        <v>1</v>
      </c>
      <c r="BK129" s="93">
        <f t="shared" si="169"/>
        <v>1</v>
      </c>
      <c r="BL129" s="93">
        <f t="shared" si="169"/>
        <v>1</v>
      </c>
      <c r="BM129" s="93">
        <f t="shared" si="169"/>
        <v>1</v>
      </c>
      <c r="BN129" s="93">
        <f t="shared" si="169"/>
        <v>1</v>
      </c>
      <c r="BO129" s="93">
        <f t="shared" si="169"/>
        <v>1</v>
      </c>
      <c r="BP129" s="93">
        <f t="shared" si="169"/>
        <v>1</v>
      </c>
      <c r="BQ129" s="93">
        <f t="shared" si="169"/>
        <v>1</v>
      </c>
      <c r="BR129" s="93">
        <f t="shared" si="169"/>
        <v>1</v>
      </c>
    </row>
    <row r="130" spans="1:70" ht="15">
      <c r="A130" t="s">
        <v>16</v>
      </c>
      <c r="B130" s="5" t="str">
        <f t="shared" si="167"/>
        <v>CNL</v>
      </c>
      <c r="C130" s="5" t="str">
        <f t="shared" si="167"/>
        <v>Commercial - Lighting</v>
      </c>
      <c r="E130" s="128">
        <f t="shared" si="170"/>
        <v>0</v>
      </c>
      <c r="G130" s="295"/>
      <c r="I130" s="135"/>
      <c r="L130" s="300">
        <f t="shared" si="168"/>
        <v>1</v>
      </c>
      <c r="M130" s="301">
        <f t="shared" si="168"/>
        <v>1</v>
      </c>
      <c r="N130" s="301">
        <f t="shared" si="168"/>
        <v>1</v>
      </c>
      <c r="O130" s="301">
        <f t="shared" si="168"/>
        <v>1</v>
      </c>
      <c r="P130" s="93">
        <f t="shared" si="168"/>
        <v>1</v>
      </c>
      <c r="Q130" s="93">
        <f t="shared" si="168"/>
        <v>1</v>
      </c>
      <c r="R130" s="93">
        <f t="shared" si="168"/>
        <v>1</v>
      </c>
      <c r="S130" s="93">
        <f t="shared" si="168"/>
        <v>1</v>
      </c>
      <c r="T130" s="93">
        <f t="shared" si="168"/>
        <v>1</v>
      </c>
      <c r="U130" s="93">
        <f t="shared" si="168"/>
        <v>1</v>
      </c>
      <c r="V130" s="93">
        <f t="shared" si="168"/>
        <v>1</v>
      </c>
      <c r="W130" s="93">
        <f t="shared" si="168"/>
        <v>1</v>
      </c>
      <c r="X130" s="93">
        <f t="shared" si="168"/>
        <v>1</v>
      </c>
      <c r="Y130" s="93">
        <f t="shared" si="168"/>
        <v>1</v>
      </c>
      <c r="Z130" s="93">
        <f t="shared" si="168"/>
        <v>1</v>
      </c>
      <c r="AA130" s="93">
        <f t="shared" si="168"/>
        <v>1</v>
      </c>
      <c r="AB130" s="93">
        <f t="shared" si="168"/>
        <v>1</v>
      </c>
      <c r="AC130" s="93">
        <f t="shared" si="168"/>
        <v>1</v>
      </c>
      <c r="AD130" s="93">
        <f t="shared" si="168"/>
        <v>1</v>
      </c>
      <c r="AE130" s="93">
        <f t="shared" si="168"/>
        <v>1</v>
      </c>
      <c r="AF130" s="93">
        <f t="shared" si="168"/>
        <v>1</v>
      </c>
      <c r="AG130" s="93">
        <f t="shared" si="168"/>
        <v>1</v>
      </c>
      <c r="AH130" s="93">
        <f t="shared" si="168"/>
        <v>1</v>
      </c>
      <c r="AI130" s="93">
        <f t="shared" si="168"/>
        <v>1</v>
      </c>
      <c r="AJ130" s="93">
        <f t="shared" si="168"/>
        <v>1</v>
      </c>
      <c r="AK130" s="93">
        <f t="shared" si="168"/>
        <v>1</v>
      </c>
      <c r="AL130" s="93">
        <f t="shared" si="168"/>
        <v>1</v>
      </c>
      <c r="AM130" s="93">
        <f t="shared" si="168"/>
        <v>1</v>
      </c>
      <c r="AN130" s="93">
        <f t="shared" si="168"/>
        <v>1</v>
      </c>
      <c r="AO130" s="93">
        <f t="shared" si="168"/>
        <v>1</v>
      </c>
      <c r="AP130" s="93">
        <f t="shared" si="168"/>
        <v>1</v>
      </c>
      <c r="AQ130" s="93">
        <f t="shared" si="168"/>
        <v>1</v>
      </c>
      <c r="AR130" s="93">
        <f t="shared" si="168"/>
        <v>1</v>
      </c>
      <c r="AS130" s="93">
        <f t="shared" si="168"/>
        <v>1</v>
      </c>
      <c r="AT130" s="93">
        <f t="shared" si="168"/>
        <v>1</v>
      </c>
      <c r="AU130" s="93">
        <f t="shared" si="168"/>
        <v>1</v>
      </c>
      <c r="AV130" s="93">
        <f t="shared" si="168"/>
        <v>1</v>
      </c>
      <c r="AW130" s="93">
        <f t="shared" si="168"/>
        <v>1</v>
      </c>
      <c r="AX130" s="93">
        <f t="shared" si="168"/>
        <v>1</v>
      </c>
      <c r="AY130" s="93">
        <f t="shared" si="169"/>
        <v>1</v>
      </c>
      <c r="AZ130" s="93">
        <f t="shared" si="169"/>
        <v>1</v>
      </c>
      <c r="BA130" s="93">
        <f t="shared" si="169"/>
        <v>1</v>
      </c>
      <c r="BB130" s="93">
        <f t="shared" si="169"/>
        <v>1</v>
      </c>
      <c r="BC130" s="93">
        <f t="shared" si="169"/>
        <v>1</v>
      </c>
      <c r="BD130" s="93">
        <f t="shared" si="169"/>
        <v>1</v>
      </c>
      <c r="BE130" s="93">
        <f t="shared" si="169"/>
        <v>1</v>
      </c>
      <c r="BF130" s="93">
        <f t="shared" si="169"/>
        <v>1</v>
      </c>
      <c r="BG130" s="93">
        <f t="shared" si="169"/>
        <v>1</v>
      </c>
      <c r="BH130" s="93">
        <f t="shared" si="169"/>
        <v>1</v>
      </c>
      <c r="BI130" s="93">
        <f t="shared" si="169"/>
        <v>1</v>
      </c>
      <c r="BJ130" s="93">
        <f t="shared" si="169"/>
        <v>1</v>
      </c>
      <c r="BK130" s="93">
        <f t="shared" si="169"/>
        <v>1</v>
      </c>
      <c r="BL130" s="93">
        <f t="shared" si="169"/>
        <v>1</v>
      </c>
      <c r="BM130" s="93">
        <f t="shared" si="169"/>
        <v>1</v>
      </c>
      <c r="BN130" s="93">
        <f t="shared" si="169"/>
        <v>1</v>
      </c>
      <c r="BO130" s="93">
        <f t="shared" si="169"/>
        <v>1</v>
      </c>
      <c r="BP130" s="93">
        <f t="shared" si="169"/>
        <v>1</v>
      </c>
      <c r="BQ130" s="93">
        <f t="shared" si="169"/>
        <v>1</v>
      </c>
      <c r="BR130" s="93">
        <f t="shared" si="169"/>
        <v>1</v>
      </c>
    </row>
    <row r="131" spans="1:70" ht="15">
      <c r="A131" t="s">
        <v>16</v>
      </c>
      <c r="B131" s="5" t="str">
        <f t="shared" si="167"/>
        <v>CNR</v>
      </c>
      <c r="C131" s="5" t="str">
        <f t="shared" si="167"/>
        <v>Commercial - Refrigeration</v>
      </c>
      <c r="E131" s="128">
        <f t="shared" si="170"/>
        <v>0</v>
      </c>
      <c r="G131" s="295"/>
      <c r="I131" s="135"/>
      <c r="L131" s="300">
        <f t="shared" si="168"/>
        <v>1</v>
      </c>
      <c r="M131" s="301">
        <f t="shared" si="168"/>
        <v>1</v>
      </c>
      <c r="N131" s="301">
        <f t="shared" si="168"/>
        <v>1</v>
      </c>
      <c r="O131" s="301">
        <f t="shared" si="168"/>
        <v>1</v>
      </c>
      <c r="P131" s="93">
        <f>P120*(1-$E131)</f>
        <v>1</v>
      </c>
      <c r="Q131" s="93">
        <f t="shared" si="168"/>
        <v>1</v>
      </c>
      <c r="R131" s="93">
        <f t="shared" si="168"/>
        <v>1</v>
      </c>
      <c r="S131" s="93">
        <f t="shared" si="168"/>
        <v>1</v>
      </c>
      <c r="T131" s="93">
        <f t="shared" si="168"/>
        <v>1</v>
      </c>
      <c r="U131" s="93">
        <f t="shared" si="168"/>
        <v>1</v>
      </c>
      <c r="V131" s="93">
        <f t="shared" si="168"/>
        <v>1</v>
      </c>
      <c r="W131" s="93">
        <f t="shared" si="168"/>
        <v>1</v>
      </c>
      <c r="X131" s="93">
        <f t="shared" si="168"/>
        <v>1</v>
      </c>
      <c r="Y131" s="93">
        <f t="shared" si="168"/>
        <v>1</v>
      </c>
      <c r="Z131" s="93">
        <f t="shared" si="168"/>
        <v>1</v>
      </c>
      <c r="AA131" s="93">
        <f t="shared" si="168"/>
        <v>1</v>
      </c>
      <c r="AB131" s="93">
        <f t="shared" si="168"/>
        <v>1</v>
      </c>
      <c r="AC131" s="93">
        <f t="shared" si="168"/>
        <v>1</v>
      </c>
      <c r="AD131" s="93">
        <f t="shared" si="168"/>
        <v>1</v>
      </c>
      <c r="AE131" s="93">
        <f t="shared" si="168"/>
        <v>1</v>
      </c>
      <c r="AF131" s="93">
        <f t="shared" si="168"/>
        <v>1</v>
      </c>
      <c r="AG131" s="93">
        <f t="shared" si="168"/>
        <v>1</v>
      </c>
      <c r="AH131" s="93">
        <f t="shared" si="168"/>
        <v>1</v>
      </c>
      <c r="AI131" s="93">
        <f t="shared" si="168"/>
        <v>1</v>
      </c>
      <c r="AJ131" s="93">
        <f t="shared" si="168"/>
        <v>1</v>
      </c>
      <c r="AK131" s="93">
        <f t="shared" si="168"/>
        <v>1</v>
      </c>
      <c r="AL131" s="93">
        <f t="shared" si="168"/>
        <v>1</v>
      </c>
      <c r="AM131" s="93">
        <f t="shared" si="168"/>
        <v>1</v>
      </c>
      <c r="AN131" s="93">
        <f t="shared" si="168"/>
        <v>1</v>
      </c>
      <c r="AO131" s="93">
        <f t="shared" si="168"/>
        <v>1</v>
      </c>
      <c r="AP131" s="93">
        <f t="shared" si="168"/>
        <v>1</v>
      </c>
      <c r="AQ131" s="93">
        <f t="shared" si="168"/>
        <v>1</v>
      </c>
      <c r="AR131" s="93">
        <f t="shared" si="168"/>
        <v>1</v>
      </c>
      <c r="AS131" s="93">
        <f t="shared" si="168"/>
        <v>1</v>
      </c>
      <c r="AT131" s="93">
        <f t="shared" si="168"/>
        <v>1</v>
      </c>
      <c r="AU131" s="93">
        <f t="shared" si="168"/>
        <v>1</v>
      </c>
      <c r="AV131" s="93">
        <f t="shared" si="168"/>
        <v>1</v>
      </c>
      <c r="AW131" s="93">
        <f t="shared" si="168"/>
        <v>1</v>
      </c>
      <c r="AX131" s="93">
        <f t="shared" si="168"/>
        <v>1</v>
      </c>
      <c r="AY131" s="93">
        <f t="shared" si="169"/>
        <v>1</v>
      </c>
      <c r="AZ131" s="93">
        <f t="shared" si="169"/>
        <v>1</v>
      </c>
      <c r="BA131" s="93">
        <f t="shared" si="169"/>
        <v>1</v>
      </c>
      <c r="BB131" s="93">
        <f t="shared" si="169"/>
        <v>1</v>
      </c>
      <c r="BC131" s="93">
        <f t="shared" si="169"/>
        <v>1</v>
      </c>
      <c r="BD131" s="93">
        <f t="shared" si="169"/>
        <v>1</v>
      </c>
      <c r="BE131" s="93">
        <f t="shared" si="169"/>
        <v>1</v>
      </c>
      <c r="BF131" s="93">
        <f t="shared" si="169"/>
        <v>1</v>
      </c>
      <c r="BG131" s="93">
        <f t="shared" si="169"/>
        <v>1</v>
      </c>
      <c r="BH131" s="93">
        <f t="shared" si="169"/>
        <v>1</v>
      </c>
      <c r="BI131" s="93">
        <f t="shared" si="169"/>
        <v>1</v>
      </c>
      <c r="BJ131" s="93">
        <f t="shared" si="169"/>
        <v>1</v>
      </c>
      <c r="BK131" s="93">
        <f t="shared" si="169"/>
        <v>1</v>
      </c>
      <c r="BL131" s="93">
        <f t="shared" si="169"/>
        <v>1</v>
      </c>
      <c r="BM131" s="93">
        <f t="shared" si="169"/>
        <v>1</v>
      </c>
      <c r="BN131" s="93">
        <f t="shared" si="169"/>
        <v>1</v>
      </c>
      <c r="BO131" s="93">
        <f t="shared" si="169"/>
        <v>1</v>
      </c>
      <c r="BP131" s="93">
        <f t="shared" si="169"/>
        <v>1</v>
      </c>
      <c r="BQ131" s="93">
        <f t="shared" si="169"/>
        <v>1</v>
      </c>
      <c r="BR131" s="93">
        <f t="shared" si="169"/>
        <v>1</v>
      </c>
    </row>
    <row r="132" spans="1:70" ht="15">
      <c r="A132" t="s">
        <v>16</v>
      </c>
      <c r="B132" s="5" t="str">
        <f t="shared" si="167"/>
        <v>CNW</v>
      </c>
      <c r="C132" s="5" t="str">
        <f t="shared" si="167"/>
        <v>Commercial - Water Heating</v>
      </c>
      <c r="E132" s="128">
        <f t="shared" si="170"/>
        <v>0</v>
      </c>
      <c r="G132" s="295"/>
      <c r="I132" s="135"/>
      <c r="L132" s="300">
        <f t="shared" si="168"/>
        <v>1</v>
      </c>
      <c r="M132" s="301">
        <f t="shared" si="168"/>
        <v>1</v>
      </c>
      <c r="N132" s="301">
        <f t="shared" si="168"/>
        <v>1</v>
      </c>
      <c r="O132" s="301">
        <f t="shared" si="168"/>
        <v>1</v>
      </c>
      <c r="P132" s="93">
        <f t="shared" si="168"/>
        <v>1</v>
      </c>
      <c r="Q132" s="93">
        <f t="shared" si="168"/>
        <v>1</v>
      </c>
      <c r="R132" s="93">
        <f t="shared" si="168"/>
        <v>1</v>
      </c>
      <c r="S132" s="93">
        <f t="shared" si="168"/>
        <v>1</v>
      </c>
      <c r="T132" s="93">
        <f t="shared" si="168"/>
        <v>1</v>
      </c>
      <c r="U132" s="93">
        <f t="shared" si="168"/>
        <v>1</v>
      </c>
      <c r="V132" s="93">
        <f t="shared" si="168"/>
        <v>1</v>
      </c>
      <c r="W132" s="93">
        <f t="shared" si="168"/>
        <v>1</v>
      </c>
      <c r="X132" s="93">
        <f t="shared" si="168"/>
        <v>1</v>
      </c>
      <c r="Y132" s="93">
        <f t="shared" si="168"/>
        <v>1</v>
      </c>
      <c r="Z132" s="93">
        <f t="shared" si="168"/>
        <v>1</v>
      </c>
      <c r="AA132" s="93">
        <f t="shared" si="168"/>
        <v>1</v>
      </c>
      <c r="AB132" s="93">
        <f t="shared" si="168"/>
        <v>1</v>
      </c>
      <c r="AC132" s="93">
        <f t="shared" si="168"/>
        <v>1</v>
      </c>
      <c r="AD132" s="93">
        <f t="shared" si="168"/>
        <v>1</v>
      </c>
      <c r="AE132" s="93">
        <f t="shared" si="168"/>
        <v>1</v>
      </c>
      <c r="AF132" s="93">
        <f t="shared" si="168"/>
        <v>1</v>
      </c>
      <c r="AG132" s="93">
        <f t="shared" si="168"/>
        <v>1</v>
      </c>
      <c r="AH132" s="93">
        <f t="shared" si="168"/>
        <v>1</v>
      </c>
      <c r="AI132" s="93">
        <f t="shared" si="168"/>
        <v>1</v>
      </c>
      <c r="AJ132" s="93">
        <f t="shared" si="168"/>
        <v>1</v>
      </c>
      <c r="AK132" s="93">
        <f t="shared" si="168"/>
        <v>1</v>
      </c>
      <c r="AL132" s="93">
        <f t="shared" si="168"/>
        <v>1</v>
      </c>
      <c r="AM132" s="93">
        <f t="shared" si="168"/>
        <v>1</v>
      </c>
      <c r="AN132" s="93">
        <f t="shared" si="168"/>
        <v>1</v>
      </c>
      <c r="AO132" s="93">
        <f t="shared" si="168"/>
        <v>1</v>
      </c>
      <c r="AP132" s="93">
        <f t="shared" si="168"/>
        <v>1</v>
      </c>
      <c r="AQ132" s="93">
        <f t="shared" si="168"/>
        <v>1</v>
      </c>
      <c r="AR132" s="93">
        <f t="shared" si="168"/>
        <v>1</v>
      </c>
      <c r="AS132" s="93">
        <f t="shared" si="168"/>
        <v>1</v>
      </c>
      <c r="AT132" s="93">
        <f t="shared" si="168"/>
        <v>1</v>
      </c>
      <c r="AU132" s="93">
        <f t="shared" si="168"/>
        <v>1</v>
      </c>
      <c r="AV132" s="93">
        <f t="shared" si="168"/>
        <v>1</v>
      </c>
      <c r="AW132" s="93">
        <f t="shared" si="168"/>
        <v>1</v>
      </c>
      <c r="AX132" s="93">
        <f t="shared" si="168"/>
        <v>1</v>
      </c>
      <c r="AY132" s="93">
        <f t="shared" si="169"/>
        <v>1</v>
      </c>
      <c r="AZ132" s="93">
        <f t="shared" si="169"/>
        <v>1</v>
      </c>
      <c r="BA132" s="93">
        <f t="shared" si="169"/>
        <v>1</v>
      </c>
      <c r="BB132" s="93">
        <f t="shared" si="169"/>
        <v>1</v>
      </c>
      <c r="BC132" s="93">
        <f t="shared" si="169"/>
        <v>1</v>
      </c>
      <c r="BD132" s="93">
        <f t="shared" si="169"/>
        <v>1</v>
      </c>
      <c r="BE132" s="93">
        <f t="shared" si="169"/>
        <v>1</v>
      </c>
      <c r="BF132" s="93">
        <f t="shared" si="169"/>
        <v>1</v>
      </c>
      <c r="BG132" s="93">
        <f t="shared" si="169"/>
        <v>1</v>
      </c>
      <c r="BH132" s="93">
        <f t="shared" si="169"/>
        <v>1</v>
      </c>
      <c r="BI132" s="93">
        <f t="shared" si="169"/>
        <v>1</v>
      </c>
      <c r="BJ132" s="93">
        <f t="shared" si="169"/>
        <v>1</v>
      </c>
      <c r="BK132" s="93">
        <f t="shared" si="169"/>
        <v>1</v>
      </c>
      <c r="BL132" s="93">
        <f t="shared" si="169"/>
        <v>1</v>
      </c>
      <c r="BM132" s="93">
        <f t="shared" si="169"/>
        <v>1</v>
      </c>
      <c r="BN132" s="93">
        <f t="shared" si="169"/>
        <v>1</v>
      </c>
      <c r="BO132" s="93">
        <f t="shared" si="169"/>
        <v>1</v>
      </c>
      <c r="BP132" s="93">
        <f t="shared" si="169"/>
        <v>1</v>
      </c>
      <c r="BQ132" s="93">
        <f t="shared" si="169"/>
        <v>1</v>
      </c>
      <c r="BR132" s="93">
        <f t="shared" si="169"/>
        <v>1</v>
      </c>
    </row>
    <row r="133" spans="1:70" ht="15">
      <c r="A133" t="s">
        <v>16</v>
      </c>
      <c r="B133" s="5" t="str">
        <f t="shared" si="167"/>
        <v>CNG</v>
      </c>
      <c r="C133" s="5" t="str">
        <f t="shared" si="167"/>
        <v>Commercial - Public lights</v>
      </c>
      <c r="E133" s="128">
        <f t="shared" si="170"/>
        <v>0</v>
      </c>
      <c r="G133" s="295"/>
      <c r="I133" s="135"/>
      <c r="L133" s="300">
        <f t="shared" si="168"/>
        <v>1</v>
      </c>
      <c r="M133" s="301">
        <f t="shared" si="168"/>
        <v>1</v>
      </c>
      <c r="N133" s="301">
        <f t="shared" si="168"/>
        <v>1</v>
      </c>
      <c r="O133" s="301">
        <f t="shared" si="168"/>
        <v>1</v>
      </c>
      <c r="P133" s="93">
        <f t="shared" si="168"/>
        <v>1</v>
      </c>
      <c r="Q133" s="93">
        <f t="shared" si="168"/>
        <v>1</v>
      </c>
      <c r="R133" s="93">
        <f t="shared" si="168"/>
        <v>1</v>
      </c>
      <c r="S133" s="93">
        <f t="shared" si="168"/>
        <v>1</v>
      </c>
      <c r="T133" s="93">
        <f t="shared" si="168"/>
        <v>1</v>
      </c>
      <c r="U133" s="93">
        <f t="shared" si="168"/>
        <v>1</v>
      </c>
      <c r="V133" s="93">
        <f t="shared" si="168"/>
        <v>1</v>
      </c>
      <c r="W133" s="93">
        <f t="shared" si="168"/>
        <v>1</v>
      </c>
      <c r="X133" s="93">
        <f t="shared" si="168"/>
        <v>1</v>
      </c>
      <c r="Y133" s="93">
        <f t="shared" si="168"/>
        <v>1</v>
      </c>
      <c r="Z133" s="93">
        <f t="shared" si="168"/>
        <v>1</v>
      </c>
      <c r="AA133" s="93">
        <f t="shared" si="168"/>
        <v>1</v>
      </c>
      <c r="AB133" s="93">
        <f t="shared" si="168"/>
        <v>1</v>
      </c>
      <c r="AC133" s="93">
        <f t="shared" si="168"/>
        <v>1</v>
      </c>
      <c r="AD133" s="93">
        <f t="shared" si="168"/>
        <v>1</v>
      </c>
      <c r="AE133" s="93">
        <f t="shared" si="168"/>
        <v>1</v>
      </c>
      <c r="AF133" s="93">
        <f t="shared" si="168"/>
        <v>1</v>
      </c>
      <c r="AG133" s="93">
        <f t="shared" si="168"/>
        <v>1</v>
      </c>
      <c r="AH133" s="93">
        <f t="shared" si="171" ref="AH133:AX135">AH122*(1-$E133)</f>
        <v>1</v>
      </c>
      <c r="AI133" s="93">
        <f t="shared" si="171"/>
        <v>1</v>
      </c>
      <c r="AJ133" s="93">
        <f t="shared" si="171"/>
        <v>1</v>
      </c>
      <c r="AK133" s="93">
        <f t="shared" si="171"/>
        <v>1</v>
      </c>
      <c r="AL133" s="93">
        <f t="shared" si="171"/>
        <v>1</v>
      </c>
      <c r="AM133" s="93">
        <f t="shared" si="171"/>
        <v>1</v>
      </c>
      <c r="AN133" s="93">
        <f t="shared" si="171"/>
        <v>1</v>
      </c>
      <c r="AO133" s="93">
        <f t="shared" si="171"/>
        <v>1</v>
      </c>
      <c r="AP133" s="93">
        <f t="shared" si="171"/>
        <v>1</v>
      </c>
      <c r="AQ133" s="93">
        <f t="shared" si="171"/>
        <v>1</v>
      </c>
      <c r="AR133" s="93">
        <f t="shared" si="171"/>
        <v>1</v>
      </c>
      <c r="AS133" s="93">
        <f t="shared" si="171"/>
        <v>1</v>
      </c>
      <c r="AT133" s="93">
        <f t="shared" si="171"/>
        <v>1</v>
      </c>
      <c r="AU133" s="93">
        <f t="shared" si="171"/>
        <v>1</v>
      </c>
      <c r="AV133" s="93">
        <f t="shared" si="171"/>
        <v>1</v>
      </c>
      <c r="AW133" s="93">
        <f t="shared" si="171"/>
        <v>1</v>
      </c>
      <c r="AX133" s="93">
        <f t="shared" si="171"/>
        <v>1</v>
      </c>
      <c r="AY133" s="93">
        <f t="shared" si="172" ref="AY133:BR133">AY122*(1-$E133)</f>
        <v>1</v>
      </c>
      <c r="AZ133" s="93">
        <f t="shared" si="172"/>
        <v>1</v>
      </c>
      <c r="BA133" s="93">
        <f t="shared" si="172"/>
        <v>1</v>
      </c>
      <c r="BB133" s="93">
        <f t="shared" si="172"/>
        <v>1</v>
      </c>
      <c r="BC133" s="93">
        <f t="shared" si="172"/>
        <v>1</v>
      </c>
      <c r="BD133" s="93">
        <f t="shared" si="172"/>
        <v>1</v>
      </c>
      <c r="BE133" s="93">
        <f t="shared" si="172"/>
        <v>1</v>
      </c>
      <c r="BF133" s="93">
        <f t="shared" si="172"/>
        <v>1</v>
      </c>
      <c r="BG133" s="93">
        <f t="shared" si="172"/>
        <v>1</v>
      </c>
      <c r="BH133" s="93">
        <f t="shared" si="172"/>
        <v>1</v>
      </c>
      <c r="BI133" s="93">
        <f t="shared" si="172"/>
        <v>1</v>
      </c>
      <c r="BJ133" s="93">
        <f t="shared" si="172"/>
        <v>1</v>
      </c>
      <c r="BK133" s="93">
        <f>BK122*(1-$E133)</f>
        <v>1</v>
      </c>
      <c r="BL133" s="93">
        <f t="shared" si="172"/>
        <v>1</v>
      </c>
      <c r="BM133" s="93">
        <f t="shared" si="172"/>
        <v>1</v>
      </c>
      <c r="BN133" s="93">
        <f t="shared" si="172"/>
        <v>1</v>
      </c>
      <c r="BO133" s="93">
        <f t="shared" si="172"/>
        <v>1</v>
      </c>
      <c r="BP133" s="93">
        <f t="shared" si="172"/>
        <v>1</v>
      </c>
      <c r="BQ133" s="93">
        <f t="shared" si="172"/>
        <v>1</v>
      </c>
      <c r="BR133" s="93">
        <f t="shared" si="172"/>
        <v>1</v>
      </c>
    </row>
    <row r="134" spans="1:70" ht="15">
      <c r="A134" t="s">
        <v>16</v>
      </c>
      <c r="B134" s="5" t="str">
        <f t="shared" si="167"/>
        <v>CNT</v>
      </c>
      <c r="C134" s="5" t="str">
        <f t="shared" si="167"/>
        <v>Commercial - Public Water</v>
      </c>
      <c r="E134" s="128">
        <f t="shared" si="170"/>
        <v>0</v>
      </c>
      <c r="F134" s="75" t="s">
        <v>776</v>
      </c>
      <c r="H134" s="68">
        <f>IF(N57=1,54%,0)</f>
        <v>0</v>
      </c>
      <c r="I134" s="135"/>
      <c r="L134" s="300">
        <f t="shared" si="173" ref="L134:AX135">L123*(1-$E134)</f>
        <v>1</v>
      </c>
      <c r="M134" s="301">
        <f t="shared" si="173"/>
        <v>1</v>
      </c>
      <c r="N134" s="301">
        <f t="shared" si="173"/>
        <v>1</v>
      </c>
      <c r="O134" s="301">
        <f t="shared" si="173"/>
        <v>1</v>
      </c>
      <c r="P134" s="93">
        <f t="shared" si="173"/>
        <v>1</v>
      </c>
      <c r="Q134" s="93">
        <f t="shared" si="173"/>
        <v>1</v>
      </c>
      <c r="R134" s="93">
        <f t="shared" si="173"/>
        <v>1</v>
      </c>
      <c r="S134" s="93">
        <f t="shared" si="173"/>
        <v>1</v>
      </c>
      <c r="T134" s="93">
        <f t="shared" si="173"/>
        <v>1</v>
      </c>
      <c r="U134" s="93">
        <f t="shared" si="173"/>
        <v>1</v>
      </c>
      <c r="V134" s="93">
        <f t="shared" si="173"/>
        <v>1</v>
      </c>
      <c r="W134" s="93">
        <f t="shared" si="173"/>
        <v>1</v>
      </c>
      <c r="X134" s="93">
        <f t="shared" si="173"/>
        <v>1</v>
      </c>
      <c r="Y134" s="93">
        <f t="shared" si="173"/>
        <v>1</v>
      </c>
      <c r="Z134" s="93">
        <f t="shared" si="173"/>
        <v>1</v>
      </c>
      <c r="AA134" s="93">
        <f t="shared" si="173"/>
        <v>1</v>
      </c>
      <c r="AB134" s="93">
        <f t="shared" si="173"/>
        <v>1</v>
      </c>
      <c r="AC134" s="93">
        <f t="shared" si="173"/>
        <v>1</v>
      </c>
      <c r="AD134" s="93">
        <f t="shared" si="173"/>
        <v>1</v>
      </c>
      <c r="AE134" s="93">
        <f t="shared" si="173"/>
        <v>1</v>
      </c>
      <c r="AF134" s="93">
        <f t="shared" si="173"/>
        <v>1</v>
      </c>
      <c r="AG134" s="93">
        <f t="shared" si="173"/>
        <v>1</v>
      </c>
      <c r="AH134" s="93">
        <f t="shared" si="173"/>
        <v>1</v>
      </c>
      <c r="AI134" s="93">
        <f t="shared" si="173"/>
        <v>1</v>
      </c>
      <c r="AJ134" s="93">
        <f t="shared" si="173"/>
        <v>1</v>
      </c>
      <c r="AK134" s="93">
        <f t="shared" si="171"/>
        <v>1</v>
      </c>
      <c r="AL134" s="93">
        <f t="shared" si="171"/>
        <v>1</v>
      </c>
      <c r="AM134" s="93">
        <f t="shared" si="171"/>
        <v>1</v>
      </c>
      <c r="AN134" s="93">
        <f t="shared" si="171"/>
        <v>1</v>
      </c>
      <c r="AO134" s="93">
        <f t="shared" si="171"/>
        <v>1</v>
      </c>
      <c r="AP134" s="93">
        <f t="shared" si="171"/>
        <v>1</v>
      </c>
      <c r="AQ134" s="93">
        <f t="shared" si="171"/>
        <v>1</v>
      </c>
      <c r="AR134" s="93">
        <f t="shared" si="171"/>
        <v>1</v>
      </c>
      <c r="AS134" s="93">
        <f t="shared" si="171"/>
        <v>1</v>
      </c>
      <c r="AT134" s="93">
        <f t="shared" si="171"/>
        <v>1</v>
      </c>
      <c r="AU134" s="93">
        <f t="shared" si="173"/>
        <v>1</v>
      </c>
      <c r="AV134" s="93">
        <f t="shared" si="173"/>
        <v>1</v>
      </c>
      <c r="AW134" s="93">
        <f t="shared" si="173"/>
        <v>1</v>
      </c>
      <c r="AX134" s="93">
        <f t="shared" si="173"/>
        <v>1</v>
      </c>
      <c r="AY134" s="93">
        <f t="shared" si="174" ref="AY134:BR134">AY123*(1-$E134)</f>
        <v>1</v>
      </c>
      <c r="AZ134" s="93">
        <f t="shared" si="174"/>
        <v>1</v>
      </c>
      <c r="BA134" s="93">
        <f t="shared" si="174"/>
        <v>1</v>
      </c>
      <c r="BB134" s="93">
        <f t="shared" si="174"/>
        <v>1</v>
      </c>
      <c r="BC134" s="93">
        <f t="shared" si="174"/>
        <v>1</v>
      </c>
      <c r="BD134" s="93">
        <f t="shared" si="174"/>
        <v>1</v>
      </c>
      <c r="BE134" s="93">
        <f t="shared" si="174"/>
        <v>1</v>
      </c>
      <c r="BF134" s="93">
        <f t="shared" si="174"/>
        <v>1</v>
      </c>
      <c r="BG134" s="93">
        <f t="shared" si="174"/>
        <v>1</v>
      </c>
      <c r="BH134" s="93">
        <f t="shared" si="174"/>
        <v>1</v>
      </c>
      <c r="BI134" s="93">
        <f t="shared" si="174"/>
        <v>1</v>
      </c>
      <c r="BJ134" s="93">
        <f t="shared" si="174"/>
        <v>1</v>
      </c>
      <c r="BK134" s="93">
        <f t="shared" si="174"/>
        <v>1</v>
      </c>
      <c r="BL134" s="93">
        <f t="shared" si="174"/>
        <v>1</v>
      </c>
      <c r="BM134" s="93">
        <f t="shared" si="174"/>
        <v>1</v>
      </c>
      <c r="BN134" s="93">
        <f t="shared" si="174"/>
        <v>1</v>
      </c>
      <c r="BO134" s="93">
        <f t="shared" si="174"/>
        <v>1</v>
      </c>
      <c r="BP134" s="93">
        <f t="shared" si="174"/>
        <v>1</v>
      </c>
      <c r="BQ134" s="93">
        <f t="shared" si="174"/>
        <v>1</v>
      </c>
      <c r="BR134" s="93">
        <f t="shared" si="174"/>
        <v>1</v>
      </c>
    </row>
    <row r="135" spans="1:70" ht="15">
      <c r="A135" t="s">
        <v>16</v>
      </c>
      <c r="B135" s="5" t="str">
        <f t="shared" si="167"/>
        <v>CNO</v>
      </c>
      <c r="C135" s="5" t="str">
        <f t="shared" si="167"/>
        <v>Commercial - Other</v>
      </c>
      <c r="E135" s="128">
        <f t="shared" si="170"/>
        <v>0</v>
      </c>
      <c r="F135" s="75" t="s">
        <v>778</v>
      </c>
      <c r="G135" s="297"/>
      <c r="H135" s="127">
        <f>H134-H124</f>
        <v>0</v>
      </c>
      <c r="I135" s="135"/>
      <c r="L135" s="300">
        <f t="shared" si="173"/>
        <v>1</v>
      </c>
      <c r="M135" s="301">
        <f t="shared" si="173"/>
        <v>1</v>
      </c>
      <c r="N135" s="301">
        <f t="shared" si="173"/>
        <v>1</v>
      </c>
      <c r="O135" s="301">
        <f t="shared" si="173"/>
        <v>1</v>
      </c>
      <c r="P135" s="93">
        <f t="shared" si="173"/>
        <v>1</v>
      </c>
      <c r="Q135" s="93">
        <f t="shared" si="173"/>
        <v>1</v>
      </c>
      <c r="R135" s="93">
        <f t="shared" si="173"/>
        <v>1</v>
      </c>
      <c r="S135" s="93">
        <f t="shared" si="173"/>
        <v>1</v>
      </c>
      <c r="T135" s="93">
        <f t="shared" si="173"/>
        <v>1</v>
      </c>
      <c r="U135" s="93">
        <f t="shared" si="173"/>
        <v>1</v>
      </c>
      <c r="V135" s="93">
        <f t="shared" si="173"/>
        <v>1</v>
      </c>
      <c r="W135" s="93">
        <f t="shared" si="173"/>
        <v>1</v>
      </c>
      <c r="X135" s="93">
        <f t="shared" si="173"/>
        <v>1</v>
      </c>
      <c r="Y135" s="93">
        <f t="shared" si="173"/>
        <v>1</v>
      </c>
      <c r="Z135" s="93">
        <f t="shared" si="173"/>
        <v>1</v>
      </c>
      <c r="AA135" s="93">
        <f t="shared" si="173"/>
        <v>1</v>
      </c>
      <c r="AB135" s="93">
        <f t="shared" si="173"/>
        <v>1</v>
      </c>
      <c r="AC135" s="93">
        <f t="shared" si="173"/>
        <v>1</v>
      </c>
      <c r="AD135" s="93">
        <f t="shared" si="173"/>
        <v>1</v>
      </c>
      <c r="AE135" s="93">
        <f t="shared" si="173"/>
        <v>1</v>
      </c>
      <c r="AF135" s="93">
        <f t="shared" si="173"/>
        <v>1</v>
      </c>
      <c r="AG135" s="93">
        <f t="shared" si="173"/>
        <v>1</v>
      </c>
      <c r="AH135" s="93">
        <f t="shared" si="173"/>
        <v>1</v>
      </c>
      <c r="AI135" s="93">
        <f t="shared" si="173"/>
        <v>1</v>
      </c>
      <c r="AJ135" s="93">
        <f t="shared" si="173"/>
        <v>1</v>
      </c>
      <c r="AK135" s="93">
        <f t="shared" si="171"/>
        <v>1</v>
      </c>
      <c r="AL135" s="93">
        <f t="shared" si="171"/>
        <v>1</v>
      </c>
      <c r="AM135" s="93">
        <f t="shared" si="171"/>
        <v>1</v>
      </c>
      <c r="AN135" s="93">
        <f t="shared" si="171"/>
        <v>1</v>
      </c>
      <c r="AO135" s="93">
        <f t="shared" si="171"/>
        <v>1</v>
      </c>
      <c r="AP135" s="93">
        <f t="shared" si="171"/>
        <v>1</v>
      </c>
      <c r="AQ135" s="93">
        <f t="shared" si="171"/>
        <v>1</v>
      </c>
      <c r="AR135" s="93">
        <f t="shared" si="171"/>
        <v>1</v>
      </c>
      <c r="AS135" s="93">
        <f t="shared" si="171"/>
        <v>1</v>
      </c>
      <c r="AT135" s="93">
        <f t="shared" si="171"/>
        <v>1</v>
      </c>
      <c r="AU135" s="93">
        <f t="shared" si="173"/>
        <v>1</v>
      </c>
      <c r="AV135" s="93">
        <f t="shared" si="173"/>
        <v>1</v>
      </c>
      <c r="AW135" s="93">
        <f t="shared" si="173"/>
        <v>1</v>
      </c>
      <c r="AX135" s="93">
        <f t="shared" si="173"/>
        <v>1</v>
      </c>
      <c r="AY135" s="93">
        <f t="shared" si="175" ref="AY135:BR135">AY124*(1-$E135)</f>
        <v>1</v>
      </c>
      <c r="AZ135" s="93">
        <f t="shared" si="175"/>
        <v>1</v>
      </c>
      <c r="BA135" s="93">
        <f t="shared" si="175"/>
        <v>1</v>
      </c>
      <c r="BB135" s="93">
        <f t="shared" si="175"/>
        <v>1</v>
      </c>
      <c r="BC135" s="93">
        <f t="shared" si="175"/>
        <v>1</v>
      </c>
      <c r="BD135" s="93">
        <f t="shared" si="175"/>
        <v>1</v>
      </c>
      <c r="BE135" s="93">
        <f t="shared" si="175"/>
        <v>1</v>
      </c>
      <c r="BF135" s="93">
        <f t="shared" si="175"/>
        <v>1</v>
      </c>
      <c r="BG135" s="93">
        <f t="shared" si="175"/>
        <v>1</v>
      </c>
      <c r="BH135" s="93">
        <f t="shared" si="175"/>
        <v>1</v>
      </c>
      <c r="BI135" s="93">
        <f t="shared" si="175"/>
        <v>1</v>
      </c>
      <c r="BJ135" s="93">
        <f t="shared" si="175"/>
        <v>1</v>
      </c>
      <c r="BK135" s="93">
        <f t="shared" si="175"/>
        <v>1</v>
      </c>
      <c r="BL135" s="93">
        <f t="shared" si="175"/>
        <v>1</v>
      </c>
      <c r="BM135" s="93">
        <f t="shared" si="175"/>
        <v>1</v>
      </c>
      <c r="BN135" s="93">
        <f t="shared" si="175"/>
        <v>1</v>
      </c>
      <c r="BO135" s="93">
        <f t="shared" si="175"/>
        <v>1</v>
      </c>
      <c r="BP135" s="93">
        <f t="shared" si="175"/>
        <v>1</v>
      </c>
      <c r="BQ135" s="93">
        <f t="shared" si="175"/>
        <v>1</v>
      </c>
      <c r="BR135" s="93">
        <f t="shared" si="175"/>
        <v>1</v>
      </c>
    </row>
    <row r="136" spans="1:15" ht="15">
      <c r="A136" t="s">
        <v>16</v>
      </c>
      <c r="B136" s="5"/>
      <c r="C136" s="5"/>
      <c r="E136" s="298">
        <f>((1/(1-H134))-1)</f>
        <v>0</v>
      </c>
      <c r="F136" s="75" t="s">
        <v>779</v>
      </c>
      <c r="G136" s="297"/>
      <c r="I136" s="135"/>
      <c r="L136" s="94"/>
      <c r="M136" s="94"/>
      <c r="N136" s="94"/>
      <c r="O136" s="94"/>
    </row>
    <row r="137" spans="1:15" ht="15.75" thickBot="1">
      <c r="A137" t="s">
        <v>16</v>
      </c>
      <c r="B137" s="5"/>
      <c r="C137" s="72" t="s">
        <v>246</v>
      </c>
      <c r="E137" s="75" t="s">
        <v>771</v>
      </c>
      <c r="I137" s="135"/>
      <c r="L137" s="94"/>
      <c r="M137" s="94"/>
      <c r="N137" s="94"/>
      <c r="O137" s="94"/>
    </row>
    <row r="138" spans="1:70" ht="15">
      <c r="A138" t="s">
        <v>16</v>
      </c>
      <c r="B138" s="5" t="str">
        <f t="shared" si="176" ref="B138:C146">B127</f>
        <v>CNC</v>
      </c>
      <c r="C138" s="5" t="str">
        <f t="shared" si="176"/>
        <v>Commercial - Cooling</v>
      </c>
      <c r="E138" s="128">
        <f>E$147/9</f>
        <v>0</v>
      </c>
      <c r="G138" s="295"/>
      <c r="I138" s="135"/>
      <c r="L138" s="300">
        <f t="shared" si="177" ref="L138:AX144">L127*(1-$E138)</f>
        <v>1</v>
      </c>
      <c r="M138" s="301">
        <f t="shared" si="177"/>
        <v>1</v>
      </c>
      <c r="N138" s="301">
        <f t="shared" si="177"/>
        <v>1</v>
      </c>
      <c r="O138" s="301">
        <f t="shared" si="177"/>
        <v>1</v>
      </c>
      <c r="P138" s="93">
        <f t="shared" si="177"/>
        <v>1</v>
      </c>
      <c r="Q138" s="93">
        <f t="shared" si="177"/>
        <v>1</v>
      </c>
      <c r="R138" s="93">
        <f t="shared" si="177"/>
        <v>1</v>
      </c>
      <c r="S138" s="93">
        <f t="shared" si="177"/>
        <v>1</v>
      </c>
      <c r="T138" s="93">
        <f t="shared" si="177"/>
        <v>1</v>
      </c>
      <c r="U138" s="93">
        <f t="shared" si="177"/>
        <v>1</v>
      </c>
      <c r="V138" s="93">
        <f t="shared" si="177"/>
        <v>1</v>
      </c>
      <c r="W138" s="93">
        <f t="shared" si="177"/>
        <v>1</v>
      </c>
      <c r="X138" s="93">
        <f t="shared" si="177"/>
        <v>1</v>
      </c>
      <c r="Y138" s="93">
        <f t="shared" si="177"/>
        <v>1</v>
      </c>
      <c r="Z138" s="93">
        <f t="shared" si="177"/>
        <v>1</v>
      </c>
      <c r="AA138" s="93">
        <f t="shared" si="177"/>
        <v>1</v>
      </c>
      <c r="AB138" s="93">
        <f t="shared" si="177"/>
        <v>1</v>
      </c>
      <c r="AC138" s="93">
        <f t="shared" si="177"/>
        <v>1</v>
      </c>
      <c r="AD138" s="93">
        <f t="shared" si="177"/>
        <v>1</v>
      </c>
      <c r="AE138" s="93">
        <f t="shared" si="177"/>
        <v>1</v>
      </c>
      <c r="AF138" s="93">
        <f t="shared" si="177"/>
        <v>1</v>
      </c>
      <c r="AG138" s="93">
        <f t="shared" si="177"/>
        <v>1</v>
      </c>
      <c r="AH138" s="93">
        <f t="shared" si="177"/>
        <v>1</v>
      </c>
      <c r="AI138" s="93">
        <f t="shared" si="177"/>
        <v>1</v>
      </c>
      <c r="AJ138" s="93">
        <f t="shared" si="177"/>
        <v>1</v>
      </c>
      <c r="AK138" s="93">
        <f t="shared" si="177"/>
        <v>1</v>
      </c>
      <c r="AL138" s="93">
        <f t="shared" si="177"/>
        <v>1</v>
      </c>
      <c r="AM138" s="93">
        <f t="shared" si="177"/>
        <v>1</v>
      </c>
      <c r="AN138" s="93">
        <f t="shared" si="177"/>
        <v>1</v>
      </c>
      <c r="AO138" s="93">
        <f t="shared" si="177"/>
        <v>1</v>
      </c>
      <c r="AP138" s="93">
        <f t="shared" si="177"/>
        <v>1</v>
      </c>
      <c r="AQ138" s="93">
        <f t="shared" si="177"/>
        <v>1</v>
      </c>
      <c r="AR138" s="93">
        <f t="shared" si="177"/>
        <v>1</v>
      </c>
      <c r="AS138" s="93">
        <f t="shared" si="177"/>
        <v>1</v>
      </c>
      <c r="AT138" s="93">
        <f t="shared" si="177"/>
        <v>1</v>
      </c>
      <c r="AU138" s="93">
        <f t="shared" si="177"/>
        <v>1</v>
      </c>
      <c r="AV138" s="93">
        <f t="shared" si="177"/>
        <v>1</v>
      </c>
      <c r="AW138" s="93">
        <f t="shared" si="177"/>
        <v>1</v>
      </c>
      <c r="AX138" s="93">
        <f t="shared" si="177"/>
        <v>1</v>
      </c>
      <c r="AY138" s="93">
        <f t="shared" si="178" ref="AY138:BR143">AY127*(1-$E138)</f>
        <v>1</v>
      </c>
      <c r="AZ138" s="93">
        <f t="shared" si="178"/>
        <v>1</v>
      </c>
      <c r="BA138" s="93">
        <f t="shared" si="178"/>
        <v>1</v>
      </c>
      <c r="BB138" s="93">
        <f t="shared" si="178"/>
        <v>1</v>
      </c>
      <c r="BC138" s="93">
        <f t="shared" si="178"/>
        <v>1</v>
      </c>
      <c r="BD138" s="93">
        <f t="shared" si="178"/>
        <v>1</v>
      </c>
      <c r="BE138" s="93">
        <f t="shared" si="178"/>
        <v>1</v>
      </c>
      <c r="BF138" s="93">
        <f t="shared" si="178"/>
        <v>1</v>
      </c>
      <c r="BG138" s="93">
        <f t="shared" si="178"/>
        <v>1</v>
      </c>
      <c r="BH138" s="93">
        <f t="shared" si="178"/>
        <v>1</v>
      </c>
      <c r="BI138" s="93">
        <f t="shared" si="178"/>
        <v>1</v>
      </c>
      <c r="BJ138" s="93">
        <f t="shared" si="178"/>
        <v>1</v>
      </c>
      <c r="BK138" s="93">
        <f t="shared" si="178"/>
        <v>1</v>
      </c>
      <c r="BL138" s="93">
        <f t="shared" si="178"/>
        <v>1</v>
      </c>
      <c r="BM138" s="93">
        <f t="shared" si="178"/>
        <v>1</v>
      </c>
      <c r="BN138" s="93">
        <f t="shared" si="178"/>
        <v>1</v>
      </c>
      <c r="BO138" s="93">
        <f t="shared" si="178"/>
        <v>1</v>
      </c>
      <c r="BP138" s="93">
        <f t="shared" si="178"/>
        <v>1</v>
      </c>
      <c r="BQ138" s="93">
        <f t="shared" si="178"/>
        <v>1</v>
      </c>
      <c r="BR138" s="93">
        <f t="shared" si="178"/>
        <v>1</v>
      </c>
    </row>
    <row r="139" spans="1:70" ht="15">
      <c r="A139" t="s">
        <v>16</v>
      </c>
      <c r="B139" s="5" t="str">
        <f t="shared" si="176"/>
        <v>CNH</v>
      </c>
      <c r="C139" s="5" t="str">
        <f t="shared" si="176"/>
        <v>Commercial - Space Heating</v>
      </c>
      <c r="E139" s="128">
        <f t="shared" si="179" ref="E139:E146">E$147/9</f>
        <v>0</v>
      </c>
      <c r="G139" s="295" t="s">
        <v>775</v>
      </c>
      <c r="H139" s="127">
        <v>0.18</v>
      </c>
      <c r="I139" s="135"/>
      <c r="L139" s="300">
        <f t="shared" si="177"/>
        <v>1</v>
      </c>
      <c r="M139" s="301">
        <f t="shared" si="177"/>
        <v>1</v>
      </c>
      <c r="N139" s="301">
        <f t="shared" si="177"/>
        <v>1</v>
      </c>
      <c r="O139" s="301">
        <f t="shared" si="177"/>
        <v>1</v>
      </c>
      <c r="P139" s="93">
        <f t="shared" si="177"/>
        <v>1</v>
      </c>
      <c r="Q139" s="93">
        <f t="shared" si="177"/>
        <v>1</v>
      </c>
      <c r="R139" s="93">
        <f t="shared" si="177"/>
        <v>1</v>
      </c>
      <c r="S139" s="93">
        <f t="shared" si="177"/>
        <v>1</v>
      </c>
      <c r="T139" s="93">
        <f t="shared" si="177"/>
        <v>1</v>
      </c>
      <c r="U139" s="93">
        <f t="shared" si="177"/>
        <v>1</v>
      </c>
      <c r="V139" s="93">
        <f t="shared" si="177"/>
        <v>1</v>
      </c>
      <c r="W139" s="93">
        <f t="shared" si="177"/>
        <v>1</v>
      </c>
      <c r="X139" s="93">
        <f t="shared" si="177"/>
        <v>1</v>
      </c>
      <c r="Y139" s="93">
        <f t="shared" si="177"/>
        <v>1</v>
      </c>
      <c r="Z139" s="93">
        <f t="shared" si="177"/>
        <v>1</v>
      </c>
      <c r="AA139" s="93">
        <f t="shared" si="177"/>
        <v>1</v>
      </c>
      <c r="AB139" s="93">
        <f t="shared" si="177"/>
        <v>1</v>
      </c>
      <c r="AC139" s="93">
        <f t="shared" si="177"/>
        <v>1</v>
      </c>
      <c r="AD139" s="93">
        <f t="shared" si="177"/>
        <v>1</v>
      </c>
      <c r="AE139" s="93">
        <f t="shared" si="177"/>
        <v>1</v>
      </c>
      <c r="AF139" s="93">
        <f t="shared" si="177"/>
        <v>1</v>
      </c>
      <c r="AG139" s="93">
        <f t="shared" si="177"/>
        <v>1</v>
      </c>
      <c r="AH139" s="93">
        <f t="shared" si="177"/>
        <v>1</v>
      </c>
      <c r="AI139" s="93">
        <f t="shared" si="177"/>
        <v>1</v>
      </c>
      <c r="AJ139" s="93">
        <f t="shared" si="177"/>
        <v>1</v>
      </c>
      <c r="AK139" s="93">
        <f t="shared" si="177"/>
        <v>1</v>
      </c>
      <c r="AL139" s="93">
        <f t="shared" si="177"/>
        <v>1</v>
      </c>
      <c r="AM139" s="93">
        <f t="shared" si="177"/>
        <v>1</v>
      </c>
      <c r="AN139" s="93">
        <f t="shared" si="177"/>
        <v>1</v>
      </c>
      <c r="AO139" s="93">
        <f t="shared" si="177"/>
        <v>1</v>
      </c>
      <c r="AP139" s="93">
        <f t="shared" si="177"/>
        <v>1</v>
      </c>
      <c r="AQ139" s="93">
        <f t="shared" si="177"/>
        <v>1</v>
      </c>
      <c r="AR139" s="93">
        <f t="shared" si="177"/>
        <v>1</v>
      </c>
      <c r="AS139" s="93">
        <f t="shared" si="177"/>
        <v>1</v>
      </c>
      <c r="AT139" s="93">
        <f t="shared" si="177"/>
        <v>1</v>
      </c>
      <c r="AU139" s="93">
        <f t="shared" si="177"/>
        <v>1</v>
      </c>
      <c r="AV139" s="93">
        <f t="shared" si="177"/>
        <v>1</v>
      </c>
      <c r="AW139" s="93">
        <f t="shared" si="177"/>
        <v>1</v>
      </c>
      <c r="AX139" s="93">
        <f t="shared" si="177"/>
        <v>1</v>
      </c>
      <c r="AY139" s="93">
        <f t="shared" si="178"/>
        <v>1</v>
      </c>
      <c r="AZ139" s="93">
        <f t="shared" si="178"/>
        <v>1</v>
      </c>
      <c r="BA139" s="93">
        <f t="shared" si="178"/>
        <v>1</v>
      </c>
      <c r="BB139" s="93">
        <f t="shared" si="178"/>
        <v>1</v>
      </c>
      <c r="BC139" s="93">
        <f t="shared" si="178"/>
        <v>1</v>
      </c>
      <c r="BD139" s="93">
        <f t="shared" si="178"/>
        <v>1</v>
      </c>
      <c r="BE139" s="93">
        <f t="shared" si="178"/>
        <v>1</v>
      </c>
      <c r="BF139" s="93">
        <f t="shared" si="178"/>
        <v>1</v>
      </c>
      <c r="BG139" s="93">
        <f t="shared" si="178"/>
        <v>1</v>
      </c>
      <c r="BH139" s="93">
        <f t="shared" si="178"/>
        <v>1</v>
      </c>
      <c r="BI139" s="93">
        <f t="shared" si="178"/>
        <v>1</v>
      </c>
      <c r="BJ139" s="93">
        <f t="shared" si="178"/>
        <v>1</v>
      </c>
      <c r="BK139" s="93">
        <f t="shared" si="178"/>
        <v>1</v>
      </c>
      <c r="BL139" s="93">
        <f t="shared" si="178"/>
        <v>1</v>
      </c>
      <c r="BM139" s="93">
        <f t="shared" si="178"/>
        <v>1</v>
      </c>
      <c r="BN139" s="93">
        <f t="shared" si="178"/>
        <v>1</v>
      </c>
      <c r="BO139" s="93">
        <f t="shared" si="178"/>
        <v>1</v>
      </c>
      <c r="BP139" s="93">
        <f t="shared" si="178"/>
        <v>1</v>
      </c>
      <c r="BQ139" s="93">
        <f t="shared" si="178"/>
        <v>1</v>
      </c>
      <c r="BR139" s="93">
        <f t="shared" si="178"/>
        <v>1</v>
      </c>
    </row>
    <row r="140" spans="1:70" ht="15">
      <c r="A140" t="s">
        <v>16</v>
      </c>
      <c r="B140" s="5" t="str">
        <f t="shared" si="176"/>
        <v>CNK</v>
      </c>
      <c r="C140" s="5" t="str">
        <f t="shared" si="176"/>
        <v>Commercial - Cooking</v>
      </c>
      <c r="E140" s="128">
        <f t="shared" si="179"/>
        <v>0</v>
      </c>
      <c r="G140" s="295" t="s">
        <v>772</v>
      </c>
      <c r="H140" s="68">
        <f>(1-(1/(H139+1)))</f>
        <v>0.15254237288135586</v>
      </c>
      <c r="I140" s="135"/>
      <c r="L140" s="300">
        <f t="shared" si="177"/>
        <v>1</v>
      </c>
      <c r="M140" s="301">
        <f t="shared" si="177"/>
        <v>1</v>
      </c>
      <c r="N140" s="301">
        <f t="shared" si="177"/>
        <v>1</v>
      </c>
      <c r="O140" s="301">
        <f t="shared" si="177"/>
        <v>1</v>
      </c>
      <c r="P140" s="93">
        <f t="shared" si="177"/>
        <v>1</v>
      </c>
      <c r="Q140" s="93">
        <f t="shared" si="177"/>
        <v>1</v>
      </c>
      <c r="R140" s="93">
        <f t="shared" si="177"/>
        <v>1</v>
      </c>
      <c r="S140" s="93">
        <f t="shared" si="177"/>
        <v>1</v>
      </c>
      <c r="T140" s="93">
        <f t="shared" si="177"/>
        <v>1</v>
      </c>
      <c r="U140" s="93">
        <f t="shared" si="177"/>
        <v>1</v>
      </c>
      <c r="V140" s="93">
        <f t="shared" si="177"/>
        <v>1</v>
      </c>
      <c r="W140" s="93">
        <f t="shared" si="177"/>
        <v>1</v>
      </c>
      <c r="X140" s="93">
        <f t="shared" si="177"/>
        <v>1</v>
      </c>
      <c r="Y140" s="93">
        <f t="shared" si="177"/>
        <v>1</v>
      </c>
      <c r="Z140" s="93">
        <f t="shared" si="177"/>
        <v>1</v>
      </c>
      <c r="AA140" s="93">
        <f t="shared" si="177"/>
        <v>1</v>
      </c>
      <c r="AB140" s="93">
        <f t="shared" si="177"/>
        <v>1</v>
      </c>
      <c r="AC140" s="93">
        <f t="shared" si="177"/>
        <v>1</v>
      </c>
      <c r="AD140" s="93">
        <f t="shared" si="177"/>
        <v>1</v>
      </c>
      <c r="AE140" s="93">
        <f t="shared" si="177"/>
        <v>1</v>
      </c>
      <c r="AF140" s="93">
        <f t="shared" si="177"/>
        <v>1</v>
      </c>
      <c r="AG140" s="93">
        <f t="shared" si="177"/>
        <v>1</v>
      </c>
      <c r="AH140" s="93">
        <f t="shared" si="177"/>
        <v>1</v>
      </c>
      <c r="AI140" s="93">
        <f t="shared" si="177"/>
        <v>1</v>
      </c>
      <c r="AJ140" s="93">
        <f t="shared" si="177"/>
        <v>1</v>
      </c>
      <c r="AK140" s="93">
        <f t="shared" si="177"/>
        <v>1</v>
      </c>
      <c r="AL140" s="93">
        <f t="shared" si="177"/>
        <v>1</v>
      </c>
      <c r="AM140" s="93">
        <f t="shared" si="177"/>
        <v>1</v>
      </c>
      <c r="AN140" s="93">
        <f t="shared" si="177"/>
        <v>1</v>
      </c>
      <c r="AO140" s="93">
        <f t="shared" si="177"/>
        <v>1</v>
      </c>
      <c r="AP140" s="93">
        <f t="shared" si="177"/>
        <v>1</v>
      </c>
      <c r="AQ140" s="93">
        <f t="shared" si="177"/>
        <v>1</v>
      </c>
      <c r="AR140" s="93">
        <f t="shared" si="177"/>
        <v>1</v>
      </c>
      <c r="AS140" s="93">
        <f t="shared" si="177"/>
        <v>1</v>
      </c>
      <c r="AT140" s="93">
        <f t="shared" si="177"/>
        <v>1</v>
      </c>
      <c r="AU140" s="93">
        <f t="shared" si="177"/>
        <v>1</v>
      </c>
      <c r="AV140" s="93">
        <f t="shared" si="177"/>
        <v>1</v>
      </c>
      <c r="AW140" s="93">
        <f t="shared" si="177"/>
        <v>1</v>
      </c>
      <c r="AX140" s="93">
        <f t="shared" si="177"/>
        <v>1</v>
      </c>
      <c r="AY140" s="93">
        <f t="shared" si="178"/>
        <v>1</v>
      </c>
      <c r="AZ140" s="93">
        <f t="shared" si="178"/>
        <v>1</v>
      </c>
      <c r="BA140" s="93">
        <f t="shared" si="178"/>
        <v>1</v>
      </c>
      <c r="BB140" s="93">
        <f t="shared" si="178"/>
        <v>1</v>
      </c>
      <c r="BC140" s="93">
        <f t="shared" si="178"/>
        <v>1</v>
      </c>
      <c r="BD140" s="93">
        <f t="shared" si="178"/>
        <v>1</v>
      </c>
      <c r="BE140" s="93">
        <f t="shared" si="178"/>
        <v>1</v>
      </c>
      <c r="BF140" s="93">
        <f t="shared" si="178"/>
        <v>1</v>
      </c>
      <c r="BG140" s="93">
        <f t="shared" si="178"/>
        <v>1</v>
      </c>
      <c r="BH140" s="93">
        <f t="shared" si="178"/>
        <v>1</v>
      </c>
      <c r="BI140" s="93">
        <f t="shared" si="178"/>
        <v>1</v>
      </c>
      <c r="BJ140" s="93">
        <f t="shared" si="178"/>
        <v>1</v>
      </c>
      <c r="BK140" s="93">
        <f t="shared" si="178"/>
        <v>1</v>
      </c>
      <c r="BL140" s="93">
        <f t="shared" si="178"/>
        <v>1</v>
      </c>
      <c r="BM140" s="93">
        <f t="shared" si="178"/>
        <v>1</v>
      </c>
      <c r="BN140" s="93">
        <f t="shared" si="178"/>
        <v>1</v>
      </c>
      <c r="BO140" s="93">
        <f t="shared" si="178"/>
        <v>1</v>
      </c>
      <c r="BP140" s="93">
        <f t="shared" si="178"/>
        <v>1</v>
      </c>
      <c r="BQ140" s="93">
        <f t="shared" si="178"/>
        <v>1</v>
      </c>
      <c r="BR140" s="93">
        <f t="shared" si="178"/>
        <v>1</v>
      </c>
    </row>
    <row r="141" spans="1:70" ht="15">
      <c r="A141" t="s">
        <v>16</v>
      </c>
      <c r="B141" s="5" t="str">
        <f t="shared" si="176"/>
        <v>CNL</v>
      </c>
      <c r="C141" s="5" t="str">
        <f t="shared" si="176"/>
        <v>Commercial - Lighting</v>
      </c>
      <c r="E141" s="128">
        <f t="shared" si="179"/>
        <v>0</v>
      </c>
      <c r="G141" s="295"/>
      <c r="I141" s="135"/>
      <c r="L141" s="300">
        <f t="shared" si="177"/>
        <v>1</v>
      </c>
      <c r="M141" s="301">
        <f t="shared" si="177"/>
        <v>1</v>
      </c>
      <c r="N141" s="301">
        <f t="shared" si="177"/>
        <v>1</v>
      </c>
      <c r="O141" s="301">
        <f t="shared" si="177"/>
        <v>1</v>
      </c>
      <c r="P141" s="93">
        <f t="shared" si="177"/>
        <v>1</v>
      </c>
      <c r="Q141" s="93">
        <f t="shared" si="177"/>
        <v>1</v>
      </c>
      <c r="R141" s="93">
        <f t="shared" si="177"/>
        <v>1</v>
      </c>
      <c r="S141" s="93">
        <f t="shared" si="177"/>
        <v>1</v>
      </c>
      <c r="T141" s="93">
        <f t="shared" si="177"/>
        <v>1</v>
      </c>
      <c r="U141" s="93">
        <f t="shared" si="177"/>
        <v>1</v>
      </c>
      <c r="V141" s="93">
        <f t="shared" si="177"/>
        <v>1</v>
      </c>
      <c r="W141" s="93">
        <f t="shared" si="177"/>
        <v>1</v>
      </c>
      <c r="X141" s="93">
        <f t="shared" si="177"/>
        <v>1</v>
      </c>
      <c r="Y141" s="93">
        <f t="shared" si="177"/>
        <v>1</v>
      </c>
      <c r="Z141" s="93">
        <f t="shared" si="177"/>
        <v>1</v>
      </c>
      <c r="AA141" s="93">
        <f t="shared" si="177"/>
        <v>1</v>
      </c>
      <c r="AB141" s="93">
        <f t="shared" si="177"/>
        <v>1</v>
      </c>
      <c r="AC141" s="93">
        <f t="shared" si="177"/>
        <v>1</v>
      </c>
      <c r="AD141" s="93">
        <f t="shared" si="177"/>
        <v>1</v>
      </c>
      <c r="AE141" s="93">
        <f t="shared" si="177"/>
        <v>1</v>
      </c>
      <c r="AF141" s="93">
        <f t="shared" si="177"/>
        <v>1</v>
      </c>
      <c r="AG141" s="93">
        <f t="shared" si="177"/>
        <v>1</v>
      </c>
      <c r="AH141" s="93">
        <f t="shared" si="177"/>
        <v>1</v>
      </c>
      <c r="AI141" s="93">
        <f t="shared" si="177"/>
        <v>1</v>
      </c>
      <c r="AJ141" s="93">
        <f t="shared" si="177"/>
        <v>1</v>
      </c>
      <c r="AK141" s="93">
        <f t="shared" si="177"/>
        <v>1</v>
      </c>
      <c r="AL141" s="93">
        <f t="shared" si="177"/>
        <v>1</v>
      </c>
      <c r="AM141" s="93">
        <f t="shared" si="177"/>
        <v>1</v>
      </c>
      <c r="AN141" s="93">
        <f t="shared" si="177"/>
        <v>1</v>
      </c>
      <c r="AO141" s="93">
        <f t="shared" si="177"/>
        <v>1</v>
      </c>
      <c r="AP141" s="93">
        <f t="shared" si="177"/>
        <v>1</v>
      </c>
      <c r="AQ141" s="93">
        <f t="shared" si="177"/>
        <v>1</v>
      </c>
      <c r="AR141" s="93">
        <f t="shared" si="177"/>
        <v>1</v>
      </c>
      <c r="AS141" s="93">
        <f t="shared" si="177"/>
        <v>1</v>
      </c>
      <c r="AT141" s="93">
        <f t="shared" si="177"/>
        <v>1</v>
      </c>
      <c r="AU141" s="93">
        <f t="shared" si="177"/>
        <v>1</v>
      </c>
      <c r="AV141" s="93">
        <f t="shared" si="177"/>
        <v>1</v>
      </c>
      <c r="AW141" s="93">
        <f t="shared" si="177"/>
        <v>1</v>
      </c>
      <c r="AX141" s="93">
        <f t="shared" si="177"/>
        <v>1</v>
      </c>
      <c r="AY141" s="93">
        <f t="shared" si="178"/>
        <v>1</v>
      </c>
      <c r="AZ141" s="93">
        <f t="shared" si="178"/>
        <v>1</v>
      </c>
      <c r="BA141" s="93">
        <f t="shared" si="178"/>
        <v>1</v>
      </c>
      <c r="BB141" s="93">
        <f t="shared" si="178"/>
        <v>1</v>
      </c>
      <c r="BC141" s="93">
        <f t="shared" si="178"/>
        <v>1</v>
      </c>
      <c r="BD141" s="93">
        <f t="shared" si="178"/>
        <v>1</v>
      </c>
      <c r="BE141" s="93">
        <f t="shared" si="178"/>
        <v>1</v>
      </c>
      <c r="BF141" s="93">
        <f t="shared" si="178"/>
        <v>1</v>
      </c>
      <c r="BG141" s="93">
        <f t="shared" si="178"/>
        <v>1</v>
      </c>
      <c r="BH141" s="93">
        <f t="shared" si="178"/>
        <v>1</v>
      </c>
      <c r="BI141" s="93">
        <f t="shared" si="178"/>
        <v>1</v>
      </c>
      <c r="BJ141" s="93">
        <f t="shared" si="178"/>
        <v>1</v>
      </c>
      <c r="BK141" s="93">
        <f t="shared" si="178"/>
        <v>1</v>
      </c>
      <c r="BL141" s="93">
        <f t="shared" si="178"/>
        <v>1</v>
      </c>
      <c r="BM141" s="93">
        <f t="shared" si="178"/>
        <v>1</v>
      </c>
      <c r="BN141" s="93">
        <f t="shared" si="178"/>
        <v>1</v>
      </c>
      <c r="BO141" s="93">
        <f t="shared" si="178"/>
        <v>1</v>
      </c>
      <c r="BP141" s="93">
        <f t="shared" si="178"/>
        <v>1</v>
      </c>
      <c r="BQ141" s="93">
        <f t="shared" si="178"/>
        <v>1</v>
      </c>
      <c r="BR141" s="93">
        <f t="shared" si="178"/>
        <v>1</v>
      </c>
    </row>
    <row r="142" spans="1:70" ht="15">
      <c r="A142" t="s">
        <v>16</v>
      </c>
      <c r="B142" s="5" t="str">
        <f t="shared" si="176"/>
        <v>CNR</v>
      </c>
      <c r="C142" s="5" t="str">
        <f t="shared" si="176"/>
        <v>Commercial - Refrigeration</v>
      </c>
      <c r="E142" s="128">
        <f t="shared" si="179"/>
        <v>0</v>
      </c>
      <c r="G142" s="295"/>
      <c r="I142" s="135"/>
      <c r="L142" s="300">
        <f t="shared" si="177"/>
        <v>1</v>
      </c>
      <c r="M142" s="301">
        <f t="shared" si="177"/>
        <v>1</v>
      </c>
      <c r="N142" s="301">
        <f t="shared" si="177"/>
        <v>1</v>
      </c>
      <c r="O142" s="301">
        <f t="shared" si="177"/>
        <v>1</v>
      </c>
      <c r="P142" s="93">
        <f t="shared" si="177"/>
        <v>1</v>
      </c>
      <c r="Q142" s="93">
        <f t="shared" si="177"/>
        <v>1</v>
      </c>
      <c r="R142" s="93">
        <f t="shared" si="177"/>
        <v>1</v>
      </c>
      <c r="S142" s="93">
        <f t="shared" si="177"/>
        <v>1</v>
      </c>
      <c r="T142" s="93">
        <f t="shared" si="177"/>
        <v>1</v>
      </c>
      <c r="U142" s="93">
        <f t="shared" si="177"/>
        <v>1</v>
      </c>
      <c r="V142" s="93">
        <f t="shared" si="177"/>
        <v>1</v>
      </c>
      <c r="W142" s="93">
        <f t="shared" si="177"/>
        <v>1</v>
      </c>
      <c r="X142" s="93">
        <f t="shared" si="177"/>
        <v>1</v>
      </c>
      <c r="Y142" s="93">
        <f t="shared" si="177"/>
        <v>1</v>
      </c>
      <c r="Z142" s="93">
        <f t="shared" si="177"/>
        <v>1</v>
      </c>
      <c r="AA142" s="93">
        <f t="shared" si="177"/>
        <v>1</v>
      </c>
      <c r="AB142" s="93">
        <f t="shared" si="177"/>
        <v>1</v>
      </c>
      <c r="AC142" s="93">
        <f t="shared" si="177"/>
        <v>1</v>
      </c>
      <c r="AD142" s="93">
        <f t="shared" si="177"/>
        <v>1</v>
      </c>
      <c r="AE142" s="93">
        <f t="shared" si="177"/>
        <v>1</v>
      </c>
      <c r="AF142" s="93">
        <f t="shared" si="177"/>
        <v>1</v>
      </c>
      <c r="AG142" s="93">
        <f t="shared" si="177"/>
        <v>1</v>
      </c>
      <c r="AH142" s="93">
        <f t="shared" si="177"/>
        <v>1</v>
      </c>
      <c r="AI142" s="93">
        <f t="shared" si="177"/>
        <v>1</v>
      </c>
      <c r="AJ142" s="93">
        <f t="shared" si="177"/>
        <v>1</v>
      </c>
      <c r="AK142" s="93">
        <f t="shared" si="177"/>
        <v>1</v>
      </c>
      <c r="AL142" s="93">
        <f t="shared" si="177"/>
        <v>1</v>
      </c>
      <c r="AM142" s="93">
        <f t="shared" si="177"/>
        <v>1</v>
      </c>
      <c r="AN142" s="93">
        <f t="shared" si="177"/>
        <v>1</v>
      </c>
      <c r="AO142" s="93">
        <f t="shared" si="177"/>
        <v>1</v>
      </c>
      <c r="AP142" s="93">
        <f t="shared" si="177"/>
        <v>1</v>
      </c>
      <c r="AQ142" s="93">
        <f t="shared" si="177"/>
        <v>1</v>
      </c>
      <c r="AR142" s="93">
        <f t="shared" si="177"/>
        <v>1</v>
      </c>
      <c r="AS142" s="93">
        <f t="shared" si="177"/>
        <v>1</v>
      </c>
      <c r="AT142" s="93">
        <f t="shared" si="177"/>
        <v>1</v>
      </c>
      <c r="AU142" s="93">
        <f t="shared" si="177"/>
        <v>1</v>
      </c>
      <c r="AV142" s="93">
        <f t="shared" si="177"/>
        <v>1</v>
      </c>
      <c r="AW142" s="93">
        <f t="shared" si="177"/>
        <v>1</v>
      </c>
      <c r="AX142" s="93">
        <f t="shared" si="177"/>
        <v>1</v>
      </c>
      <c r="AY142" s="93">
        <f t="shared" si="178"/>
        <v>1</v>
      </c>
      <c r="AZ142" s="93">
        <f t="shared" si="178"/>
        <v>1</v>
      </c>
      <c r="BA142" s="93">
        <f t="shared" si="178"/>
        <v>1</v>
      </c>
      <c r="BB142" s="93">
        <f t="shared" si="178"/>
        <v>1</v>
      </c>
      <c r="BC142" s="93">
        <f t="shared" si="178"/>
        <v>1</v>
      </c>
      <c r="BD142" s="93">
        <f t="shared" si="178"/>
        <v>1</v>
      </c>
      <c r="BE142" s="93">
        <f t="shared" si="178"/>
        <v>1</v>
      </c>
      <c r="BF142" s="93">
        <f t="shared" si="178"/>
        <v>1</v>
      </c>
      <c r="BG142" s="93">
        <f t="shared" si="178"/>
        <v>1</v>
      </c>
      <c r="BH142" s="93">
        <f t="shared" si="178"/>
        <v>1</v>
      </c>
      <c r="BI142" s="93">
        <f t="shared" si="178"/>
        <v>1</v>
      </c>
      <c r="BJ142" s="93">
        <f t="shared" si="178"/>
        <v>1</v>
      </c>
      <c r="BK142" s="93">
        <f t="shared" si="178"/>
        <v>1</v>
      </c>
      <c r="BL142" s="93">
        <f t="shared" si="178"/>
        <v>1</v>
      </c>
      <c r="BM142" s="93">
        <f t="shared" si="178"/>
        <v>1</v>
      </c>
      <c r="BN142" s="93">
        <f t="shared" si="178"/>
        <v>1</v>
      </c>
      <c r="BO142" s="93">
        <f t="shared" si="178"/>
        <v>1</v>
      </c>
      <c r="BP142" s="93">
        <f t="shared" si="178"/>
        <v>1</v>
      </c>
      <c r="BQ142" s="93">
        <f t="shared" si="178"/>
        <v>1</v>
      </c>
      <c r="BR142" s="93">
        <f t="shared" si="178"/>
        <v>1</v>
      </c>
    </row>
    <row r="143" spans="1:70" ht="15">
      <c r="A143" t="s">
        <v>16</v>
      </c>
      <c r="B143" s="5" t="str">
        <f t="shared" si="176"/>
        <v>CNW</v>
      </c>
      <c r="C143" s="5" t="str">
        <f t="shared" si="176"/>
        <v>Commercial - Water Heating</v>
      </c>
      <c r="E143" s="128">
        <f t="shared" si="179"/>
        <v>0</v>
      </c>
      <c r="G143" s="295"/>
      <c r="I143" s="135"/>
      <c r="L143" s="300">
        <f t="shared" si="177"/>
        <v>1</v>
      </c>
      <c r="M143" s="301">
        <f t="shared" si="177"/>
        <v>1</v>
      </c>
      <c r="N143" s="301">
        <f t="shared" si="177"/>
        <v>1</v>
      </c>
      <c r="O143" s="301">
        <f t="shared" si="177"/>
        <v>1</v>
      </c>
      <c r="P143" s="93">
        <f t="shared" si="177"/>
        <v>1</v>
      </c>
      <c r="Q143" s="93">
        <f t="shared" si="177"/>
        <v>1</v>
      </c>
      <c r="R143" s="93">
        <f t="shared" si="177"/>
        <v>1</v>
      </c>
      <c r="S143" s="93">
        <f t="shared" si="177"/>
        <v>1</v>
      </c>
      <c r="T143" s="93">
        <f t="shared" si="177"/>
        <v>1</v>
      </c>
      <c r="U143" s="93">
        <f t="shared" si="177"/>
        <v>1</v>
      </c>
      <c r="V143" s="93">
        <f t="shared" si="177"/>
        <v>1</v>
      </c>
      <c r="W143" s="93">
        <f t="shared" si="177"/>
        <v>1</v>
      </c>
      <c r="X143" s="93">
        <f t="shared" si="177"/>
        <v>1</v>
      </c>
      <c r="Y143" s="93">
        <f t="shared" si="177"/>
        <v>1</v>
      </c>
      <c r="Z143" s="93">
        <f t="shared" si="177"/>
        <v>1</v>
      </c>
      <c r="AA143" s="93">
        <f t="shared" si="177"/>
        <v>1</v>
      </c>
      <c r="AB143" s="93">
        <f t="shared" si="177"/>
        <v>1</v>
      </c>
      <c r="AC143" s="93">
        <f t="shared" si="177"/>
        <v>1</v>
      </c>
      <c r="AD143" s="93">
        <f t="shared" si="177"/>
        <v>1</v>
      </c>
      <c r="AE143" s="93">
        <f t="shared" si="177"/>
        <v>1</v>
      </c>
      <c r="AF143" s="93">
        <f t="shared" si="177"/>
        <v>1</v>
      </c>
      <c r="AG143" s="93">
        <f t="shared" si="177"/>
        <v>1</v>
      </c>
      <c r="AH143" s="93">
        <f t="shared" si="177"/>
        <v>1</v>
      </c>
      <c r="AI143" s="93">
        <f t="shared" si="177"/>
        <v>1</v>
      </c>
      <c r="AJ143" s="93">
        <f t="shared" si="177"/>
        <v>1</v>
      </c>
      <c r="AK143" s="93">
        <f t="shared" si="177"/>
        <v>1</v>
      </c>
      <c r="AL143" s="93">
        <f t="shared" si="177"/>
        <v>1</v>
      </c>
      <c r="AM143" s="93">
        <f t="shared" si="177"/>
        <v>1</v>
      </c>
      <c r="AN143" s="93">
        <f t="shared" si="177"/>
        <v>1</v>
      </c>
      <c r="AO143" s="93">
        <f t="shared" si="177"/>
        <v>1</v>
      </c>
      <c r="AP143" s="93">
        <f t="shared" si="177"/>
        <v>1</v>
      </c>
      <c r="AQ143" s="93">
        <f t="shared" si="177"/>
        <v>1</v>
      </c>
      <c r="AR143" s="93">
        <f t="shared" si="177"/>
        <v>1</v>
      </c>
      <c r="AS143" s="93">
        <f t="shared" si="177"/>
        <v>1</v>
      </c>
      <c r="AT143" s="93">
        <f t="shared" si="177"/>
        <v>1</v>
      </c>
      <c r="AU143" s="93">
        <f t="shared" si="177"/>
        <v>1</v>
      </c>
      <c r="AV143" s="93">
        <f t="shared" si="177"/>
        <v>1</v>
      </c>
      <c r="AW143" s="93">
        <f t="shared" si="177"/>
        <v>1</v>
      </c>
      <c r="AX143" s="93">
        <f t="shared" si="177"/>
        <v>1</v>
      </c>
      <c r="AY143" s="93">
        <f t="shared" si="178"/>
        <v>1</v>
      </c>
      <c r="AZ143" s="93">
        <f t="shared" si="178"/>
        <v>1</v>
      </c>
      <c r="BA143" s="93">
        <f t="shared" si="178"/>
        <v>1</v>
      </c>
      <c r="BB143" s="93">
        <f t="shared" si="178"/>
        <v>1</v>
      </c>
      <c r="BC143" s="93">
        <f t="shared" si="178"/>
        <v>1</v>
      </c>
      <c r="BD143" s="93">
        <f t="shared" si="178"/>
        <v>1</v>
      </c>
      <c r="BE143" s="93">
        <f t="shared" si="178"/>
        <v>1</v>
      </c>
      <c r="BF143" s="93">
        <f t="shared" si="178"/>
        <v>1</v>
      </c>
      <c r="BG143" s="93">
        <f t="shared" si="178"/>
        <v>1</v>
      </c>
      <c r="BH143" s="93">
        <f t="shared" si="178"/>
        <v>1</v>
      </c>
      <c r="BI143" s="93">
        <f t="shared" si="178"/>
        <v>1</v>
      </c>
      <c r="BJ143" s="93">
        <f t="shared" si="178"/>
        <v>1</v>
      </c>
      <c r="BK143" s="93">
        <f t="shared" si="178"/>
        <v>1</v>
      </c>
      <c r="BL143" s="93">
        <f t="shared" si="178"/>
        <v>1</v>
      </c>
      <c r="BM143" s="93">
        <f t="shared" si="178"/>
        <v>1</v>
      </c>
      <c r="BN143" s="93">
        <f t="shared" si="178"/>
        <v>1</v>
      </c>
      <c r="BO143" s="93">
        <f t="shared" si="178"/>
        <v>1</v>
      </c>
      <c r="BP143" s="93">
        <f t="shared" si="178"/>
        <v>1</v>
      </c>
      <c r="BQ143" s="93">
        <f t="shared" si="178"/>
        <v>1</v>
      </c>
      <c r="BR143" s="93">
        <f t="shared" si="178"/>
        <v>1</v>
      </c>
    </row>
    <row r="144" spans="1:70" ht="15">
      <c r="A144" t="s">
        <v>16</v>
      </c>
      <c r="B144" s="5" t="str">
        <f t="shared" si="176"/>
        <v>CNG</v>
      </c>
      <c r="C144" s="5" t="str">
        <f t="shared" si="176"/>
        <v>Commercial - Public lights</v>
      </c>
      <c r="E144" s="128">
        <f t="shared" si="179"/>
        <v>0</v>
      </c>
      <c r="G144" s="295"/>
      <c r="I144" s="135"/>
      <c r="L144" s="300">
        <f t="shared" si="177"/>
        <v>1</v>
      </c>
      <c r="M144" s="301">
        <f t="shared" si="177"/>
        <v>1</v>
      </c>
      <c r="N144" s="301">
        <f t="shared" si="177"/>
        <v>1</v>
      </c>
      <c r="O144" s="301">
        <f t="shared" si="177"/>
        <v>1</v>
      </c>
      <c r="P144" s="93">
        <f t="shared" si="177"/>
        <v>1</v>
      </c>
      <c r="Q144" s="93">
        <f t="shared" si="177"/>
        <v>1</v>
      </c>
      <c r="R144" s="93">
        <f t="shared" si="177"/>
        <v>1</v>
      </c>
      <c r="S144" s="93">
        <f t="shared" si="177"/>
        <v>1</v>
      </c>
      <c r="T144" s="93">
        <f t="shared" si="177"/>
        <v>1</v>
      </c>
      <c r="U144" s="93">
        <f t="shared" si="177"/>
        <v>1</v>
      </c>
      <c r="V144" s="93">
        <f t="shared" si="177"/>
        <v>1</v>
      </c>
      <c r="W144" s="93">
        <f t="shared" si="177"/>
        <v>1</v>
      </c>
      <c r="X144" s="93">
        <f t="shared" si="177"/>
        <v>1</v>
      </c>
      <c r="Y144" s="93">
        <f t="shared" si="177"/>
        <v>1</v>
      </c>
      <c r="Z144" s="93">
        <f t="shared" si="177"/>
        <v>1</v>
      </c>
      <c r="AA144" s="93">
        <f t="shared" si="177"/>
        <v>1</v>
      </c>
      <c r="AB144" s="93">
        <f t="shared" si="177"/>
        <v>1</v>
      </c>
      <c r="AC144" s="93">
        <f t="shared" si="177"/>
        <v>1</v>
      </c>
      <c r="AD144" s="93">
        <f t="shared" si="177"/>
        <v>1</v>
      </c>
      <c r="AE144" s="93">
        <f t="shared" si="177"/>
        <v>1</v>
      </c>
      <c r="AF144" s="93">
        <f t="shared" si="177"/>
        <v>1</v>
      </c>
      <c r="AG144" s="93">
        <f t="shared" si="180" ref="AG144:AX146">AG133*(1-$E144)</f>
        <v>1</v>
      </c>
      <c r="AH144" s="93">
        <f t="shared" si="180"/>
        <v>1</v>
      </c>
      <c r="AI144" s="93">
        <f t="shared" si="180"/>
        <v>1</v>
      </c>
      <c r="AJ144" s="93">
        <f t="shared" si="180"/>
        <v>1</v>
      </c>
      <c r="AK144" s="93">
        <f t="shared" si="180"/>
        <v>1</v>
      </c>
      <c r="AL144" s="93">
        <f t="shared" si="180"/>
        <v>1</v>
      </c>
      <c r="AM144" s="93">
        <f t="shared" si="180"/>
        <v>1</v>
      </c>
      <c r="AN144" s="93">
        <f t="shared" si="180"/>
        <v>1</v>
      </c>
      <c r="AO144" s="93">
        <f t="shared" si="180"/>
        <v>1</v>
      </c>
      <c r="AP144" s="93">
        <f t="shared" si="180"/>
        <v>1</v>
      </c>
      <c r="AQ144" s="93">
        <f t="shared" si="180"/>
        <v>1</v>
      </c>
      <c r="AR144" s="93">
        <f t="shared" si="180"/>
        <v>1</v>
      </c>
      <c r="AS144" s="93">
        <f t="shared" si="180"/>
        <v>1</v>
      </c>
      <c r="AT144" s="93">
        <f t="shared" si="180"/>
        <v>1</v>
      </c>
      <c r="AU144" s="93">
        <f t="shared" si="180"/>
        <v>1</v>
      </c>
      <c r="AV144" s="93">
        <f t="shared" si="180"/>
        <v>1</v>
      </c>
      <c r="AW144" s="93">
        <f t="shared" si="180"/>
        <v>1</v>
      </c>
      <c r="AX144" s="93">
        <f t="shared" si="180"/>
        <v>1</v>
      </c>
      <c r="AY144" s="93">
        <f t="shared" si="181" ref="AY144:BR144">AY133*(1-$E144)</f>
        <v>1</v>
      </c>
      <c r="AZ144" s="93">
        <f t="shared" si="181"/>
        <v>1</v>
      </c>
      <c r="BA144" s="93">
        <f t="shared" si="181"/>
        <v>1</v>
      </c>
      <c r="BB144" s="93">
        <f t="shared" si="181"/>
        <v>1</v>
      </c>
      <c r="BC144" s="93">
        <f t="shared" si="181"/>
        <v>1</v>
      </c>
      <c r="BD144" s="93">
        <f t="shared" si="181"/>
        <v>1</v>
      </c>
      <c r="BE144" s="93">
        <f t="shared" si="181"/>
        <v>1</v>
      </c>
      <c r="BF144" s="93">
        <f t="shared" si="181"/>
        <v>1</v>
      </c>
      <c r="BG144" s="93">
        <f t="shared" si="181"/>
        <v>1</v>
      </c>
      <c r="BH144" s="93">
        <f t="shared" si="181"/>
        <v>1</v>
      </c>
      <c r="BI144" s="93">
        <f t="shared" si="181"/>
        <v>1</v>
      </c>
      <c r="BJ144" s="93">
        <f t="shared" si="181"/>
        <v>1</v>
      </c>
      <c r="BK144" s="93">
        <f t="shared" si="181"/>
        <v>1</v>
      </c>
      <c r="BL144" s="93">
        <f t="shared" si="181"/>
        <v>1</v>
      </c>
      <c r="BM144" s="93">
        <f t="shared" si="181"/>
        <v>1</v>
      </c>
      <c r="BN144" s="93">
        <f t="shared" si="181"/>
        <v>1</v>
      </c>
      <c r="BO144" s="93">
        <f t="shared" si="181"/>
        <v>1</v>
      </c>
      <c r="BP144" s="93">
        <f t="shared" si="181"/>
        <v>1</v>
      </c>
      <c r="BQ144" s="93">
        <f t="shared" si="181"/>
        <v>1</v>
      </c>
      <c r="BR144" s="93">
        <f t="shared" si="181"/>
        <v>1</v>
      </c>
    </row>
    <row r="145" spans="1:70" ht="15">
      <c r="A145" t="s">
        <v>16</v>
      </c>
      <c r="B145" s="5" t="str">
        <f t="shared" si="176"/>
        <v>CNT</v>
      </c>
      <c r="C145" s="5" t="str">
        <f t="shared" si="176"/>
        <v>Commercial - Public Water</v>
      </c>
      <c r="E145" s="128">
        <f t="shared" si="179"/>
        <v>0</v>
      </c>
      <c r="F145" s="75" t="s">
        <v>776</v>
      </c>
      <c r="H145" s="68">
        <f>IF(N57=1,70%,0)</f>
        <v>0</v>
      </c>
      <c r="I145" s="135"/>
      <c r="L145" s="300">
        <f t="shared" si="182" ref="L145:AX146">L134*(1-$E145)</f>
        <v>1</v>
      </c>
      <c r="M145" s="301">
        <f t="shared" si="182"/>
        <v>1</v>
      </c>
      <c r="N145" s="301">
        <f t="shared" si="182"/>
        <v>1</v>
      </c>
      <c r="O145" s="301">
        <f t="shared" si="182"/>
        <v>1</v>
      </c>
      <c r="P145" s="93">
        <f t="shared" si="182"/>
        <v>1</v>
      </c>
      <c r="Q145" s="93">
        <f t="shared" si="182"/>
        <v>1</v>
      </c>
      <c r="R145" s="93">
        <f t="shared" si="182"/>
        <v>1</v>
      </c>
      <c r="S145" s="93">
        <f t="shared" si="182"/>
        <v>1</v>
      </c>
      <c r="T145" s="93">
        <f t="shared" si="182"/>
        <v>1</v>
      </c>
      <c r="U145" s="93">
        <f t="shared" si="182"/>
        <v>1</v>
      </c>
      <c r="V145" s="93">
        <f t="shared" si="182"/>
        <v>1</v>
      </c>
      <c r="W145" s="93">
        <f t="shared" si="182"/>
        <v>1</v>
      </c>
      <c r="X145" s="93">
        <f t="shared" si="182"/>
        <v>1</v>
      </c>
      <c r="Y145" s="93">
        <f t="shared" si="182"/>
        <v>1</v>
      </c>
      <c r="Z145" s="93">
        <f t="shared" si="182"/>
        <v>1</v>
      </c>
      <c r="AA145" s="93">
        <f t="shared" si="182"/>
        <v>1</v>
      </c>
      <c r="AB145" s="93">
        <f t="shared" si="182"/>
        <v>1</v>
      </c>
      <c r="AC145" s="93">
        <f t="shared" si="182"/>
        <v>1</v>
      </c>
      <c r="AD145" s="93">
        <f t="shared" si="182"/>
        <v>1</v>
      </c>
      <c r="AE145" s="93">
        <f t="shared" si="182"/>
        <v>1</v>
      </c>
      <c r="AF145" s="93">
        <f t="shared" si="182"/>
        <v>1</v>
      </c>
      <c r="AG145" s="93">
        <f t="shared" si="182"/>
        <v>1</v>
      </c>
      <c r="AH145" s="93">
        <f t="shared" si="182"/>
        <v>1</v>
      </c>
      <c r="AI145" s="93">
        <f t="shared" si="182"/>
        <v>1</v>
      </c>
      <c r="AJ145" s="93">
        <f t="shared" si="182"/>
        <v>1</v>
      </c>
      <c r="AK145" s="93">
        <f t="shared" si="180"/>
        <v>1</v>
      </c>
      <c r="AL145" s="93">
        <f t="shared" si="180"/>
        <v>1</v>
      </c>
      <c r="AM145" s="93">
        <f t="shared" si="180"/>
        <v>1</v>
      </c>
      <c r="AN145" s="93">
        <f t="shared" si="180"/>
        <v>1</v>
      </c>
      <c r="AO145" s="93">
        <f t="shared" si="180"/>
        <v>1</v>
      </c>
      <c r="AP145" s="93">
        <f t="shared" si="180"/>
        <v>1</v>
      </c>
      <c r="AQ145" s="93">
        <f t="shared" si="180"/>
        <v>1</v>
      </c>
      <c r="AR145" s="93">
        <f t="shared" si="180"/>
        <v>1</v>
      </c>
      <c r="AS145" s="93">
        <f t="shared" si="180"/>
        <v>1</v>
      </c>
      <c r="AT145" s="93">
        <f t="shared" si="180"/>
        <v>1</v>
      </c>
      <c r="AU145" s="93">
        <f t="shared" si="182"/>
        <v>1</v>
      </c>
      <c r="AV145" s="93">
        <f t="shared" si="182"/>
        <v>1</v>
      </c>
      <c r="AW145" s="93">
        <f t="shared" si="182"/>
        <v>1</v>
      </c>
      <c r="AX145" s="93">
        <f t="shared" si="182"/>
        <v>1</v>
      </c>
      <c r="AY145" s="93">
        <f t="shared" si="183" ref="AY145:BR145">AY134*(1-$E145)</f>
        <v>1</v>
      </c>
      <c r="AZ145" s="93">
        <f t="shared" si="183"/>
        <v>1</v>
      </c>
      <c r="BA145" s="93">
        <f t="shared" si="183"/>
        <v>1</v>
      </c>
      <c r="BB145" s="93">
        <f t="shared" si="183"/>
        <v>1</v>
      </c>
      <c r="BC145" s="93">
        <f t="shared" si="183"/>
        <v>1</v>
      </c>
      <c r="BD145" s="93">
        <f t="shared" si="183"/>
        <v>1</v>
      </c>
      <c r="BE145" s="93">
        <f t="shared" si="183"/>
        <v>1</v>
      </c>
      <c r="BF145" s="93">
        <f t="shared" si="183"/>
        <v>1</v>
      </c>
      <c r="BG145" s="93">
        <f t="shared" si="183"/>
        <v>1</v>
      </c>
      <c r="BH145" s="93">
        <f t="shared" si="183"/>
        <v>1</v>
      </c>
      <c r="BI145" s="93">
        <f t="shared" si="183"/>
        <v>1</v>
      </c>
      <c r="BJ145" s="93">
        <f t="shared" si="183"/>
        <v>1</v>
      </c>
      <c r="BK145" s="93">
        <f t="shared" si="183"/>
        <v>1</v>
      </c>
      <c r="BL145" s="93">
        <f t="shared" si="183"/>
        <v>1</v>
      </c>
      <c r="BM145" s="93">
        <f t="shared" si="183"/>
        <v>1</v>
      </c>
      <c r="BN145" s="93">
        <f t="shared" si="183"/>
        <v>1</v>
      </c>
      <c r="BO145" s="93">
        <f t="shared" si="183"/>
        <v>1</v>
      </c>
      <c r="BP145" s="93">
        <f t="shared" si="183"/>
        <v>1</v>
      </c>
      <c r="BQ145" s="93">
        <f t="shared" si="183"/>
        <v>1</v>
      </c>
      <c r="BR145" s="93">
        <f t="shared" si="183"/>
        <v>1</v>
      </c>
    </row>
    <row r="146" spans="1:70" ht="15">
      <c r="A146" t="s">
        <v>16</v>
      </c>
      <c r="B146" s="5" t="str">
        <f t="shared" si="176"/>
        <v>CNO</v>
      </c>
      <c r="C146" s="5" t="str">
        <f t="shared" si="176"/>
        <v>Commercial - Other</v>
      </c>
      <c r="E146" s="128">
        <f t="shared" si="179"/>
        <v>0</v>
      </c>
      <c r="F146" s="75" t="s">
        <v>777</v>
      </c>
      <c r="G146" s="297"/>
      <c r="H146" s="127">
        <f>H145-H134</f>
        <v>0</v>
      </c>
      <c r="I146" s="135"/>
      <c r="L146" s="300">
        <f t="shared" si="182"/>
        <v>1</v>
      </c>
      <c r="M146" s="301">
        <f t="shared" si="182"/>
        <v>1</v>
      </c>
      <c r="N146" s="301">
        <f t="shared" si="182"/>
        <v>1</v>
      </c>
      <c r="O146" s="301">
        <f t="shared" si="182"/>
        <v>1</v>
      </c>
      <c r="P146" s="93">
        <f t="shared" si="182"/>
        <v>1</v>
      </c>
      <c r="Q146" s="93">
        <f t="shared" si="182"/>
        <v>1</v>
      </c>
      <c r="R146" s="93">
        <f t="shared" si="182"/>
        <v>1</v>
      </c>
      <c r="S146" s="93">
        <f t="shared" si="182"/>
        <v>1</v>
      </c>
      <c r="T146" s="93">
        <f t="shared" si="182"/>
        <v>1</v>
      </c>
      <c r="U146" s="93">
        <f t="shared" si="182"/>
        <v>1</v>
      </c>
      <c r="V146" s="93">
        <f t="shared" si="182"/>
        <v>1</v>
      </c>
      <c r="W146" s="93">
        <f t="shared" si="182"/>
        <v>1</v>
      </c>
      <c r="X146" s="93">
        <f t="shared" si="182"/>
        <v>1</v>
      </c>
      <c r="Y146" s="93">
        <f t="shared" si="182"/>
        <v>1</v>
      </c>
      <c r="Z146" s="93">
        <f t="shared" si="182"/>
        <v>1</v>
      </c>
      <c r="AA146" s="93">
        <f t="shared" si="182"/>
        <v>1</v>
      </c>
      <c r="AB146" s="93">
        <f t="shared" si="182"/>
        <v>1</v>
      </c>
      <c r="AC146" s="93">
        <f t="shared" si="182"/>
        <v>1</v>
      </c>
      <c r="AD146" s="93">
        <f t="shared" si="182"/>
        <v>1</v>
      </c>
      <c r="AE146" s="93">
        <f t="shared" si="182"/>
        <v>1</v>
      </c>
      <c r="AF146" s="93">
        <f t="shared" si="182"/>
        <v>1</v>
      </c>
      <c r="AG146" s="93">
        <f t="shared" si="182"/>
        <v>1</v>
      </c>
      <c r="AH146" s="93">
        <f t="shared" si="182"/>
        <v>1</v>
      </c>
      <c r="AI146" s="93">
        <f t="shared" si="182"/>
        <v>1</v>
      </c>
      <c r="AJ146" s="93">
        <f t="shared" si="182"/>
        <v>1</v>
      </c>
      <c r="AK146" s="93">
        <f t="shared" si="180"/>
        <v>1</v>
      </c>
      <c r="AL146" s="93">
        <f t="shared" si="180"/>
        <v>1</v>
      </c>
      <c r="AM146" s="93">
        <f t="shared" si="180"/>
        <v>1</v>
      </c>
      <c r="AN146" s="93">
        <f t="shared" si="180"/>
        <v>1</v>
      </c>
      <c r="AO146" s="93">
        <f t="shared" si="180"/>
        <v>1</v>
      </c>
      <c r="AP146" s="93">
        <f t="shared" si="180"/>
        <v>1</v>
      </c>
      <c r="AQ146" s="93">
        <f t="shared" si="180"/>
        <v>1</v>
      </c>
      <c r="AR146" s="93">
        <f t="shared" si="180"/>
        <v>1</v>
      </c>
      <c r="AS146" s="93">
        <f t="shared" si="180"/>
        <v>1</v>
      </c>
      <c r="AT146" s="93">
        <f t="shared" si="180"/>
        <v>1</v>
      </c>
      <c r="AU146" s="93">
        <f t="shared" si="182"/>
        <v>1</v>
      </c>
      <c r="AV146" s="93">
        <f t="shared" si="182"/>
        <v>1</v>
      </c>
      <c r="AW146" s="93">
        <f t="shared" si="182"/>
        <v>1</v>
      </c>
      <c r="AX146" s="93">
        <f t="shared" si="182"/>
        <v>1</v>
      </c>
      <c r="AY146" s="93">
        <f t="shared" si="184" ref="AY146:BR146">AY135*(1-$E146)</f>
        <v>1</v>
      </c>
      <c r="AZ146" s="93">
        <f t="shared" si="184"/>
        <v>1</v>
      </c>
      <c r="BA146" s="93">
        <f t="shared" si="184"/>
        <v>1</v>
      </c>
      <c r="BB146" s="93">
        <f t="shared" si="184"/>
        <v>1</v>
      </c>
      <c r="BC146" s="93">
        <f t="shared" si="184"/>
        <v>1</v>
      </c>
      <c r="BD146" s="93">
        <f t="shared" si="184"/>
        <v>1</v>
      </c>
      <c r="BE146" s="93">
        <f t="shared" si="184"/>
        <v>1</v>
      </c>
      <c r="BF146" s="93">
        <f t="shared" si="184"/>
        <v>1</v>
      </c>
      <c r="BG146" s="93">
        <f t="shared" si="184"/>
        <v>1</v>
      </c>
      <c r="BH146" s="93">
        <f t="shared" si="184"/>
        <v>1</v>
      </c>
      <c r="BI146" s="93">
        <f t="shared" si="184"/>
        <v>1</v>
      </c>
      <c r="BJ146" s="93">
        <f t="shared" si="184"/>
        <v>1</v>
      </c>
      <c r="BK146" s="93">
        <f t="shared" si="184"/>
        <v>1</v>
      </c>
      <c r="BL146" s="93">
        <f t="shared" si="184"/>
        <v>1</v>
      </c>
      <c r="BM146" s="93">
        <f t="shared" si="184"/>
        <v>1</v>
      </c>
      <c r="BN146" s="93">
        <f t="shared" si="184"/>
        <v>1</v>
      </c>
      <c r="BO146" s="93">
        <f t="shared" si="184"/>
        <v>1</v>
      </c>
      <c r="BP146" s="93">
        <f t="shared" si="184"/>
        <v>1</v>
      </c>
      <c r="BQ146" s="93">
        <f t="shared" si="184"/>
        <v>1</v>
      </c>
      <c r="BR146" s="93">
        <f t="shared" si="184"/>
        <v>1</v>
      </c>
    </row>
    <row r="147" spans="1:13" ht="15">
      <c r="A147" t="s">
        <v>16</v>
      </c>
      <c r="E147" s="298">
        <f>((1/(1-H145))-1)</f>
        <v>0</v>
      </c>
      <c r="F147" s="75" t="s">
        <v>780</v>
      </c>
      <c r="I147" s="135"/>
      <c r="M147" s="75"/>
    </row>
    <row r="148" spans="1:70" ht="19.5" thickBot="1">
      <c r="A148" t="s">
        <v>16</v>
      </c>
      <c r="B148" s="143" t="s">
        <v>464</v>
      </c>
      <c r="C148" s="73"/>
      <c r="D148" s="73"/>
      <c r="E148" s="73"/>
      <c r="G148" s="73"/>
      <c r="H148" s="73"/>
      <c r="I148" s="136"/>
      <c r="J148" s="73"/>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row>
    <row r="149" spans="1:13" ht="15">
      <c r="A149" t="s">
        <v>16</v>
      </c>
      <c r="B149" s="142"/>
      <c r="C149" s="142"/>
      <c r="D149" s="142"/>
      <c r="E149" s="142"/>
      <c r="F149" s="142"/>
      <c r="G149" s="142"/>
      <c r="H149" s="142"/>
      <c r="I149" s="141"/>
      <c r="J149" s="142"/>
      <c r="K149" s="142"/>
      <c r="M149" s="75"/>
    </row>
    <row r="150" spans="1:13" ht="15.75" thickBot="1">
      <c r="A150" t="s">
        <v>16</v>
      </c>
      <c r="B150" s="73" t="s">
        <v>478</v>
      </c>
      <c r="C150" s="142"/>
      <c r="D150" s="142"/>
      <c r="E150" s="142"/>
      <c r="F150" s="142"/>
      <c r="G150" s="142"/>
      <c r="H150" s="142"/>
      <c r="I150" s="141"/>
      <c r="J150" s="142"/>
      <c r="K150" s="142"/>
      <c r="M150" s="75"/>
    </row>
    <row r="151" spans="1:70" ht="15">
      <c r="A151" t="s">
        <v>16</v>
      </c>
      <c r="B151" s="75" t="str">
        <f>B92</f>
        <v>CEC</v>
      </c>
      <c r="C151" s="75" t="str">
        <f>C92</f>
        <v>Commercial - Cooling</v>
      </c>
      <c r="D151" s="142"/>
      <c r="E151" s="142"/>
      <c r="F151" s="142"/>
      <c r="G151" s="142"/>
      <c r="H151" s="142"/>
      <c r="I151" s="141"/>
      <c r="J151" s="142"/>
      <c r="K151" s="142"/>
      <c r="L151" s="140">
        <f t="shared" si="185" ref="L151:AX157">L92*L$34/1000</f>
        <v>27.932878870776804</v>
      </c>
      <c r="M151" s="140">
        <f t="shared" si="185"/>
        <v>27.4909305721423</v>
      </c>
      <c r="N151" s="140">
        <f t="shared" si="185"/>
        <v>27.116362938452312</v>
      </c>
      <c r="O151" s="140">
        <f t="shared" si="185"/>
        <v>26.687240817742403</v>
      </c>
      <c r="P151" s="140">
        <f t="shared" si="185"/>
        <v>26.232059419977514</v>
      </c>
      <c r="Q151" s="140">
        <f t="shared" si="185"/>
        <v>25.682543867083599</v>
      </c>
      <c r="R151" s="140">
        <f>R92*R$34/1000</f>
        <v>25.867296957823559</v>
      </c>
      <c r="S151" s="140">
        <f>S92*S$34/1000</f>
        <v>26.019629889666199</v>
      </c>
      <c r="T151" s="140">
        <f t="shared" si="185"/>
        <v>26.019629889666199</v>
      </c>
      <c r="U151" s="140">
        <f t="shared" si="185"/>
        <v>26.425862432083029</v>
      </c>
      <c r="V151" s="140">
        <f t="shared" si="185"/>
        <v>26.867241791156871</v>
      </c>
      <c r="W151" s="140">
        <f t="shared" si="185"/>
        <v>27.007116829215036</v>
      </c>
      <c r="X151" s="140">
        <f t="shared" si="185"/>
        <v>27.205838704741556</v>
      </c>
      <c r="Y151" s="140">
        <f t="shared" si="185"/>
        <v>27.405088239877337</v>
      </c>
      <c r="Z151" s="140">
        <f t="shared" si="185"/>
        <v>27.639780614326895</v>
      </c>
      <c r="AA151" s="140">
        <f t="shared" si="185"/>
        <v>27.947888326872878</v>
      </c>
      <c r="AB151" s="140">
        <f t="shared" si="185"/>
        <v>28.293184228909265</v>
      </c>
      <c r="AC151" s="140">
        <f t="shared" si="185"/>
        <v>28.68893139457408</v>
      </c>
      <c r="AD151" s="140">
        <f t="shared" si="185"/>
        <v>29.127502160788442</v>
      </c>
      <c r="AE151" s="140">
        <f t="shared" si="185"/>
        <v>29.597428802388272</v>
      </c>
      <c r="AF151" s="140">
        <f t="shared" si="185"/>
        <v>30.084258145972175</v>
      </c>
      <c r="AG151" s="140">
        <f t="shared" si="185"/>
        <v>30.585338927216743</v>
      </c>
      <c r="AH151" s="140">
        <f t="shared" si="185"/>
        <v>31.088195992514734</v>
      </c>
      <c r="AI151" s="140">
        <f t="shared" si="185"/>
        <v>31.587759724763661</v>
      </c>
      <c r="AJ151" s="140">
        <f t="shared" si="185"/>
        <v>32.081131084682532</v>
      </c>
      <c r="AK151" s="140">
        <f t="shared" si="185"/>
        <v>32.585815659216522</v>
      </c>
      <c r="AL151" s="140">
        <f t="shared" si="185"/>
        <v>33.102337489687365</v>
      </c>
      <c r="AM151" s="140">
        <f t="shared" si="185"/>
        <v>33.641237852354081</v>
      </c>
      <c r="AN151" s="140">
        <f t="shared" si="185"/>
        <v>34.189443054025951</v>
      </c>
      <c r="AO151" s="140">
        <f t="shared" si="185"/>
        <v>34.74519134137747</v>
      </c>
      <c r="AP151" s="140">
        <f t="shared" si="185"/>
        <v>35.289991176578972</v>
      </c>
      <c r="AQ151" s="140">
        <f t="shared" si="185"/>
        <v>35.824425000290894</v>
      </c>
      <c r="AR151" s="140">
        <f t="shared" si="185"/>
        <v>36.349026046944815</v>
      </c>
      <c r="AS151" s="140">
        <f t="shared" si="185"/>
        <v>36.864283942734843</v>
      </c>
      <c r="AT151" s="140">
        <f t="shared" si="185"/>
        <v>37.391781678379985</v>
      </c>
      <c r="AU151" s="140">
        <f t="shared" si="185"/>
        <v>37.910092554114634</v>
      </c>
      <c r="AV151" s="140">
        <f t="shared" si="185"/>
        <v>38.419650342690808</v>
      </c>
      <c r="AW151" s="140">
        <f t="shared" si="185"/>
        <v>38.920856169848193</v>
      </c>
      <c r="AX151" s="140">
        <f t="shared" si="185"/>
        <v>39.414081834688012</v>
      </c>
      <c r="AY151" s="140">
        <f t="shared" si="186" ref="AY151:BR156">AY92*AY$34/1000</f>
        <v>39.930457422839773</v>
      </c>
      <c r="AZ151" s="140">
        <f t="shared" si="186"/>
        <v>40.438577198009149</v>
      </c>
      <c r="BA151" s="140">
        <f t="shared" si="186"/>
        <v>40.938799903625096</v>
      </c>
      <c r="BB151" s="140">
        <f t="shared" si="186"/>
        <v>41.431459376533077</v>
      </c>
      <c r="BC151" s="140">
        <f t="shared" si="186"/>
        <v>41.916866888907734</v>
      </c>
      <c r="BD151" s="140">
        <f t="shared" si="186"/>
        <v>42.395313215315753</v>
      </c>
      <c r="BE151" s="140">
        <f t="shared" si="186"/>
        <v>42.86707046327674</v>
      </c>
      <c r="BF151" s="140">
        <f t="shared" si="186"/>
        <v>43.332393699511428</v>
      </c>
      <c r="BG151" s="140">
        <f t="shared" si="186"/>
        <v>43.791522399020415</v>
      </c>
      <c r="BH151" s="140">
        <f t="shared" si="186"/>
        <v>44.244681739981004</v>
      </c>
      <c r="BI151" s="140">
        <f t="shared" si="186"/>
        <v>44.420370830578769</v>
      </c>
      <c r="BJ151" s="140">
        <f t="shared" si="186"/>
        <v>44.595191186918619</v>
      </c>
      <c r="BK151" s="140">
        <f t="shared" si="186"/>
        <v>44.769154713570082</v>
      </c>
      <c r="BL151" s="140">
        <f t="shared" si="186"/>
        <v>44.942273049522072</v>
      </c>
      <c r="BM151" s="140">
        <f t="shared" si="186"/>
        <v>45.11455757635381</v>
      </c>
      <c r="BN151" s="140">
        <f t="shared" si="186"/>
        <v>45.286019426086263</v>
      </c>
      <c r="BO151" s="140">
        <f t="shared" si="186"/>
        <v>45.456669488729631</v>
      </c>
      <c r="BP151" s="140">
        <f t="shared" si="186"/>
        <v>45.626518419540666</v>
      </c>
      <c r="BQ151" s="140">
        <f t="shared" si="186"/>
        <v>45.795576646003603</v>
      </c>
      <c r="BR151" s="140">
        <f t="shared" si="186"/>
        <v>45.963854374547211</v>
      </c>
    </row>
    <row r="152" spans="1:70" ht="15">
      <c r="A152" t="s">
        <v>16</v>
      </c>
      <c r="B152" s="75" t="str">
        <f t="shared" si="187" ref="B152:C159">B93</f>
        <v>CEH</v>
      </c>
      <c r="C152" s="75" t="str">
        <f t="shared" si="187"/>
        <v>Commercial - Space Heating</v>
      </c>
      <c r="D152" s="142"/>
      <c r="E152" s="142"/>
      <c r="F152" s="142"/>
      <c r="G152" s="142"/>
      <c r="H152" s="142"/>
      <c r="I152" s="141"/>
      <c r="J152" s="142"/>
      <c r="K152" s="142"/>
      <c r="L152" s="140">
        <f t="shared" si="185"/>
        <v>1.57035098150038</v>
      </c>
      <c r="M152" s="140">
        <f t="shared" si="185"/>
        <v>1.7292973417451956</v>
      </c>
      <c r="N152" s="140">
        <f t="shared" si="185"/>
        <v>1.8963958124622828</v>
      </c>
      <c r="O152" s="140">
        <f t="shared" si="185"/>
        <v>2.0639865113263145</v>
      </c>
      <c r="P152" s="140">
        <f t="shared" si="185"/>
        <v>2.2336031445521205</v>
      </c>
      <c r="Q152" s="140">
        <f t="shared" si="185"/>
        <v>2.3985815155966002</v>
      </c>
      <c r="R152" s="140">
        <f t="shared" si="185"/>
        <v>2.4158362451394226</v>
      </c>
      <c r="S152" s="140">
        <f t="shared" si="185"/>
        <v>2.4300631440177187</v>
      </c>
      <c r="T152" s="140">
        <f t="shared" si="185"/>
        <v>2.4300631440177187</v>
      </c>
      <c r="U152" s="140">
        <f t="shared" si="185"/>
        <v>2.4680026048560841</v>
      </c>
      <c r="V152" s="140">
        <f t="shared" si="185"/>
        <v>2.5092245483488882</v>
      </c>
      <c r="W152" s="140">
        <f t="shared" si="185"/>
        <v>2.5222879614794582</v>
      </c>
      <c r="X152" s="140">
        <f t="shared" si="185"/>
        <v>2.5408472841014471</v>
      </c>
      <c r="Y152" s="140">
        <f t="shared" si="185"/>
        <v>2.5594558866776289</v>
      </c>
      <c r="Z152" s="140">
        <f t="shared" si="185"/>
        <v>2.581374618487045</v>
      </c>
      <c r="AA152" s="140">
        <f t="shared" si="185"/>
        <v>2.6101498624017543</v>
      </c>
      <c r="AB152" s="140">
        <f t="shared" si="185"/>
        <v>2.6423982398336032</v>
      </c>
      <c r="AC152" s="140">
        <f t="shared" si="185"/>
        <v>2.6793584351057693</v>
      </c>
      <c r="AD152" s="140">
        <f t="shared" si="185"/>
        <v>2.7203180744065727</v>
      </c>
      <c r="AE152" s="140">
        <f t="shared" si="185"/>
        <v>2.7642061472571902</v>
      </c>
      <c r="AF152" s="140">
        <f t="shared" si="185"/>
        <v>2.8096728218519513</v>
      </c>
      <c r="AG152" s="140">
        <f t="shared" si="185"/>
        <v>2.8564704874544753</v>
      </c>
      <c r="AH152" s="140">
        <f t="shared" si="185"/>
        <v>2.9034340463625465</v>
      </c>
      <c r="AI152" s="140">
        <f t="shared" si="185"/>
        <v>2.9500900295173338</v>
      </c>
      <c r="AJ152" s="140">
        <f t="shared" si="185"/>
        <v>2.9961676856229995</v>
      </c>
      <c r="AK152" s="140">
        <f t="shared" si="185"/>
        <v>3.0433019219334243</v>
      </c>
      <c r="AL152" s="140">
        <f t="shared" si="185"/>
        <v>3.0915416804784241</v>
      </c>
      <c r="AM152" s="140">
        <f t="shared" si="185"/>
        <v>3.1418714474723148</v>
      </c>
      <c r="AN152" s="140">
        <f t="shared" si="185"/>
        <v>3.1930702255329773</v>
      </c>
      <c r="AO152" s="140">
        <f t="shared" si="185"/>
        <v>3.2449734784297548</v>
      </c>
      <c r="AP152" s="140">
        <f t="shared" si="185"/>
        <v>3.2958542175487957</v>
      </c>
      <c r="AQ152" s="140">
        <f t="shared" si="185"/>
        <v>3.3457668390359516</v>
      </c>
      <c r="AR152" s="140">
        <f t="shared" si="185"/>
        <v>3.3947611434973348</v>
      </c>
      <c r="AS152" s="140">
        <f t="shared" si="185"/>
        <v>3.4428828588150751</v>
      </c>
      <c r="AT152" s="140">
        <f t="shared" si="185"/>
        <v>3.492147695070611</v>
      </c>
      <c r="AU152" s="140">
        <f t="shared" si="185"/>
        <v>3.5405545387346922</v>
      </c>
      <c r="AV152" s="140">
        <f t="shared" si="185"/>
        <v>3.5881439013434937</v>
      </c>
      <c r="AW152" s="140">
        <f t="shared" si="185"/>
        <v>3.6349532454159008</v>
      </c>
      <c r="AX152" s="140">
        <f t="shared" si="185"/>
        <v>3.6810172945546968</v>
      </c>
      <c r="AY152" s="140">
        <f t="shared" si="186"/>
        <v>3.7292433950241901</v>
      </c>
      <c r="AZ152" s="140">
        <f t="shared" si="186"/>
        <v>3.7766984565919981</v>
      </c>
      <c r="BA152" s="140">
        <f t="shared" si="186"/>
        <v>3.8234159835465569</v>
      </c>
      <c r="BB152" s="140">
        <f t="shared" si="186"/>
        <v>3.869427154064411</v>
      </c>
      <c r="BC152" s="140">
        <f t="shared" si="186"/>
        <v>3.9147610389295231</v>
      </c>
      <c r="BD152" s="140">
        <f t="shared" si="186"/>
        <v>3.9594447945834248</v>
      </c>
      <c r="BE152" s="140">
        <f t="shared" si="186"/>
        <v>4.0035038340876161</v>
      </c>
      <c r="BF152" s="140">
        <f t="shared" si="186"/>
        <v>4.0469619790045064</v>
      </c>
      <c r="BG152" s="140">
        <f t="shared" si="186"/>
        <v>4.0898415947318876</v>
      </c>
      <c r="BH152" s="140">
        <f t="shared" si="186"/>
        <v>4.1321637114378227</v>
      </c>
      <c r="BI152" s="140">
        <f t="shared" si="186"/>
        <v>4.1485719226874833</v>
      </c>
      <c r="BJ152" s="140">
        <f t="shared" si="186"/>
        <v>4.1648989998429595</v>
      </c>
      <c r="BK152" s="140">
        <f t="shared" si="186"/>
        <v>4.1811460547131345</v>
      </c>
      <c r="BL152" s="140">
        <f t="shared" si="186"/>
        <v>4.1973141743034024</v>
      </c>
      <c r="BM152" s="140">
        <f t="shared" si="186"/>
        <v>4.2134044215787707</v>
      </c>
      <c r="BN152" s="140">
        <f t="shared" si="186"/>
        <v>4.2294178361971486</v>
      </c>
      <c r="BO152" s="140">
        <f t="shared" si="186"/>
        <v>4.2453554352142149</v>
      </c>
      <c r="BP152" s="140">
        <f t="shared" si="186"/>
        <v>4.2612182137612162</v>
      </c>
      <c r="BQ152" s="140">
        <f t="shared" si="186"/>
        <v>4.2770071456969365</v>
      </c>
      <c r="BR152" s="140">
        <f t="shared" si="186"/>
        <v>4.2927231842350277</v>
      </c>
    </row>
    <row r="153" spans="1:70" ht="15">
      <c r="A153" t="s">
        <v>16</v>
      </c>
      <c r="B153" s="75" t="str">
        <f t="shared" si="187"/>
        <v>CEK</v>
      </c>
      <c r="C153" s="75" t="str">
        <f t="shared" si="187"/>
        <v>Commercial - Cooking</v>
      </c>
      <c r="D153" s="142"/>
      <c r="E153" s="142"/>
      <c r="F153" s="142"/>
      <c r="G153" s="142"/>
      <c r="H153" s="142"/>
      <c r="I153" s="141"/>
      <c r="J153" s="142"/>
      <c r="K153" s="142"/>
      <c r="L153" s="140">
        <f t="shared" si="185"/>
        <v>1.9788999513059518</v>
      </c>
      <c r="M153" s="140">
        <f t="shared" si="185"/>
        <v>1.9424161516034013</v>
      </c>
      <c r="N153" s="140">
        <f t="shared" si="185"/>
        <v>1.9105830681136837</v>
      </c>
      <c r="O153" s="140">
        <f t="shared" si="185"/>
        <v>1.8747848838224754</v>
      </c>
      <c r="P153" s="140">
        <f t="shared" si="185"/>
        <v>1.8370422585127875</v>
      </c>
      <c r="Q153" s="140">
        <f t="shared" si="185"/>
        <v>1.792597823160518</v>
      </c>
      <c r="R153" s="140">
        <f t="shared" si="185"/>
        <v>1.8054932742496563</v>
      </c>
      <c r="S153" s="140">
        <f t="shared" si="185"/>
        <v>1.8161258534610465</v>
      </c>
      <c r="T153" s="140">
        <f t="shared" si="185"/>
        <v>1.8161258534610465</v>
      </c>
      <c r="U153" s="140">
        <f t="shared" si="185"/>
        <v>1.84448019308574</v>
      </c>
      <c r="V153" s="140">
        <f t="shared" si="185"/>
        <v>1.875287720656162</v>
      </c>
      <c r="W153" s="140">
        <f t="shared" si="185"/>
        <v>1.8850507600978634</v>
      </c>
      <c r="X153" s="140">
        <f t="shared" si="185"/>
        <v>1.8989212085755074</v>
      </c>
      <c r="Y153" s="140">
        <f t="shared" si="185"/>
        <v>1.912828486795245</v>
      </c>
      <c r="Z153" s="140">
        <f t="shared" si="185"/>
        <v>1.9292096148380109</v>
      </c>
      <c r="AA153" s="140">
        <f t="shared" si="185"/>
        <v>1.9507150084496141</v>
      </c>
      <c r="AB153" s="140">
        <f t="shared" si="185"/>
        <v>1.9748160743541483</v>
      </c>
      <c r="AC153" s="140">
        <f t="shared" si="185"/>
        <v>2.0024385525387149</v>
      </c>
      <c r="AD153" s="140">
        <f t="shared" si="185"/>
        <v>2.033050045110731</v>
      </c>
      <c r="AE153" s="140">
        <f t="shared" si="185"/>
        <v>2.0658501243839007</v>
      </c>
      <c r="AF153" s="140">
        <f t="shared" si="185"/>
        <v>2.0998299834693417</v>
      </c>
      <c r="AG153" s="140">
        <f t="shared" si="185"/>
        <v>2.1348045686325281</v>
      </c>
      <c r="AH153" s="140">
        <f t="shared" si="185"/>
        <v>2.1699031353975355</v>
      </c>
      <c r="AI153" s="140">
        <f t="shared" si="185"/>
        <v>2.2047718331244424</v>
      </c>
      <c r="AJ153" s="140">
        <f t="shared" si="185"/>
        <v>2.2392083138086569</v>
      </c>
      <c r="AK153" s="140">
        <f t="shared" si="185"/>
        <v>2.2744344376059904</v>
      </c>
      <c r="AL153" s="140">
        <f t="shared" si="185"/>
        <v>2.3104867817082275</v>
      </c>
      <c r="AM153" s="140">
        <f t="shared" si="185"/>
        <v>2.3481011092458868</v>
      </c>
      <c r="AN153" s="140">
        <f t="shared" si="185"/>
        <v>2.3863648986994606</v>
      </c>
      <c r="AO153" s="140">
        <f t="shared" si="185"/>
        <v>2.4251551826871904</v>
      </c>
      <c r="AP153" s="140">
        <f t="shared" si="185"/>
        <v>2.4631812833606568</v>
      </c>
      <c r="AQ153" s="140">
        <f t="shared" si="185"/>
        <v>2.5004838540860281</v>
      </c>
      <c r="AR153" s="140">
        <f t="shared" si="185"/>
        <v>2.5371001137185023</v>
      </c>
      <c r="AS153" s="140">
        <f t="shared" si="185"/>
        <v>2.5730642373325692</v>
      </c>
      <c r="AT153" s="140">
        <f t="shared" si="185"/>
        <v>2.6098826809234126</v>
      </c>
      <c r="AU153" s="140">
        <f t="shared" si="185"/>
        <v>2.6460598973382234</v>
      </c>
      <c r="AV153" s="140">
        <f t="shared" si="185"/>
        <v>2.6816261631763538</v>
      </c>
      <c r="AW153" s="140">
        <f t="shared" si="185"/>
        <v>2.7166094763312949</v>
      </c>
      <c r="AX153" s="140">
        <f t="shared" si="185"/>
        <v>2.7510357877471177</v>
      </c>
      <c r="AY153" s="140">
        <f t="shared" si="186"/>
        <v>2.7870779243845427</v>
      </c>
      <c r="AZ153" s="140">
        <f t="shared" si="186"/>
        <v>2.8225438193358934</v>
      </c>
      <c r="BA153" s="140">
        <f t="shared" si="186"/>
        <v>2.8574585122815512</v>
      </c>
      <c r="BB153" s="140">
        <f t="shared" si="186"/>
        <v>2.8918453044647872</v>
      </c>
      <c r="BC153" s="140">
        <f t="shared" si="186"/>
        <v>2.9257259221532781</v>
      </c>
      <c r="BD153" s="140">
        <f t="shared" si="186"/>
        <v>2.9591206609165748</v>
      </c>
      <c r="BE153" s="140">
        <f t="shared" si="186"/>
        <v>2.9920485133961314</v>
      </c>
      <c r="BF153" s="140">
        <f t="shared" si="186"/>
        <v>3.0245272828146623</v>
      </c>
      <c r="BG153" s="140">
        <f t="shared" si="186"/>
        <v>3.0565736841193702</v>
      </c>
      <c r="BH153" s="140">
        <f t="shared" si="186"/>
        <v>3.0882034343635407</v>
      </c>
      <c r="BI153" s="140">
        <f t="shared" si="186"/>
        <v>3.1004662336792368</v>
      </c>
      <c r="BJ153" s="140">
        <f t="shared" si="186"/>
        <v>3.1126683968232318</v>
      </c>
      <c r="BK153" s="140">
        <f t="shared" si="186"/>
        <v>3.1248107547142046</v>
      </c>
      <c r="BL153" s="140">
        <f t="shared" si="186"/>
        <v>3.1368941197337601</v>
      </c>
      <c r="BM153" s="140">
        <f t="shared" si="186"/>
        <v>3.148919286296743</v>
      </c>
      <c r="BN153" s="140">
        <f t="shared" si="186"/>
        <v>3.1608870313992603</v>
      </c>
      <c r="BO153" s="140">
        <f t="shared" si="186"/>
        <v>3.1727981151454769</v>
      </c>
      <c r="BP153" s="140">
        <f t="shared" si="186"/>
        <v>3.1846532812541675</v>
      </c>
      <c r="BQ153" s="140">
        <f t="shared" si="186"/>
        <v>3.1964532575459721</v>
      </c>
      <c r="BR153" s="140">
        <f t="shared" si="186"/>
        <v>3.208198756412239</v>
      </c>
    </row>
    <row r="154" spans="1:70" ht="15">
      <c r="A154" t="s">
        <v>16</v>
      </c>
      <c r="B154" s="75" t="str">
        <f t="shared" si="187"/>
        <v>CEL</v>
      </c>
      <c r="C154" s="75" t="str">
        <f t="shared" si="187"/>
        <v>Commercial - Lighting</v>
      </c>
      <c r="D154" s="142"/>
      <c r="E154" s="142"/>
      <c r="F154" s="142"/>
      <c r="G154" s="142"/>
      <c r="H154" s="142"/>
      <c r="I154" s="141"/>
      <c r="J154" s="142"/>
      <c r="K154" s="142"/>
      <c r="L154" s="140">
        <f t="shared" si="185"/>
        <v>24.308054381137801</v>
      </c>
      <c r="M154" s="140">
        <f t="shared" si="185"/>
        <v>23.923457314485326</v>
      </c>
      <c r="N154" s="140">
        <f t="shared" si="185"/>
        <v>23.597496984679275</v>
      </c>
      <c r="O154" s="140">
        <f t="shared" si="185"/>
        <v>23.224061654414072</v>
      </c>
      <c r="P154" s="140">
        <f t="shared" si="185"/>
        <v>22.827948735966284</v>
      </c>
      <c r="Q154" s="140">
        <f t="shared" si="185"/>
        <v>22.349743320590999</v>
      </c>
      <c r="R154" s="140">
        <f t="shared" si="185"/>
        <v>22.510521169432373</v>
      </c>
      <c r="S154" s="140">
        <f t="shared" si="185"/>
        <v>22.643085994146627</v>
      </c>
      <c r="T154" s="140">
        <f t="shared" si="185"/>
        <v>22.643085994146627</v>
      </c>
      <c r="U154" s="140">
        <f t="shared" si="185"/>
        <v>22.996602106042531</v>
      </c>
      <c r="V154" s="140">
        <f t="shared" si="185"/>
        <v>23.380704063907789</v>
      </c>
      <c r="W154" s="140">
        <f t="shared" si="185"/>
        <v>23.502427644474306</v>
      </c>
      <c r="X154" s="140">
        <f t="shared" si="185"/>
        <v>23.675361561503312</v>
      </c>
      <c r="Y154" s="140">
        <f t="shared" si="185"/>
        <v>23.848754664230153</v>
      </c>
      <c r="Z154" s="140">
        <f t="shared" si="185"/>
        <v>24.052991220990023</v>
      </c>
      <c r="AA154" s="140">
        <f t="shared" si="185"/>
        <v>24.321116073657873</v>
      </c>
      <c r="AB154" s="140">
        <f t="shared" si="185"/>
        <v>24.621603238017634</v>
      </c>
      <c r="AC154" s="140">
        <f t="shared" si="185"/>
        <v>24.965994651042575</v>
      </c>
      <c r="AD154" s="140">
        <f t="shared" si="185"/>
        <v>25.347652484609785</v>
      </c>
      <c r="AE154" s="140">
        <f t="shared" si="185"/>
        <v>25.756597169903387</v>
      </c>
      <c r="AF154" s="140">
        <f t="shared" si="185"/>
        <v>26.18025110879443</v>
      </c>
      <c r="AG154" s="140">
        <f t="shared" si="185"/>
        <v>26.616307089138758</v>
      </c>
      <c r="AH154" s="140">
        <f t="shared" si="185"/>
        <v>27.053908846757484</v>
      </c>
      <c r="AI154" s="140">
        <f t="shared" si="185"/>
        <v>27.488644644185626</v>
      </c>
      <c r="AJ154" s="140">
        <f t="shared" si="185"/>
        <v>27.917991647854148</v>
      </c>
      <c r="AK154" s="140">
        <f t="shared" si="185"/>
        <v>28.357183760484119</v>
      </c>
      <c r="AL154" s="140">
        <f t="shared" si="185"/>
        <v>28.806677019027749</v>
      </c>
      <c r="AM154" s="140">
        <f t="shared" si="185"/>
        <v>29.275644767834411</v>
      </c>
      <c r="AN154" s="140">
        <f t="shared" si="185"/>
        <v>29.752709875083479</v>
      </c>
      <c r="AO154" s="140">
        <f t="shared" si="185"/>
        <v>30.236339208589015</v>
      </c>
      <c r="AP154" s="140">
        <f t="shared" si="185"/>
        <v>30.710440860702214</v>
      </c>
      <c r="AQ154" s="140">
        <f t="shared" si="185"/>
        <v>31.175521689284469</v>
      </c>
      <c r="AR154" s="140">
        <f t="shared" si="185"/>
        <v>31.632045731416273</v>
      </c>
      <c r="AS154" s="140">
        <f t="shared" si="185"/>
        <v>32.080439074942291</v>
      </c>
      <c r="AT154" s="140">
        <f t="shared" si="185"/>
        <v>32.539483905348362</v>
      </c>
      <c r="AU154" s="140">
        <f t="shared" si="185"/>
        <v>32.990534046366008</v>
      </c>
      <c r="AV154" s="140">
        <f t="shared" si="185"/>
        <v>33.433966980448595</v>
      </c>
      <c r="AW154" s="140">
        <f t="shared" si="185"/>
        <v>33.870131779610446</v>
      </c>
      <c r="AX154" s="140">
        <f t="shared" si="185"/>
        <v>34.299351994918879</v>
      </c>
      <c r="AY154" s="140">
        <f t="shared" si="186"/>
        <v>34.748717988877239</v>
      </c>
      <c r="AZ154" s="140">
        <f t="shared" si="186"/>
        <v>35.190899519255424</v>
      </c>
      <c r="BA154" s="140">
        <f t="shared" si="186"/>
        <v>35.626208775671287</v>
      </c>
      <c r="BB154" s="140">
        <f t="shared" si="186"/>
        <v>36.05493627326404</v>
      </c>
      <c r="BC154" s="140">
        <f t="shared" si="186"/>
        <v>36.477352890699066</v>
      </c>
      <c r="BD154" s="140">
        <f t="shared" si="186"/>
        <v>36.893711668989873</v>
      </c>
      <c r="BE154" s="140">
        <f t="shared" si="186"/>
        <v>37.304249404508745</v>
      </c>
      <c r="BF154" s="140">
        <f t="shared" si="186"/>
        <v>37.709188064198187</v>
      </c>
      <c r="BG154" s="140">
        <f t="shared" si="186"/>
        <v>38.108736046604022</v>
      </c>
      <c r="BH154" s="140">
        <f t="shared" si="186"/>
        <v>38.503089308734644</v>
      </c>
      <c r="BI154" s="140">
        <f t="shared" si="186"/>
        <v>38.655979384554612</v>
      </c>
      <c r="BJ154" s="140">
        <f t="shared" si="186"/>
        <v>38.80811346097753</v>
      </c>
      <c r="BK154" s="140">
        <f t="shared" si="186"/>
        <v>38.959501897727684</v>
      </c>
      <c r="BL154" s="140">
        <f t="shared" si="186"/>
        <v>39.110154823412891</v>
      </c>
      <c r="BM154" s="140">
        <f t="shared" si="186"/>
        <v>39.260082142635106</v>
      </c>
      <c r="BN154" s="140">
        <f t="shared" si="186"/>
        <v>39.409293542822986</v>
      </c>
      <c r="BO154" s="140">
        <f t="shared" si="186"/>
        <v>39.557798500799926</v>
      </c>
      <c r="BP154" s="140">
        <f t="shared" si="186"/>
        <v>39.70560628909962</v>
      </c>
      <c r="BQ154" s="140">
        <f t="shared" si="186"/>
        <v>39.852725982041072</v>
      </c>
      <c r="BR154" s="140">
        <f t="shared" si="186"/>
        <v>39.999166461574021</v>
      </c>
    </row>
    <row r="155" spans="1:70" ht="15">
      <c r="A155" t="s">
        <v>16</v>
      </c>
      <c r="B155" s="75" t="str">
        <f t="shared" si="187"/>
        <v>CER</v>
      </c>
      <c r="C155" s="75" t="str">
        <f t="shared" si="187"/>
        <v>Commercial - Refrigeration</v>
      </c>
      <c r="D155" s="142"/>
      <c r="E155" s="142"/>
      <c r="F155" s="142"/>
      <c r="G155" s="142"/>
      <c r="H155" s="142"/>
      <c r="I155" s="141"/>
      <c r="J155" s="142"/>
      <c r="K155" s="142"/>
      <c r="L155" s="140">
        <f t="shared" si="185"/>
        <v>5.91327807474942</v>
      </c>
      <c r="M155" s="140">
        <f t="shared" si="185"/>
        <v>5.8197193980165904</v>
      </c>
      <c r="N155" s="140">
        <f t="shared" si="185"/>
        <v>5.7404249369602649</v>
      </c>
      <c r="O155" s="140">
        <f t="shared" si="185"/>
        <v>5.6495815104905818</v>
      </c>
      <c r="P155" s="140">
        <f t="shared" si="185"/>
        <v>5.5532214399125026</v>
      </c>
      <c r="Q155" s="140">
        <f t="shared" si="185"/>
        <v>5.4368912082276806</v>
      </c>
      <c r="R155" s="140">
        <f t="shared" si="185"/>
        <v>5.4760026942212612</v>
      </c>
      <c r="S155" s="140">
        <f t="shared" si="185"/>
        <v>5.5082509630121219</v>
      </c>
      <c r="T155" s="140">
        <f t="shared" si="185"/>
        <v>5.5082509630121219</v>
      </c>
      <c r="U155" s="140">
        <f t="shared" si="185"/>
        <v>5.5942487578486677</v>
      </c>
      <c r="V155" s="140">
        <f t="shared" si="185"/>
        <v>5.6876869923655144</v>
      </c>
      <c r="W155" s="140">
        <f t="shared" si="185"/>
        <v>5.7172979751639756</v>
      </c>
      <c r="X155" s="140">
        <f t="shared" si="185"/>
        <v>5.7593665966963394</v>
      </c>
      <c r="Y155" s="140">
        <f t="shared" si="185"/>
        <v>5.8015469216450528</v>
      </c>
      <c r="Z155" s="140">
        <f t="shared" si="185"/>
        <v>5.8512303530795169</v>
      </c>
      <c r="AA155" s="140">
        <f t="shared" si="185"/>
        <v>5.9164555162174794</v>
      </c>
      <c r="AB155" s="140">
        <f t="shared" si="185"/>
        <v>5.9895532694515268</v>
      </c>
      <c r="AC155" s="140">
        <f t="shared" si="185"/>
        <v>6.0733313522154289</v>
      </c>
      <c r="AD155" s="140">
        <f t="shared" si="185"/>
        <v>6.1661750189237186</v>
      </c>
      <c r="AE155" s="140">
        <f t="shared" si="185"/>
        <v>6.2656565982971948</v>
      </c>
      <c r="AF155" s="140">
        <f t="shared" si="185"/>
        <v>6.3687164116761545</v>
      </c>
      <c r="AG155" s="140">
        <f t="shared" si="185"/>
        <v>6.4747931970701487</v>
      </c>
      <c r="AH155" s="140">
        <f t="shared" si="185"/>
        <v>6.5812460146517378</v>
      </c>
      <c r="AI155" s="140">
        <f t="shared" si="185"/>
        <v>6.6870016468768885</v>
      </c>
      <c r="AJ155" s="140">
        <f t="shared" si="185"/>
        <v>6.7914463787935029</v>
      </c>
      <c r="AK155" s="140">
        <f t="shared" si="185"/>
        <v>6.8982860727277462</v>
      </c>
      <c r="AL155" s="140">
        <f t="shared" si="185"/>
        <v>7.007631666119055</v>
      </c>
      <c r="AM155" s="140">
        <f t="shared" si="185"/>
        <v>7.1217147047408087</v>
      </c>
      <c r="AN155" s="140">
        <f t="shared" si="185"/>
        <v>7.237767540343846</v>
      </c>
      <c r="AO155" s="140">
        <f t="shared" si="185"/>
        <v>7.3554172168372114</v>
      </c>
      <c r="AP155" s="140">
        <f t="shared" si="185"/>
        <v>7.470749150059266</v>
      </c>
      <c r="AQ155" s="140">
        <f t="shared" si="185"/>
        <v>7.5838866403544909</v>
      </c>
      <c r="AR155" s="140">
        <f t="shared" si="185"/>
        <v>7.694942571306691</v>
      </c>
      <c r="AS155" s="140">
        <f t="shared" si="185"/>
        <v>7.8040205948112549</v>
      </c>
      <c r="AT155" s="140">
        <f t="shared" si="185"/>
        <v>7.9156897431686666</v>
      </c>
      <c r="AU155" s="140">
        <f t="shared" si="185"/>
        <v>8.0254140702444676</v>
      </c>
      <c r="AV155" s="140">
        <f t="shared" si="185"/>
        <v>8.1332854039850666</v>
      </c>
      <c r="AW155" s="140">
        <f t="shared" si="185"/>
        <v>8.2393886610957061</v>
      </c>
      <c r="AX155" s="140">
        <f t="shared" si="185"/>
        <v>8.3438025499502597</v>
      </c>
      <c r="AY155" s="140">
        <f t="shared" si="186"/>
        <v>8.4531171844309956</v>
      </c>
      <c r="AZ155" s="140">
        <f t="shared" si="186"/>
        <v>8.5606840965189281</v>
      </c>
      <c r="BA155" s="140">
        <f t="shared" si="186"/>
        <v>8.6665792307546319</v>
      </c>
      <c r="BB155" s="140">
        <f t="shared" si="186"/>
        <v>8.7708732590551737</v>
      </c>
      <c r="BC155" s="140">
        <f t="shared" si="186"/>
        <v>8.8736320764875796</v>
      </c>
      <c r="BD155" s="140">
        <f t="shared" si="186"/>
        <v>8.9749172388577492</v>
      </c>
      <c r="BE155" s="140">
        <f t="shared" si="186"/>
        <v>9.0747863502328165</v>
      </c>
      <c r="BF155" s="140">
        <f t="shared" si="186"/>
        <v>9.1732934072113483</v>
      </c>
      <c r="BG155" s="140">
        <f t="shared" si="186"/>
        <v>9.2704891056874921</v>
      </c>
      <c r="BH155" s="140">
        <f t="shared" si="186"/>
        <v>9.3664211149754291</v>
      </c>
      <c r="BI155" s="140">
        <f t="shared" si="186"/>
        <v>9.4036137886060462</v>
      </c>
      <c r="BJ155" s="140">
        <f t="shared" si="186"/>
        <v>9.4406225546894404</v>
      </c>
      <c r="BK155" s="140">
        <f t="shared" si="186"/>
        <v>9.4774499333750768</v>
      </c>
      <c r="BL155" s="140">
        <f t="shared" si="186"/>
        <v>9.5140983885900923</v>
      </c>
      <c r="BM155" s="140">
        <f t="shared" si="186"/>
        <v>9.5505703297690019</v>
      </c>
      <c r="BN155" s="140">
        <f t="shared" si="186"/>
        <v>9.5868681135158695</v>
      </c>
      <c r="BO155" s="140">
        <f t="shared" si="186"/>
        <v>9.6229940452020379</v>
      </c>
      <c r="BP155" s="140">
        <f t="shared" si="186"/>
        <v>9.658950380502489</v>
      </c>
      <c r="BQ155" s="140">
        <f t="shared" si="186"/>
        <v>9.6947393268736821</v>
      </c>
      <c r="BR155" s="140">
        <f t="shared" si="186"/>
        <v>9.7303630449755278</v>
      </c>
    </row>
    <row r="156" spans="1:70" ht="15">
      <c r="A156" t="s">
        <v>16</v>
      </c>
      <c r="B156" s="75" t="str">
        <f t="shared" si="187"/>
        <v>CEW</v>
      </c>
      <c r="C156" s="75" t="str">
        <f t="shared" si="187"/>
        <v>Commercial - Water Heating</v>
      </c>
      <c r="D156" s="142"/>
      <c r="E156" s="142"/>
      <c r="F156" s="142"/>
      <c r="G156" s="142"/>
      <c r="H156" s="142"/>
      <c r="I156" s="141"/>
      <c r="J156" s="142"/>
      <c r="K156" s="142"/>
      <c r="L156" s="140">
        <f t="shared" si="185"/>
        <v>1.9366218046150061</v>
      </c>
      <c r="M156" s="140">
        <f t="shared" si="185"/>
        <v>2.1173170492838458</v>
      </c>
      <c r="N156" s="140">
        <f t="shared" si="185"/>
        <v>2.3077019533343761</v>
      </c>
      <c r="O156" s="140">
        <f t="shared" si="185"/>
        <v>2.4983971381046688</v>
      </c>
      <c r="P156" s="140">
        <f t="shared" si="185"/>
        <v>2.6912997247099164</v>
      </c>
      <c r="Q156" s="140">
        <f t="shared" si="185"/>
        <v>2.87842676194686</v>
      </c>
      <c r="R156" s="140">
        <f t="shared" si="185"/>
        <v>2.8991333649800541</v>
      </c>
      <c r="S156" s="140">
        <f t="shared" si="185"/>
        <v>2.9162064084453343</v>
      </c>
      <c r="T156" s="140">
        <f t="shared" si="185"/>
        <v>2.9162064084453343</v>
      </c>
      <c r="U156" s="140">
        <f t="shared" si="185"/>
        <v>2.96173580100543</v>
      </c>
      <c r="V156" s="140">
        <f t="shared" si="185"/>
        <v>3.0112043492109453</v>
      </c>
      <c r="W156" s="140">
        <f t="shared" si="185"/>
        <v>3.0268811472321486</v>
      </c>
      <c r="X156" s="140">
        <f t="shared" si="185"/>
        <v>3.0491533320928128</v>
      </c>
      <c r="Y156" s="140">
        <f t="shared" si="185"/>
        <v>3.0714846555477053</v>
      </c>
      <c r="Z156" s="140">
        <f t="shared" si="185"/>
        <v>3.0977883120288014</v>
      </c>
      <c r="AA156" s="140">
        <f t="shared" si="185"/>
        <v>3.1323201516294441</v>
      </c>
      <c r="AB156" s="140">
        <f t="shared" si="185"/>
        <v>3.1710199381597794</v>
      </c>
      <c r="AC156" s="140">
        <f t="shared" si="185"/>
        <v>3.2153741593969603</v>
      </c>
      <c r="AD156" s="140">
        <f t="shared" si="185"/>
        <v>3.2645279284710949</v>
      </c>
      <c r="AE156" s="140">
        <f t="shared" si="185"/>
        <v>3.3171959752320861</v>
      </c>
      <c r="AF156" s="140">
        <f t="shared" si="185"/>
        <v>3.3717584289487106</v>
      </c>
      <c r="AG156" s="140">
        <f t="shared" si="185"/>
        <v>3.4279181434262234</v>
      </c>
      <c r="AH156" s="140">
        <f t="shared" si="185"/>
        <v>3.4842769387885055</v>
      </c>
      <c r="AI156" s="140">
        <f t="shared" si="185"/>
        <v>3.5402666267121514</v>
      </c>
      <c r="AJ156" s="140">
        <f t="shared" si="185"/>
        <v>3.5955622910870786</v>
      </c>
      <c r="AK156" s="140">
        <f t="shared" si="185"/>
        <v>3.6521259085074802</v>
      </c>
      <c r="AL156" s="140">
        <f t="shared" si="185"/>
        <v>3.7100162120401681</v>
      </c>
      <c r="AM156" s="140">
        <f t="shared" si="185"/>
        <v>3.7704146380664487</v>
      </c>
      <c r="AN156" s="140">
        <f t="shared" si="185"/>
        <v>3.8318559240892558</v>
      </c>
      <c r="AO156" s="140">
        <f t="shared" si="185"/>
        <v>3.8941426177866427</v>
      </c>
      <c r="AP156" s="140">
        <f t="shared" si="185"/>
        <v>3.9552022399823286</v>
      </c>
      <c r="AQ156" s="140">
        <f t="shared" si="185"/>
        <v>4.0151000689755696</v>
      </c>
      <c r="AR156" s="140">
        <f t="shared" si="185"/>
        <v>4.0738958681708866</v>
      </c>
      <c r="AS156" s="140">
        <f t="shared" si="185"/>
        <v>4.1316445134850817</v>
      </c>
      <c r="AT156" s="140">
        <f t="shared" si="185"/>
        <v>4.1907649653766628</v>
      </c>
      <c r="AU156" s="140">
        <f t="shared" si="185"/>
        <v>4.2488557800344298</v>
      </c>
      <c r="AV156" s="140">
        <f t="shared" si="185"/>
        <v>4.3059655734796181</v>
      </c>
      <c r="AW156" s="140">
        <f t="shared" si="185"/>
        <v>4.3621393027488029</v>
      </c>
      <c r="AX156" s="140">
        <f t="shared" si="185"/>
        <v>4.417418638032002</v>
      </c>
      <c r="AY156" s="140">
        <f t="shared" si="186"/>
        <v>4.4752925511398489</v>
      </c>
      <c r="AZ156" s="140">
        <f t="shared" si="186"/>
        <v>4.5322411761160728</v>
      </c>
      <c r="BA156" s="140">
        <f t="shared" si="186"/>
        <v>4.5883047199079252</v>
      </c>
      <c r="BB156" s="140">
        <f t="shared" si="186"/>
        <v>4.6435205980033381</v>
      </c>
      <c r="BC156" s="140">
        <f t="shared" si="186"/>
        <v>4.6979236969058578</v>
      </c>
      <c r="BD156" s="140">
        <f t="shared" si="186"/>
        <v>4.7515466058052001</v>
      </c>
      <c r="BE156" s="140">
        <f t="shared" si="186"/>
        <v>4.804419821741325</v>
      </c>
      <c r="BF156" s="140">
        <f t="shared" si="186"/>
        <v>4.8565719318697269</v>
      </c>
      <c r="BG156" s="140">
        <f t="shared" si="186"/>
        <v>4.9080297758700766</v>
      </c>
      <c r="BH156" s="140">
        <f t="shared" si="186"/>
        <v>4.9588185910745919</v>
      </c>
      <c r="BI156" s="140">
        <f t="shared" si="186"/>
        <v>4.9785093266487594</v>
      </c>
      <c r="BJ156" s="140">
        <f t="shared" si="186"/>
        <v>4.9981026969482913</v>
      </c>
      <c r="BK156" s="140">
        <f t="shared" si="186"/>
        <v>5.0176000362036133</v>
      </c>
      <c r="BL156" s="140">
        <f t="shared" si="186"/>
        <v>5.0370026488796329</v>
      </c>
      <c r="BM156" s="140">
        <f t="shared" si="186"/>
        <v>5.0563118105915068</v>
      </c>
      <c r="BN156" s="140">
        <f t="shared" si="186"/>
        <v>5.0755287689846105</v>
      </c>
      <c r="BO156" s="140">
        <f t="shared" si="186"/>
        <v>5.0946547445804375</v>
      </c>
      <c r="BP156" s="140">
        <f t="shared" si="186"/>
        <v>5.1136909315899786</v>
      </c>
      <c r="BQ156" s="140">
        <f t="shared" si="186"/>
        <v>5.1326384986961271</v>
      </c>
      <c r="BR156" s="140">
        <f t="shared" si="186"/>
        <v>5.1514985898065087</v>
      </c>
    </row>
    <row r="157" spans="1:70" ht="15">
      <c r="A157" t="s">
        <v>16</v>
      </c>
      <c r="B157" s="75" t="str">
        <f t="shared" si="187"/>
        <v>CEG</v>
      </c>
      <c r="C157" s="75" t="str">
        <f t="shared" si="187"/>
        <v>Commercial - Public lights</v>
      </c>
      <c r="D157" s="142"/>
      <c r="E157" s="142"/>
      <c r="F157" s="142"/>
      <c r="G157" s="142"/>
      <c r="H157" s="142"/>
      <c r="I157" s="141"/>
      <c r="J157" s="142"/>
      <c r="K157" s="142"/>
      <c r="L157" s="140">
        <f t="shared" si="185"/>
        <v>10.300552873773198</v>
      </c>
      <c r="M157" s="140">
        <f t="shared" si="185"/>
        <v>10.137579632145695</v>
      </c>
      <c r="N157" s="140">
        <f t="shared" si="185"/>
        <v>9.9994537435297381</v>
      </c>
      <c r="O157" s="140">
        <f t="shared" si="185"/>
        <v>9.8412102945058528</v>
      </c>
      <c r="P157" s="140">
        <f t="shared" si="185"/>
        <v>9.6733572036545361</v>
      </c>
      <c r="Q157" s="140">
        <f t="shared" si="185"/>
        <v>9.4707173671475111</v>
      </c>
      <c r="R157" s="140">
        <f t="shared" si="185"/>
        <v>9.5388470786807869</v>
      </c>
      <c r="S157" s="140">
        <f t="shared" si="185"/>
        <v>9.5950215040281002</v>
      </c>
      <c r="T157" s="140">
        <f t="shared" si="185"/>
        <v>9.5950215040281002</v>
      </c>
      <c r="U157" s="140">
        <f t="shared" si="185"/>
        <v>9.7448241721157629</v>
      </c>
      <c r="V157" s="140">
        <f t="shared" si="185"/>
        <v>9.9075876110926409</v>
      </c>
      <c r="W157" s="140">
        <f t="shared" si="185"/>
        <v>9.959168052618363</v>
      </c>
      <c r="X157" s="140">
        <f t="shared" si="185"/>
        <v>10.032448905462278</v>
      </c>
      <c r="Y157" s="140">
        <f t="shared" si="185"/>
        <v>10.105924338525785</v>
      </c>
      <c r="Z157" s="140">
        <f t="shared" si="185"/>
        <v>10.19246970405265</v>
      </c>
      <c r="AA157" s="140">
        <f t="shared" si="185"/>
        <v>10.306087773947247</v>
      </c>
      <c r="AB157" s="140">
        <f t="shared" si="185"/>
        <v>10.433419393164771</v>
      </c>
      <c r="AC157" s="140">
        <f t="shared" si="185"/>
        <v>10.579355464539107</v>
      </c>
      <c r="AD157" s="140">
        <f t="shared" si="185"/>
        <v>10.741083204353581</v>
      </c>
      <c r="AE157" s="140">
        <f t="shared" si="185"/>
        <v>10.914373764234176</v>
      </c>
      <c r="AF157" s="140">
        <f t="shared" si="185"/>
        <v>11.093897379300451</v>
      </c>
      <c r="AG157" s="140">
        <f t="shared" si="185"/>
        <v>11.278676366998749</v>
      </c>
      <c r="AH157" s="140">
        <f t="shared" si="185"/>
        <v>11.464110378760111</v>
      </c>
      <c r="AI157" s="140">
        <f t="shared" si="188" ref="M157:AX159">AI98*AI$34/1000</f>
        <v>11.648329938142265</v>
      </c>
      <c r="AJ157" s="140">
        <f t="shared" si="188"/>
        <v>11.830265992881198</v>
      </c>
      <c r="AK157" s="140">
        <f t="shared" si="188"/>
        <v>12.016373918548817</v>
      </c>
      <c r="AL157" s="140">
        <f t="shared" si="188"/>
        <v>12.20684696108183</v>
      </c>
      <c r="AM157" s="140">
        <f t="shared" si="188"/>
        <v>12.405572330744729</v>
      </c>
      <c r="AN157" s="140">
        <f t="shared" si="188"/>
        <v>12.6077289609876</v>
      </c>
      <c r="AO157" s="140">
        <f t="shared" si="188"/>
        <v>12.812667186111332</v>
      </c>
      <c r="AP157" s="140">
        <f t="shared" si="188"/>
        <v>13.013568050432445</v>
      </c>
      <c r="AQ157" s="140">
        <f t="shared" si="188"/>
        <v>13.210646335278934</v>
      </c>
      <c r="AR157" s="140">
        <f t="shared" si="188"/>
        <v>13.404098676646752</v>
      </c>
      <c r="AS157" s="140">
        <f t="shared" si="188"/>
        <v>13.594105629520019</v>
      </c>
      <c r="AT157" s="140">
        <f t="shared" si="188"/>
        <v>13.788626156456928</v>
      </c>
      <c r="AU157" s="140">
        <f t="shared" si="188"/>
        <v>13.979758928888128</v>
      </c>
      <c r="AV157" s="140">
        <f t="shared" si="188"/>
        <v>14.167663905233514</v>
      </c>
      <c r="AW157" s="140">
        <f t="shared" si="188"/>
        <v>14.352489004972126</v>
      </c>
      <c r="AX157" s="140">
        <f t="shared" si="188"/>
        <v>14.534371333066121</v>
      </c>
      <c r="AY157" s="140">
        <f t="shared" si="189" ref="AY157:BR157">AY98*AY$34/1000</f>
        <v>14.724790447153485</v>
      </c>
      <c r="AZ157" s="140">
        <f t="shared" si="189"/>
        <v>14.912165140415683</v>
      </c>
      <c r="BA157" s="140">
        <f t="shared" si="189"/>
        <v>15.096627703393731</v>
      </c>
      <c r="BB157" s="140">
        <f t="shared" si="189"/>
        <v>15.278301242055116</v>
      </c>
      <c r="BC157" s="140">
        <f t="shared" si="189"/>
        <v>15.457300541399546</v>
      </c>
      <c r="BD157" s="140">
        <f t="shared" si="189"/>
        <v>15.633732827710865</v>
      </c>
      <c r="BE157" s="140">
        <f t="shared" si="189"/>
        <v>15.807698443596301</v>
      </c>
      <c r="BF157" s="140">
        <f t="shared" si="189"/>
        <v>15.979291447683149</v>
      </c>
      <c r="BG157" s="140">
        <f t="shared" si="189"/>
        <v>16.148600148982347</v>
      </c>
      <c r="BH157" s="140">
        <f t="shared" si="189"/>
        <v>16.315707584395749</v>
      </c>
      <c r="BI157" s="140">
        <f t="shared" si="189"/>
        <v>16.380494847299062</v>
      </c>
      <c r="BJ157" s="140">
        <f t="shared" si="189"/>
        <v>16.444961754996658</v>
      </c>
      <c r="BK157" s="140">
        <f t="shared" si="189"/>
        <v>16.509112697428019</v>
      </c>
      <c r="BL157" s="140">
        <f t="shared" si="189"/>
        <v>16.572951966596897</v>
      </c>
      <c r="BM157" s="140">
        <f t="shared" si="189"/>
        <v>16.636483759584401</v>
      </c>
      <c r="BN157" s="140">
        <f t="shared" si="189"/>
        <v>16.69971218144434</v>
      </c>
      <c r="BO157" s="140">
        <f t="shared" si="189"/>
        <v>16.762641247986416</v>
      </c>
      <c r="BP157" s="140">
        <f t="shared" si="189"/>
        <v>16.82527488845243</v>
      </c>
      <c r="BQ157" s="140">
        <f t="shared" si="189"/>
        <v>16.887616948090599</v>
      </c>
      <c r="BR157" s="140">
        <f t="shared" si="189"/>
        <v>16.949671190632543</v>
      </c>
    </row>
    <row r="158" spans="1:70" ht="15">
      <c r="A158" t="s">
        <v>16</v>
      </c>
      <c r="B158" s="75" t="str">
        <f t="shared" si="187"/>
        <v>CET</v>
      </c>
      <c r="C158" s="75" t="str">
        <f t="shared" si="187"/>
        <v>Commercial - Public Water</v>
      </c>
      <c r="D158" s="142"/>
      <c r="E158" s="142"/>
      <c r="F158" s="142"/>
      <c r="G158" s="142"/>
      <c r="H158" s="142"/>
      <c r="I158" s="141"/>
      <c r="J158" s="142"/>
      <c r="K158" s="142"/>
      <c r="L158" s="140">
        <f t="shared" si="190" ref="L158:L159">L99*L$34/1000</f>
        <v>3.5593512487513506</v>
      </c>
      <c r="M158" s="140">
        <f t="shared" si="188"/>
        <v>3.5030359210006532</v>
      </c>
      <c r="N158" s="140">
        <f t="shared" si="188"/>
        <v>3.4553065845121336</v>
      </c>
      <c r="O158" s="140">
        <f t="shared" si="188"/>
        <v>3.400625634393037</v>
      </c>
      <c r="P158" s="140">
        <f t="shared" si="188"/>
        <v>3.3426240770155089</v>
      </c>
      <c r="Q158" s="140">
        <f t="shared" si="188"/>
        <v>3.2726019758762099</v>
      </c>
      <c r="R158" s="140">
        <f t="shared" si="188"/>
        <v>3.2961441659697601</v>
      </c>
      <c r="S158" s="140">
        <f t="shared" si="188"/>
        <v>3.3155552124891114</v>
      </c>
      <c r="T158" s="140">
        <f t="shared" si="188"/>
        <v>3.3155552124891114</v>
      </c>
      <c r="U158" s="140">
        <f t="shared" si="188"/>
        <v>3.3673194546864127</v>
      </c>
      <c r="V158" s="140">
        <f t="shared" si="188"/>
        <v>3.4235622852288867</v>
      </c>
      <c r="W158" s="140">
        <f t="shared" si="188"/>
        <v>3.4413858827780222</v>
      </c>
      <c r="X158" s="140">
        <f t="shared" si="188"/>
        <v>3.4667080473526704</v>
      </c>
      <c r="Y158" s="140">
        <f t="shared" si="188"/>
        <v>3.4920974490315868</v>
      </c>
      <c r="Z158" s="140">
        <f t="shared" si="188"/>
        <v>3.5220031597867845</v>
      </c>
      <c r="AA158" s="140">
        <f t="shared" si="188"/>
        <v>3.561263830928985</v>
      </c>
      <c r="AB158" s="140">
        <f t="shared" si="188"/>
        <v>3.6052632126535706</v>
      </c>
      <c r="AC158" s="140">
        <f t="shared" si="188"/>
        <v>3.6556913541571854</v>
      </c>
      <c r="AD158" s="140">
        <f t="shared" si="188"/>
        <v>3.711576299336397</v>
      </c>
      <c r="AE158" s="140">
        <f t="shared" si="188"/>
        <v>3.7714567716048601</v>
      </c>
      <c r="AF158" s="140">
        <f t="shared" si="188"/>
        <v>3.8334910731901144</v>
      </c>
      <c r="AG158" s="140">
        <f t="shared" si="188"/>
        <v>3.8973413663410317</v>
      </c>
      <c r="AH158" s="140">
        <f t="shared" si="188"/>
        <v>3.9614180027519086</v>
      </c>
      <c r="AI158" s="140">
        <f t="shared" si="188"/>
        <v>4.0250749857086978</v>
      </c>
      <c r="AJ158" s="140">
        <f t="shared" si="188"/>
        <v>4.0879429046994105</v>
      </c>
      <c r="AK158" s="140">
        <f t="shared" si="188"/>
        <v>4.1522524117467636</v>
      </c>
      <c r="AL158" s="140">
        <f t="shared" si="188"/>
        <v>4.2180702828941996</v>
      </c>
      <c r="AM158" s="140">
        <f t="shared" si="188"/>
        <v>4.2867397418384074</v>
      </c>
      <c r="AN158" s="140">
        <f t="shared" si="188"/>
        <v>4.3565948712781486</v>
      </c>
      <c r="AO158" s="140">
        <f t="shared" si="188"/>
        <v>4.4274111795336326</v>
      </c>
      <c r="AP158" s="140">
        <f t="shared" si="188"/>
        <v>4.496832379643898</v>
      </c>
      <c r="AQ158" s="140">
        <f t="shared" si="188"/>
        <v>4.5649326891968141</v>
      </c>
      <c r="AR158" s="140">
        <f t="shared" si="188"/>
        <v>4.6317800556692097</v>
      </c>
      <c r="AS158" s="140">
        <f t="shared" si="188"/>
        <v>4.697436869751769</v>
      </c>
      <c r="AT158" s="140">
        <f t="shared" si="188"/>
        <v>4.7646533472501318</v>
      </c>
      <c r="AU158" s="140">
        <f t="shared" si="188"/>
        <v>4.8306991877566601</v>
      </c>
      <c r="AV158" s="140">
        <f t="shared" si="188"/>
        <v>4.8956296648288626</v>
      </c>
      <c r="AW158" s="140">
        <f t="shared" si="188"/>
        <v>4.9594958919738366</v>
      </c>
      <c r="AX158" s="140">
        <f t="shared" si="188"/>
        <v>5.0223452457474096</v>
      </c>
      <c r="AY158" s="140">
        <f t="shared" si="191" ref="AY158:BR158">AY99*AY$34/1000</f>
        <v>5.088144481945565</v>
      </c>
      <c r="AZ158" s="140">
        <f t="shared" si="191"/>
        <v>5.1528917199453144</v>
      </c>
      <c r="BA158" s="140">
        <f t="shared" si="191"/>
        <v>5.216632672681504</v>
      </c>
      <c r="BB158" s="140">
        <f t="shared" si="191"/>
        <v>5.2794098793638673</v>
      </c>
      <c r="BC158" s="140">
        <f t="shared" si="191"/>
        <v>5.3412630038956026</v>
      </c>
      <c r="BD158" s="140">
        <f t="shared" si="191"/>
        <v>5.4022290982691574</v>
      </c>
      <c r="BE158" s="140">
        <f t="shared" si="191"/>
        <v>5.4623428358257318</v>
      </c>
      <c r="BF158" s="140">
        <f t="shared" si="191"/>
        <v>5.5216367184801864</v>
      </c>
      <c r="BG158" s="140">
        <f t="shared" si="191"/>
        <v>5.5801412613701276</v>
      </c>
      <c r="BH158" s="140">
        <f t="shared" si="191"/>
        <v>5.6378851578583218</v>
      </c>
      <c r="BI158" s="140">
        <f t="shared" si="191"/>
        <v>5.660272366384306</v>
      </c>
      <c r="BJ158" s="140">
        <f t="shared" si="191"/>
        <v>5.6825488763181395</v>
      </c>
      <c r="BK158" s="140">
        <f t="shared" si="191"/>
        <v>5.7047162046013637</v>
      </c>
      <c r="BL158" s="140">
        <f t="shared" si="191"/>
        <v>5.7267758343338775</v>
      </c>
      <c r="BM158" s="140">
        <f t="shared" si="191"/>
        <v>5.7487292158151027</v>
      </c>
      <c r="BN158" s="140">
        <f t="shared" si="191"/>
        <v>5.7705777675444754</v>
      </c>
      <c r="BO158" s="140">
        <f t="shared" si="191"/>
        <v>5.7923228771831612</v>
      </c>
      <c r="BP158" s="140">
        <f t="shared" si="191"/>
        <v>5.8139659024788397</v>
      </c>
      <c r="BQ158" s="140">
        <f t="shared" si="191"/>
        <v>5.8355081721552402</v>
      </c>
      <c r="BR158" s="140">
        <f t="shared" si="191"/>
        <v>5.856950986768072</v>
      </c>
    </row>
    <row r="159" spans="1:70" ht="15">
      <c r="A159" t="s">
        <v>16</v>
      </c>
      <c r="B159" s="75" t="str">
        <f t="shared" si="187"/>
        <v>CEO</v>
      </c>
      <c r="C159" s="75" t="str">
        <f t="shared" si="187"/>
        <v>Commercial - Other</v>
      </c>
      <c r="D159" s="142"/>
      <c r="E159" s="142"/>
      <c r="F159" s="142"/>
      <c r="G159" s="142"/>
      <c r="H159" s="142"/>
      <c r="I159" s="141"/>
      <c r="J159" s="142"/>
      <c r="K159" s="142"/>
      <c r="L159" s="140">
        <f t="shared" si="190"/>
        <v>3.7520368714157799</v>
      </c>
      <c r="M159" s="140">
        <f t="shared" si="188"/>
        <v>3.8062559588704783</v>
      </c>
      <c r="N159" s="140">
        <f t="shared" si="188"/>
        <v>3.8722228149511158</v>
      </c>
      <c r="O159" s="140">
        <f t="shared" si="188"/>
        <v>3.9330613151267819</v>
      </c>
      <c r="P159" s="140">
        <f t="shared" si="188"/>
        <v>3.9925568469937152</v>
      </c>
      <c r="Q159" s="140">
        <f t="shared" si="188"/>
        <v>4.0397921227646005</v>
      </c>
      <c r="R159" s="140">
        <f t="shared" si="188"/>
        <v>4.0688532657919581</v>
      </c>
      <c r="S159" s="140">
        <f t="shared" si="188"/>
        <v>4.0928148087481553</v>
      </c>
      <c r="T159" s="140">
        <f t="shared" si="188"/>
        <v>4.0928148087481553</v>
      </c>
      <c r="U159" s="140">
        <f t="shared" si="188"/>
        <v>4.1567140483779754</v>
      </c>
      <c r="V159" s="140">
        <f t="shared" si="188"/>
        <v>4.226141783697555</v>
      </c>
      <c r="W159" s="140">
        <f t="shared" si="188"/>
        <v>4.2481437349000224</v>
      </c>
      <c r="X159" s="140">
        <f t="shared" si="188"/>
        <v>4.2794021285983952</v>
      </c>
      <c r="Y159" s="140">
        <f t="shared" si="188"/>
        <v>4.3107435216734675</v>
      </c>
      <c r="Z159" s="140">
        <f t="shared" si="188"/>
        <v>4.3476599739720019</v>
      </c>
      <c r="AA159" s="140">
        <f t="shared" si="188"/>
        <v>4.3961244530574088</v>
      </c>
      <c r="AB159" s="140">
        <f t="shared" si="188"/>
        <v>4.4504385300541696</v>
      </c>
      <c r="AC159" s="140">
        <f t="shared" si="188"/>
        <v>4.5126884493274781</v>
      </c>
      <c r="AD159" s="140">
        <f t="shared" si="188"/>
        <v>4.581674400867052</v>
      </c>
      <c r="AE159" s="140">
        <f t="shared" si="188"/>
        <v>4.6555925436661907</v>
      </c>
      <c r="AF159" s="140">
        <f t="shared" si="188"/>
        <v>4.7321694340832474</v>
      </c>
      <c r="AG159" s="140">
        <f t="shared" si="188"/>
        <v>4.8109880356757078</v>
      </c>
      <c r="AH159" s="140">
        <f t="shared" si="188"/>
        <v>4.8900860417681242</v>
      </c>
      <c r="AI159" s="140">
        <f t="shared" si="188"/>
        <v>4.968666015808183</v>
      </c>
      <c r="AJ159" s="140">
        <f t="shared" si="188"/>
        <v>5.0462719470474333</v>
      </c>
      <c r="AK159" s="140">
        <f t="shared" si="188"/>
        <v>5.125657415217364</v>
      </c>
      <c r="AL159" s="140">
        <f t="shared" si="188"/>
        <v>5.2069048505481934</v>
      </c>
      <c r="AM159" s="140">
        <f t="shared" si="188"/>
        <v>5.2916723662321141</v>
      </c>
      <c r="AN159" s="140">
        <f t="shared" si="188"/>
        <v>5.3779035069958221</v>
      </c>
      <c r="AO159" s="140">
        <f t="shared" si="188"/>
        <v>5.4653211539821092</v>
      </c>
      <c r="AP159" s="140">
        <f t="shared" si="188"/>
        <v>5.5510166401504906</v>
      </c>
      <c r="AQ159" s="140">
        <f t="shared" si="188"/>
        <v>5.6350815817833757</v>
      </c>
      <c r="AR159" s="140">
        <f t="shared" si="188"/>
        <v>5.717599855161378</v>
      </c>
      <c r="AS159" s="140">
        <f t="shared" si="188"/>
        <v>5.7986484771116622</v>
      </c>
      <c r="AT159" s="140">
        <f t="shared" si="188"/>
        <v>5.8816223915441261</v>
      </c>
      <c r="AU159" s="140">
        <f t="shared" si="188"/>
        <v>5.9631512386775167</v>
      </c>
      <c r="AV159" s="140">
        <f t="shared" si="188"/>
        <v>6.0433032497491972</v>
      </c>
      <c r="AW159" s="140">
        <f t="shared" si="188"/>
        <v>6.1221415207130478</v>
      </c>
      <c r="AX159" s="140">
        <f t="shared" si="188"/>
        <v>6.199724534524969</v>
      </c>
      <c r="AY159" s="140">
        <f t="shared" si="192" ref="AY159:BR159">AY100*AY$34/1000</f>
        <v>6.2809489663491487</v>
      </c>
      <c r="AZ159" s="140">
        <f t="shared" si="192"/>
        <v>6.3608747819448945</v>
      </c>
      <c r="BA159" s="140">
        <f t="shared" si="192"/>
        <v>6.4395584106474724</v>
      </c>
      <c r="BB159" s="140">
        <f t="shared" si="192"/>
        <v>6.5170523640564193</v>
      </c>
      <c r="BC159" s="140">
        <f t="shared" si="192"/>
        <v>6.5934056044118332</v>
      </c>
      <c r="BD159" s="140">
        <f t="shared" si="192"/>
        <v>6.6686638697375669</v>
      </c>
      <c r="BE159" s="140">
        <f t="shared" si="192"/>
        <v>6.7428699617833212</v>
      </c>
      <c r="BF159" s="140">
        <f t="shared" si="192"/>
        <v>6.8160640018289227</v>
      </c>
      <c r="BG159" s="140">
        <f t="shared" si="192"/>
        <v>6.8882836586203497</v>
      </c>
      <c r="BH159" s="140">
        <f t="shared" si="192"/>
        <v>6.9595643520533743</v>
      </c>
      <c r="BI159" s="140">
        <f t="shared" si="192"/>
        <v>6.987199753278647</v>
      </c>
      <c r="BJ159" s="140">
        <f t="shared" si="192"/>
        <v>7.0146985050415429</v>
      </c>
      <c r="BK159" s="140">
        <f t="shared" si="192"/>
        <v>7.0420624798974636</v>
      </c>
      <c r="BL159" s="140">
        <f t="shared" si="192"/>
        <v>7.0692935086267203</v>
      </c>
      <c r="BM159" s="140">
        <f t="shared" si="192"/>
        <v>7.0963933815198059</v>
      </c>
      <c r="BN159" s="140">
        <f t="shared" si="192"/>
        <v>7.1233638496124003</v>
      </c>
      <c r="BO159" s="140">
        <f t="shared" si="192"/>
        <v>7.1502066258725643</v>
      </c>
      <c r="BP159" s="140">
        <f t="shared" si="192"/>
        <v>7.1769233863423025</v>
      </c>
      <c r="BQ159" s="140">
        <f t="shared" si="192"/>
        <v>7.2035157712356392</v>
      </c>
      <c r="BR159" s="140">
        <f t="shared" si="192"/>
        <v>7.2299853859952004</v>
      </c>
    </row>
    <row r="160" spans="1:13" ht="15">
      <c r="A160" t="s">
        <v>16</v>
      </c>
      <c r="B160" s="142"/>
      <c r="C160" s="142"/>
      <c r="D160" s="142"/>
      <c r="E160" s="142"/>
      <c r="F160" s="142"/>
      <c r="G160" s="142"/>
      <c r="H160" s="142"/>
      <c r="I160" s="141"/>
      <c r="J160" s="142"/>
      <c r="K160" s="142"/>
      <c r="M160" s="75"/>
    </row>
    <row r="161" spans="1:13" ht="15.75" thickBot="1">
      <c r="A161" t="s">
        <v>16</v>
      </c>
      <c r="B161" s="73" t="s">
        <v>463</v>
      </c>
      <c r="C161" s="73"/>
      <c r="D161" s="73"/>
      <c r="E161" s="73"/>
      <c r="F161" s="73"/>
      <c r="G161" s="73"/>
      <c r="H161" s="73"/>
      <c r="I161" s="135"/>
      <c r="M161" s="75"/>
    </row>
    <row r="162" spans="1:70" ht="15">
      <c r="A162" t="s">
        <v>16</v>
      </c>
      <c r="B162" s="75" t="str">
        <f t="shared" si="193" ref="B162:B170">B70</f>
        <v>CEC</v>
      </c>
      <c r="C162" s="75" t="str">
        <f t="shared" si="194" ref="C162:C170">C138</f>
        <v>Commercial - Cooling</v>
      </c>
      <c r="E162" s="94"/>
      <c r="F162" s="94"/>
      <c r="I162" s="135"/>
      <c r="L162" s="140">
        <f t="shared" si="195" ref="L162:AX168">L$35*L70/1000</f>
        <v>111.73151548310722</v>
      </c>
      <c r="M162" s="140">
        <f t="shared" si="195"/>
        <v>109.9637222885692</v>
      </c>
      <c r="N162" s="140">
        <f t="shared" si="195"/>
        <v>108.46545175380923</v>
      </c>
      <c r="O162" s="140">
        <f t="shared" si="195"/>
        <v>106.7489632709696</v>
      </c>
      <c r="P162" s="140">
        <f t="shared" si="195"/>
        <v>104.92823767991005</v>
      </c>
      <c r="Q162" s="140">
        <f t="shared" si="195"/>
        <v>102.73017546833439</v>
      </c>
      <c r="R162" s="140">
        <f t="shared" si="195"/>
        <v>101.70287371365104</v>
      </c>
      <c r="S162" s="140">
        <f>S$35*S70/1000</f>
        <v>100.67557195896771</v>
      </c>
      <c r="T162" s="140">
        <f t="shared" si="195"/>
        <v>99.648270204284358</v>
      </c>
      <c r="U162" s="140">
        <f t="shared" si="195"/>
        <v>98.620968449601023</v>
      </c>
      <c r="V162" s="140">
        <f t="shared" si="195"/>
        <v>97.593666694917658</v>
      </c>
      <c r="W162" s="140">
        <f t="shared" si="195"/>
        <v>96.566364940234308</v>
      </c>
      <c r="X162" s="140">
        <f t="shared" si="195"/>
        <v>95.539063185550987</v>
      </c>
      <c r="Y162" s="140">
        <f t="shared" si="195"/>
        <v>94.511761430867622</v>
      </c>
      <c r="Z162" s="140">
        <f t="shared" si="195"/>
        <v>93.484459676184301</v>
      </c>
      <c r="AA162" s="140">
        <f t="shared" si="195"/>
        <v>92.457157921500951</v>
      </c>
      <c r="AB162" s="140">
        <f t="shared" si="195"/>
        <v>91.429856166817601</v>
      </c>
      <c r="AC162" s="140">
        <f t="shared" si="195"/>
        <v>90.402554412134251</v>
      </c>
      <c r="AD162" s="140">
        <f t="shared" si="195"/>
        <v>89.375252657450915</v>
      </c>
      <c r="AE162" s="140">
        <f t="shared" si="195"/>
        <v>88.347950902767565</v>
      </c>
      <c r="AF162" s="140">
        <f t="shared" si="195"/>
        <v>87.320649148084229</v>
      </c>
      <c r="AG162" s="140">
        <f t="shared" si="195"/>
        <v>86.293347393400865</v>
      </c>
      <c r="AH162" s="140">
        <f t="shared" si="195"/>
        <v>85.266045638717529</v>
      </c>
      <c r="AI162" s="140">
        <f t="shared" si="195"/>
        <v>84.238743884034193</v>
      </c>
      <c r="AJ162" s="140">
        <f t="shared" si="195"/>
        <v>83.211442129350843</v>
      </c>
      <c r="AK162" s="140">
        <f t="shared" si="195"/>
        <v>82.184140374667507</v>
      </c>
      <c r="AL162" s="140">
        <f t="shared" si="195"/>
        <v>81.156838619984143</v>
      </c>
      <c r="AM162" s="140">
        <f t="shared" si="195"/>
        <v>80.129536865300807</v>
      </c>
      <c r="AN162" s="140">
        <f t="shared" si="195"/>
        <v>79.102235110617457</v>
      </c>
      <c r="AO162" s="140">
        <f t="shared" si="195"/>
        <v>78.074933355934121</v>
      </c>
      <c r="AP162" s="140">
        <f t="shared" si="195"/>
        <v>77.047631601250771</v>
      </c>
      <c r="AQ162" s="140">
        <f t="shared" si="195"/>
        <v>76.020329846567435</v>
      </c>
      <c r="AR162" s="140">
        <f t="shared" si="195"/>
        <v>74.993028091884085</v>
      </c>
      <c r="AS162" s="140">
        <f t="shared" si="195"/>
        <v>73.965726337200735</v>
      </c>
      <c r="AT162" s="140">
        <f t="shared" si="195"/>
        <v>72.938424582517399</v>
      </c>
      <c r="AU162" s="140">
        <f t="shared" si="195"/>
        <v>71.911122827834049</v>
      </c>
      <c r="AV162" s="140">
        <f t="shared" si="195"/>
        <v>70.883821073150713</v>
      </c>
      <c r="AW162" s="140">
        <f t="shared" si="195"/>
        <v>69.856519318467349</v>
      </c>
      <c r="AX162" s="140">
        <f t="shared" si="195"/>
        <v>68.829217563784013</v>
      </c>
      <c r="AY162" s="140">
        <f t="shared" si="196" ref="AY162:BR167">AY$35*AY70/1000</f>
        <v>67.801915809100663</v>
      </c>
      <c r="AZ162" s="140">
        <f t="shared" si="196"/>
        <v>66.774614054417327</v>
      </c>
      <c r="BA162" s="140">
        <f t="shared" si="196"/>
        <v>65.747312299733977</v>
      </c>
      <c r="BB162" s="140">
        <f t="shared" si="196"/>
        <v>64.720010545050641</v>
      </c>
      <c r="BC162" s="140">
        <f t="shared" si="196"/>
        <v>63.692708790367284</v>
      </c>
      <c r="BD162" s="140">
        <f t="shared" si="196"/>
        <v>62.665407035683948</v>
      </c>
      <c r="BE162" s="140">
        <f t="shared" si="196"/>
        <v>61.638105281000605</v>
      </c>
      <c r="BF162" s="140">
        <f t="shared" si="196"/>
        <v>60.610803526317255</v>
      </c>
      <c r="BG162" s="140">
        <f t="shared" si="196"/>
        <v>59.583501771633912</v>
      </c>
      <c r="BH162" s="140">
        <f t="shared" si="196"/>
        <v>58.556200016950562</v>
      </c>
      <c r="BI162" s="140">
        <f t="shared" si="196"/>
        <v>57.528898262267219</v>
      </c>
      <c r="BJ162" s="140">
        <f t="shared" si="196"/>
        <v>56.501596507583884</v>
      </c>
      <c r="BK162" s="140">
        <f t="shared" si="196"/>
        <v>55.474294752900533</v>
      </c>
      <c r="BL162" s="140">
        <f t="shared" si="196"/>
        <v>54.446992998217191</v>
      </c>
      <c r="BM162" s="140">
        <f t="shared" si="196"/>
        <v>53.41969124353384</v>
      </c>
      <c r="BN162" s="140">
        <f t="shared" si="196"/>
        <v>52.392389488850498</v>
      </c>
      <c r="BO162" s="140">
        <f t="shared" si="196"/>
        <v>51.365087734167162</v>
      </c>
      <c r="BP162" s="140">
        <f t="shared" si="196"/>
        <v>50.337785979483805</v>
      </c>
      <c r="BQ162" s="140">
        <f t="shared" si="196"/>
        <v>49.310484224800462</v>
      </c>
      <c r="BR162" s="140">
        <f t="shared" si="196"/>
        <v>48.283182470117104</v>
      </c>
    </row>
    <row r="163" spans="1:70" ht="15">
      <c r="A163" t="s">
        <v>16</v>
      </c>
      <c r="B163" s="75" t="str">
        <f t="shared" si="193"/>
        <v>CEH</v>
      </c>
      <c r="C163" s="75" t="str">
        <f t="shared" si="194"/>
        <v>Commercial - Space Heating</v>
      </c>
      <c r="E163" s="94"/>
      <c r="F163" s="94"/>
      <c r="I163" s="135"/>
      <c r="L163" s="140">
        <f t="shared" si="195"/>
        <v>6.28140392600152</v>
      </c>
      <c r="M163" s="140">
        <f t="shared" si="195"/>
        <v>6.9171893669807822</v>
      </c>
      <c r="N163" s="140">
        <f t="shared" si="195"/>
        <v>7.5855832498491305</v>
      </c>
      <c r="O163" s="140">
        <f t="shared" si="195"/>
        <v>8.2559460453052562</v>
      </c>
      <c r="P163" s="140">
        <f t="shared" si="195"/>
        <v>8.934412578208482</v>
      </c>
      <c r="Q163" s="140">
        <f t="shared" si="195"/>
        <v>9.5943260623864006</v>
      </c>
      <c r="R163" s="140">
        <f t="shared" si="195"/>
        <v>9.4983828017625367</v>
      </c>
      <c r="S163" s="140">
        <f t="shared" si="195"/>
        <v>9.4024395411386728</v>
      </c>
      <c r="T163" s="140">
        <f t="shared" si="195"/>
        <v>9.3064962805148088</v>
      </c>
      <c r="U163" s="140">
        <f t="shared" si="195"/>
        <v>9.2105530198909431</v>
      </c>
      <c r="V163" s="140">
        <f t="shared" si="195"/>
        <v>9.1146097592670792</v>
      </c>
      <c r="W163" s="140">
        <f t="shared" si="195"/>
        <v>9.0186664986432152</v>
      </c>
      <c r="X163" s="140">
        <f t="shared" si="195"/>
        <v>8.9227232380193531</v>
      </c>
      <c r="Y163" s="140">
        <f t="shared" si="195"/>
        <v>8.8267799773954874</v>
      </c>
      <c r="Z163" s="140">
        <f t="shared" si="195"/>
        <v>8.7308367167716234</v>
      </c>
      <c r="AA163" s="140">
        <f t="shared" si="195"/>
        <v>8.6348934561477595</v>
      </c>
      <c r="AB163" s="140">
        <f t="shared" si="195"/>
        <v>8.5389501955238956</v>
      </c>
      <c r="AC163" s="140">
        <f t="shared" si="195"/>
        <v>8.4430069349000316</v>
      </c>
      <c r="AD163" s="140">
        <f t="shared" si="195"/>
        <v>8.3470636742761677</v>
      </c>
      <c r="AE163" s="140">
        <f t="shared" si="195"/>
        <v>8.2511204136523038</v>
      </c>
      <c r="AF163" s="140">
        <f t="shared" si="195"/>
        <v>8.155177153028438</v>
      </c>
      <c r="AG163" s="140">
        <f t="shared" si="195"/>
        <v>8.0592338924045741</v>
      </c>
      <c r="AH163" s="140">
        <f t="shared" si="195"/>
        <v>7.9632906317807102</v>
      </c>
      <c r="AI163" s="140">
        <f t="shared" si="195"/>
        <v>7.867347371156848</v>
      </c>
      <c r="AJ163" s="140">
        <f t="shared" si="195"/>
        <v>7.7714041105329832</v>
      </c>
      <c r="AK163" s="140">
        <f t="shared" si="195"/>
        <v>7.6754608499091193</v>
      </c>
      <c r="AL163" s="140">
        <f t="shared" si="195"/>
        <v>7.5795175892852544</v>
      </c>
      <c r="AM163" s="140">
        <f t="shared" si="195"/>
        <v>7.4835743286613905</v>
      </c>
      <c r="AN163" s="140">
        <f t="shared" si="195"/>
        <v>7.3876310680375266</v>
      </c>
      <c r="AO163" s="140">
        <f t="shared" si="195"/>
        <v>7.2916878074136617</v>
      </c>
      <c r="AP163" s="140">
        <f t="shared" si="195"/>
        <v>7.1957445467897978</v>
      </c>
      <c r="AQ163" s="140">
        <f t="shared" si="195"/>
        <v>7.0998012861659339</v>
      </c>
      <c r="AR163" s="140">
        <f t="shared" si="195"/>
        <v>7.0038580255420708</v>
      </c>
      <c r="AS163" s="140">
        <f t="shared" si="195"/>
        <v>6.9079147649182051</v>
      </c>
      <c r="AT163" s="140">
        <f t="shared" si="195"/>
        <v>6.8119715042943429</v>
      </c>
      <c r="AU163" s="140">
        <f t="shared" si="195"/>
        <v>6.7160282436704772</v>
      </c>
      <c r="AV163" s="140">
        <f t="shared" si="195"/>
        <v>6.6200849830466142</v>
      </c>
      <c r="AW163" s="140">
        <f t="shared" si="195"/>
        <v>6.5241417224227494</v>
      </c>
      <c r="AX163" s="140">
        <f t="shared" si="195"/>
        <v>6.4281984617988854</v>
      </c>
      <c r="AY163" s="140">
        <f t="shared" si="196"/>
        <v>6.3322552011750215</v>
      </c>
      <c r="AZ163" s="140">
        <f t="shared" si="196"/>
        <v>6.2363119405511567</v>
      </c>
      <c r="BA163" s="140">
        <f t="shared" si="196"/>
        <v>6.1403686799272927</v>
      </c>
      <c r="BB163" s="140">
        <f t="shared" si="196"/>
        <v>6.0444254193034306</v>
      </c>
      <c r="BC163" s="140">
        <f t="shared" si="196"/>
        <v>5.948482158679564</v>
      </c>
      <c r="BD163" s="140">
        <f t="shared" si="196"/>
        <v>5.8525388980557018</v>
      </c>
      <c r="BE163" s="140">
        <f t="shared" si="196"/>
        <v>5.7565956374318379</v>
      </c>
      <c r="BF163" s="140">
        <f t="shared" si="196"/>
        <v>5.6606523768079731</v>
      </c>
      <c r="BG163" s="140">
        <f t="shared" si="196"/>
        <v>5.5647091161841091</v>
      </c>
      <c r="BH163" s="140">
        <f t="shared" si="196"/>
        <v>5.4687658555602434</v>
      </c>
      <c r="BI163" s="140">
        <f t="shared" si="196"/>
        <v>5.3728225949363804</v>
      </c>
      <c r="BJ163" s="140">
        <f t="shared" si="196"/>
        <v>5.2768793343125173</v>
      </c>
      <c r="BK163" s="140">
        <f t="shared" si="196"/>
        <v>5.1809360736886516</v>
      </c>
      <c r="BL163" s="140">
        <f t="shared" si="196"/>
        <v>5.0849928130647886</v>
      </c>
      <c r="BM163" s="140">
        <f t="shared" si="196"/>
        <v>4.9890495524409237</v>
      </c>
      <c r="BN163" s="140">
        <f t="shared" si="196"/>
        <v>4.8931062918170598</v>
      </c>
      <c r="BO163" s="140">
        <f t="shared" si="196"/>
        <v>4.7971630311931968</v>
      </c>
      <c r="BP163" s="140">
        <f t="shared" si="196"/>
        <v>4.7012197705693319</v>
      </c>
      <c r="BQ163" s="140">
        <f t="shared" si="196"/>
        <v>4.605276509945468</v>
      </c>
      <c r="BR163" s="140">
        <f t="shared" si="196"/>
        <v>4.5093332493216032</v>
      </c>
    </row>
    <row r="164" spans="1:70" ht="15">
      <c r="A164" t="s">
        <v>16</v>
      </c>
      <c r="B164" s="75" t="str">
        <f t="shared" si="193"/>
        <v>CEK</v>
      </c>
      <c r="C164" s="75" t="str">
        <f t="shared" si="194"/>
        <v>Commercial - Cooking</v>
      </c>
      <c r="E164" s="94"/>
      <c r="F164" s="94"/>
      <c r="I164" s="135"/>
      <c r="L164" s="140">
        <f t="shared" si="195"/>
        <v>7.915599805223807</v>
      </c>
      <c r="M164" s="140">
        <f t="shared" si="195"/>
        <v>7.7696646064136052</v>
      </c>
      <c r="N164" s="140">
        <f t="shared" si="195"/>
        <v>7.642332272454734</v>
      </c>
      <c r="O164" s="140">
        <f t="shared" si="195"/>
        <v>7.4991395352899008</v>
      </c>
      <c r="P164" s="140">
        <f t="shared" si="195"/>
        <v>7.3481690340511499</v>
      </c>
      <c r="Q164" s="140">
        <f t="shared" si="195"/>
        <v>7.1703912926420719</v>
      </c>
      <c r="R164" s="140">
        <f t="shared" si="195"/>
        <v>7.09868737971565</v>
      </c>
      <c r="S164" s="140">
        <f t="shared" si="195"/>
        <v>7.026983466789229</v>
      </c>
      <c r="T164" s="140">
        <f t="shared" si="195"/>
        <v>6.9552795538628089</v>
      </c>
      <c r="U164" s="140">
        <f t="shared" si="195"/>
        <v>6.883575640936388</v>
      </c>
      <c r="V164" s="140">
        <f t="shared" si="195"/>
        <v>6.811871728009967</v>
      </c>
      <c r="W164" s="140">
        <f t="shared" si="195"/>
        <v>6.740167815083546</v>
      </c>
      <c r="X164" s="140">
        <f t="shared" si="195"/>
        <v>6.6684639021571268</v>
      </c>
      <c r="Y164" s="140">
        <f t="shared" si="195"/>
        <v>6.5967599892307041</v>
      </c>
      <c r="Z164" s="140">
        <f t="shared" si="195"/>
        <v>6.525056076304284</v>
      </c>
      <c r="AA164" s="140">
        <f t="shared" si="195"/>
        <v>6.4533521633778639</v>
      </c>
      <c r="AB164" s="140">
        <f t="shared" si="195"/>
        <v>6.381648250451442</v>
      </c>
      <c r="AC164" s="140">
        <f t="shared" si="195"/>
        <v>6.3099443375250219</v>
      </c>
      <c r="AD164" s="140">
        <f t="shared" si="195"/>
        <v>6.238240424598601</v>
      </c>
      <c r="AE164" s="140">
        <f t="shared" si="195"/>
        <v>6.1665365116721809</v>
      </c>
      <c r="AF164" s="140">
        <f t="shared" si="195"/>
        <v>6.094832598745759</v>
      </c>
      <c r="AG164" s="140">
        <f t="shared" si="195"/>
        <v>6.023128685819338</v>
      </c>
      <c r="AH164" s="140">
        <f t="shared" si="195"/>
        <v>5.9514247728929179</v>
      </c>
      <c r="AI164" s="140">
        <f t="shared" si="195"/>
        <v>5.879720859966497</v>
      </c>
      <c r="AJ164" s="140">
        <f t="shared" si="195"/>
        <v>5.8080169470400769</v>
      </c>
      <c r="AK164" s="140">
        <f t="shared" si="195"/>
        <v>5.7363130341136559</v>
      </c>
      <c r="AL164" s="140">
        <f t="shared" si="195"/>
        <v>5.6646091211872349</v>
      </c>
      <c r="AM164" s="140">
        <f t="shared" si="195"/>
        <v>5.5929052082608139</v>
      </c>
      <c r="AN164" s="140">
        <f t="shared" si="195"/>
        <v>5.5212012953343939</v>
      </c>
      <c r="AO164" s="140">
        <f t="shared" si="195"/>
        <v>5.4494973824079729</v>
      </c>
      <c r="AP164" s="140">
        <f t="shared" si="195"/>
        <v>5.377793469481551</v>
      </c>
      <c r="AQ164" s="140">
        <f t="shared" si="195"/>
        <v>5.3060895565551309</v>
      </c>
      <c r="AR164" s="140">
        <f t="shared" si="195"/>
        <v>5.2343856436287108</v>
      </c>
      <c r="AS164" s="140">
        <f t="shared" si="195"/>
        <v>5.162681730702289</v>
      </c>
      <c r="AT164" s="140">
        <f t="shared" si="195"/>
        <v>5.0909778177758689</v>
      </c>
      <c r="AU164" s="140">
        <f t="shared" si="195"/>
        <v>5.0192739048494479</v>
      </c>
      <c r="AV164" s="140">
        <f t="shared" si="195"/>
        <v>4.9475699919230269</v>
      </c>
      <c r="AW164" s="140">
        <f t="shared" si="195"/>
        <v>4.875866078996606</v>
      </c>
      <c r="AX164" s="140">
        <f t="shared" si="195"/>
        <v>4.8041621660701859</v>
      </c>
      <c r="AY164" s="140">
        <f t="shared" si="196"/>
        <v>4.7324582531437649</v>
      </c>
      <c r="AZ164" s="140">
        <f t="shared" si="196"/>
        <v>4.6607543402173439</v>
      </c>
      <c r="BA164" s="140">
        <f t="shared" si="196"/>
        <v>4.5890504272909229</v>
      </c>
      <c r="BB164" s="140">
        <f t="shared" si="196"/>
        <v>4.5173465143645037</v>
      </c>
      <c r="BC164" s="140">
        <f t="shared" si="196"/>
        <v>4.445642601438081</v>
      </c>
      <c r="BD164" s="140">
        <f t="shared" si="196"/>
        <v>4.3739386885116609</v>
      </c>
      <c r="BE164" s="140">
        <f t="shared" si="196"/>
        <v>4.3022347755852408</v>
      </c>
      <c r="BF164" s="140">
        <f t="shared" si="196"/>
        <v>4.2305308626588189</v>
      </c>
      <c r="BG164" s="140">
        <f t="shared" si="196"/>
        <v>4.1588269497323989</v>
      </c>
      <c r="BH164" s="140">
        <f t="shared" si="196"/>
        <v>4.087123036805977</v>
      </c>
      <c r="BI164" s="140">
        <f t="shared" si="196"/>
        <v>4.0154191238795569</v>
      </c>
      <c r="BJ164" s="140">
        <f t="shared" si="196"/>
        <v>3.9437152109531368</v>
      </c>
      <c r="BK164" s="140">
        <f t="shared" si="196"/>
        <v>3.8720112980267154</v>
      </c>
      <c r="BL164" s="140">
        <f t="shared" si="196"/>
        <v>3.8003073851002949</v>
      </c>
      <c r="BM164" s="140">
        <f t="shared" si="196"/>
        <v>3.7286034721738739</v>
      </c>
      <c r="BN164" s="140">
        <f t="shared" si="196"/>
        <v>3.6568995592474534</v>
      </c>
      <c r="BO164" s="140">
        <f t="shared" si="196"/>
        <v>3.5851956463210333</v>
      </c>
      <c r="BP164" s="140">
        <f t="shared" si="196"/>
        <v>3.5134917333946114</v>
      </c>
      <c r="BQ164" s="140">
        <f t="shared" si="196"/>
        <v>3.4417878204681909</v>
      </c>
      <c r="BR164" s="140">
        <f t="shared" si="196"/>
        <v>3.3700839075417695</v>
      </c>
    </row>
    <row r="165" spans="1:70" ht="15">
      <c r="A165" t="s">
        <v>16</v>
      </c>
      <c r="B165" s="75" t="str">
        <f t="shared" si="193"/>
        <v>CEL</v>
      </c>
      <c r="C165" s="75" t="str">
        <f t="shared" si="194"/>
        <v>Commercial - Lighting</v>
      </c>
      <c r="E165" s="94"/>
      <c r="F165" s="94"/>
      <c r="I165" s="135"/>
      <c r="L165" s="140">
        <f t="shared" si="195"/>
        <v>97.232217524551203</v>
      </c>
      <c r="M165" s="140">
        <f t="shared" si="195"/>
        <v>95.693829257941303</v>
      </c>
      <c r="N165" s="140">
        <f t="shared" si="195"/>
        <v>94.389987938717084</v>
      </c>
      <c r="O165" s="140">
        <f t="shared" si="195"/>
        <v>92.896246617656274</v>
      </c>
      <c r="P165" s="140">
        <f t="shared" si="195"/>
        <v>91.311794943865138</v>
      </c>
      <c r="Q165" s="140">
        <f t="shared" si="195"/>
        <v>89.398973282363997</v>
      </c>
      <c r="R165" s="140">
        <f t="shared" si="195"/>
        <v>88.504983549540356</v>
      </c>
      <c r="S165" s="140">
        <f t="shared" si="195"/>
        <v>87.610993816716714</v>
      </c>
      <c r="T165" s="140">
        <f t="shared" si="195"/>
        <v>86.717004083893073</v>
      </c>
      <c r="U165" s="140">
        <f t="shared" si="195"/>
        <v>85.823014351069432</v>
      </c>
      <c r="V165" s="140">
        <f t="shared" si="195"/>
        <v>84.929024618245791</v>
      </c>
      <c r="W165" s="140">
        <f t="shared" si="195"/>
        <v>84.035034885422149</v>
      </c>
      <c r="X165" s="140">
        <f t="shared" si="195"/>
        <v>83.141045152598508</v>
      </c>
      <c r="Y165" s="140">
        <f t="shared" si="195"/>
        <v>82.247055419774853</v>
      </c>
      <c r="Z165" s="140">
        <f t="shared" si="195"/>
        <v>81.353065686951226</v>
      </c>
      <c r="AA165" s="140">
        <f t="shared" si="195"/>
        <v>80.459075954127584</v>
      </c>
      <c r="AB165" s="140">
        <f t="shared" si="195"/>
        <v>79.565086221303957</v>
      </c>
      <c r="AC165" s="140">
        <f t="shared" si="195"/>
        <v>78.671096488480316</v>
      </c>
      <c r="AD165" s="140">
        <f t="shared" si="195"/>
        <v>77.777106755656675</v>
      </c>
      <c r="AE165" s="140">
        <f t="shared" si="195"/>
        <v>76.883117022833034</v>
      </c>
      <c r="AF165" s="140">
        <f t="shared" si="195"/>
        <v>75.989127290009378</v>
      </c>
      <c r="AG165" s="140">
        <f t="shared" si="195"/>
        <v>75.095137557185737</v>
      </c>
      <c r="AH165" s="140">
        <f t="shared" si="195"/>
        <v>74.201147824362096</v>
      </c>
      <c r="AI165" s="140">
        <f t="shared" si="195"/>
        <v>73.307158091538469</v>
      </c>
      <c r="AJ165" s="140">
        <f t="shared" si="195"/>
        <v>72.413168358714827</v>
      </c>
      <c r="AK165" s="140">
        <f t="shared" si="195"/>
        <v>71.519178625891186</v>
      </c>
      <c r="AL165" s="140">
        <f t="shared" si="195"/>
        <v>70.625188893067545</v>
      </c>
      <c r="AM165" s="140">
        <f t="shared" si="195"/>
        <v>69.731199160243889</v>
      </c>
      <c r="AN165" s="140">
        <f t="shared" si="195"/>
        <v>68.837209427420248</v>
      </c>
      <c r="AO165" s="140">
        <f t="shared" si="195"/>
        <v>67.943219694596607</v>
      </c>
      <c r="AP165" s="140">
        <f t="shared" si="195"/>
        <v>67.04922996177298</v>
      </c>
      <c r="AQ165" s="140">
        <f t="shared" si="195"/>
        <v>66.155240228949339</v>
      </c>
      <c r="AR165" s="140">
        <f t="shared" si="195"/>
        <v>65.261250496125697</v>
      </c>
      <c r="AS165" s="140">
        <f t="shared" si="195"/>
        <v>64.367260763302056</v>
      </c>
      <c r="AT165" s="140">
        <f t="shared" si="195"/>
        <v>63.473271030478422</v>
      </c>
      <c r="AU165" s="140">
        <f t="shared" si="195"/>
        <v>62.579281297654767</v>
      </c>
      <c r="AV165" s="140">
        <f t="shared" si="195"/>
        <v>61.68529156483114</v>
      </c>
      <c r="AW165" s="140">
        <f t="shared" si="195"/>
        <v>60.791301832007491</v>
      </c>
      <c r="AX165" s="140">
        <f t="shared" si="195"/>
        <v>59.89731209918385</v>
      </c>
      <c r="AY165" s="140">
        <f t="shared" si="196"/>
        <v>59.003322366360209</v>
      </c>
      <c r="AZ165" s="140">
        <f t="shared" si="196"/>
        <v>58.109332633536567</v>
      </c>
      <c r="BA165" s="140">
        <f t="shared" si="196"/>
        <v>57.215342900712926</v>
      </c>
      <c r="BB165" s="140">
        <f t="shared" si="196"/>
        <v>56.321353167889299</v>
      </c>
      <c r="BC165" s="140">
        <f t="shared" si="196"/>
        <v>55.427363435065644</v>
      </c>
      <c r="BD165" s="140">
        <f t="shared" si="196"/>
        <v>54.53337370224201</v>
      </c>
      <c r="BE165" s="140">
        <f t="shared" si="196"/>
        <v>53.639383969418368</v>
      </c>
      <c r="BF165" s="140">
        <f t="shared" si="196"/>
        <v>52.745394236594727</v>
      </c>
      <c r="BG165" s="140">
        <f t="shared" si="196"/>
        <v>51.851404503771093</v>
      </c>
      <c r="BH165" s="140">
        <f t="shared" si="196"/>
        <v>50.957414770947445</v>
      </c>
      <c r="BI165" s="140">
        <f t="shared" si="196"/>
        <v>50.063425038123803</v>
      </c>
      <c r="BJ165" s="140">
        <f t="shared" si="196"/>
        <v>49.169435305300169</v>
      </c>
      <c r="BK165" s="140">
        <f t="shared" si="196"/>
        <v>48.275445572476521</v>
      </c>
      <c r="BL165" s="140">
        <f t="shared" si="196"/>
        <v>47.38145583965288</v>
      </c>
      <c r="BM165" s="140">
        <f t="shared" si="196"/>
        <v>46.487466106829231</v>
      </c>
      <c r="BN165" s="140">
        <f t="shared" si="196"/>
        <v>45.593476374005597</v>
      </c>
      <c r="BO165" s="140">
        <f t="shared" si="196"/>
        <v>44.69948664118197</v>
      </c>
      <c r="BP165" s="140">
        <f t="shared" si="196"/>
        <v>43.805496908358322</v>
      </c>
      <c r="BQ165" s="140">
        <f t="shared" si="196"/>
        <v>42.91150717553468</v>
      </c>
      <c r="BR165" s="140">
        <f t="shared" si="196"/>
        <v>42.017517442711025</v>
      </c>
    </row>
    <row r="166" spans="1:70" ht="15">
      <c r="A166" t="s">
        <v>16</v>
      </c>
      <c r="B166" s="75" t="str">
        <f t="shared" si="193"/>
        <v>CER</v>
      </c>
      <c r="C166" s="75" t="str">
        <f t="shared" si="194"/>
        <v>Commercial - Refrigeration</v>
      </c>
      <c r="E166" s="94"/>
      <c r="F166" s="94"/>
      <c r="I166" s="135"/>
      <c r="L166" s="140">
        <f t="shared" si="195"/>
        <v>23.65311229899768</v>
      </c>
      <c r="M166" s="140">
        <f t="shared" si="195"/>
        <v>23.278877592066362</v>
      </c>
      <c r="N166" s="140">
        <f t="shared" si="195"/>
        <v>22.961699747841056</v>
      </c>
      <c r="O166" s="140">
        <f t="shared" si="195"/>
        <v>22.598326041962327</v>
      </c>
      <c r="P166" s="140">
        <f t="shared" si="195"/>
        <v>22.21288575965001</v>
      </c>
      <c r="Q166" s="140">
        <f t="shared" si="195"/>
        <v>21.747564832910722</v>
      </c>
      <c r="R166" s="140">
        <f t="shared" si="195"/>
        <v>21.530089184581612</v>
      </c>
      <c r="S166" s="140">
        <f t="shared" si="195"/>
        <v>21.312613536252506</v>
      </c>
      <c r="T166" s="140">
        <f t="shared" si="195"/>
        <v>21.095137887923396</v>
      </c>
      <c r="U166" s="140">
        <f t="shared" si="195"/>
        <v>20.87766223959429</v>
      </c>
      <c r="V166" s="140">
        <f t="shared" si="195"/>
        <v>20.66018659126518</v>
      </c>
      <c r="W166" s="140">
        <f t="shared" si="195"/>
        <v>20.442710942936074</v>
      </c>
      <c r="X166" s="140">
        <f t="shared" si="195"/>
        <v>20.225235294606968</v>
      </c>
      <c r="Y166" s="140">
        <f t="shared" si="195"/>
        <v>20.007759646277862</v>
      </c>
      <c r="Z166" s="140">
        <f t="shared" si="195"/>
        <v>19.790283997948755</v>
      </c>
      <c r="AA166" s="140">
        <f t="shared" si="195"/>
        <v>19.572808349619645</v>
      </c>
      <c r="AB166" s="140">
        <f t="shared" si="195"/>
        <v>19.355332701290539</v>
      </c>
      <c r="AC166" s="140">
        <f t="shared" si="195"/>
        <v>19.137857052961429</v>
      </c>
      <c r="AD166" s="140">
        <f t="shared" si="195"/>
        <v>18.920381404632323</v>
      </c>
      <c r="AE166" s="140">
        <f t="shared" si="195"/>
        <v>18.702905756303213</v>
      </c>
      <c r="AF166" s="140">
        <f t="shared" si="195"/>
        <v>18.485430107974111</v>
      </c>
      <c r="AG166" s="140">
        <f t="shared" si="195"/>
        <v>18.267954459645001</v>
      </c>
      <c r="AH166" s="140">
        <f t="shared" si="195"/>
        <v>18.050478811315894</v>
      </c>
      <c r="AI166" s="140">
        <f t="shared" si="195"/>
        <v>17.833003162986788</v>
      </c>
      <c r="AJ166" s="140">
        <f t="shared" si="195"/>
        <v>17.615527514657678</v>
      </c>
      <c r="AK166" s="140">
        <f t="shared" si="195"/>
        <v>17.398051866328572</v>
      </c>
      <c r="AL166" s="140">
        <f t="shared" si="195"/>
        <v>17.180576217999462</v>
      </c>
      <c r="AM166" s="140">
        <f t="shared" si="195"/>
        <v>16.963100569670356</v>
      </c>
      <c r="AN166" s="140">
        <f t="shared" si="195"/>
        <v>16.74562492134125</v>
      </c>
      <c r="AO166" s="140">
        <f t="shared" si="195"/>
        <v>16.528149273012144</v>
      </c>
      <c r="AP166" s="140">
        <f t="shared" si="195"/>
        <v>16.310673624683034</v>
      </c>
      <c r="AQ166" s="140">
        <f t="shared" si="195"/>
        <v>16.093197976353927</v>
      </c>
      <c r="AR166" s="140">
        <f t="shared" si="195"/>
        <v>15.875722328024821</v>
      </c>
      <c r="AS166" s="140">
        <f t="shared" si="195"/>
        <v>15.658246679695711</v>
      </c>
      <c r="AT166" s="140">
        <f t="shared" si="195"/>
        <v>15.440771031366607</v>
      </c>
      <c r="AU166" s="140">
        <f t="shared" si="195"/>
        <v>15.223295383037495</v>
      </c>
      <c r="AV166" s="140">
        <f t="shared" si="195"/>
        <v>15.005819734708391</v>
      </c>
      <c r="AW166" s="140">
        <f t="shared" si="195"/>
        <v>14.788344086379285</v>
      </c>
      <c r="AX166" s="140">
        <f t="shared" si="195"/>
        <v>14.570868438050177</v>
      </c>
      <c r="AY166" s="140">
        <f t="shared" si="196"/>
        <v>14.353392789721068</v>
      </c>
      <c r="AZ166" s="140">
        <f t="shared" si="196"/>
        <v>14.13591714139196</v>
      </c>
      <c r="BA166" s="140">
        <f t="shared" si="196"/>
        <v>13.918441493062854</v>
      </c>
      <c r="BB166" s="140">
        <f t="shared" si="196"/>
        <v>13.700965844733748</v>
      </c>
      <c r="BC166" s="140">
        <f t="shared" si="196"/>
        <v>13.483490196404638</v>
      </c>
      <c r="BD166" s="140">
        <f t="shared" si="196"/>
        <v>13.266014548075534</v>
      </c>
      <c r="BE166" s="140">
        <f t="shared" si="196"/>
        <v>13.048538899746426</v>
      </c>
      <c r="BF166" s="140">
        <f t="shared" si="196"/>
        <v>12.831063251417318</v>
      </c>
      <c r="BG166" s="140">
        <f t="shared" si="196"/>
        <v>12.613587603088209</v>
      </c>
      <c r="BH166" s="140">
        <f t="shared" si="196"/>
        <v>12.396111954759101</v>
      </c>
      <c r="BI166" s="140">
        <f t="shared" si="196"/>
        <v>12.178636306429995</v>
      </c>
      <c r="BJ166" s="140">
        <f t="shared" si="196"/>
        <v>11.961160658100889</v>
      </c>
      <c r="BK166" s="140">
        <f t="shared" si="196"/>
        <v>11.743685009771779</v>
      </c>
      <c r="BL166" s="140">
        <f t="shared" si="196"/>
        <v>11.526209361442675</v>
      </c>
      <c r="BM166" s="140">
        <f t="shared" si="196"/>
        <v>11.308733713113565</v>
      </c>
      <c r="BN166" s="140">
        <f t="shared" si="196"/>
        <v>11.091258064784457</v>
      </c>
      <c r="BO166" s="140">
        <f t="shared" si="196"/>
        <v>10.87378241645535</v>
      </c>
      <c r="BP166" s="140">
        <f t="shared" si="196"/>
        <v>10.656306768126242</v>
      </c>
      <c r="BQ166" s="140">
        <f t="shared" si="196"/>
        <v>10.438831119797136</v>
      </c>
      <c r="BR166" s="140">
        <f t="shared" si="196"/>
        <v>10.221355471468026</v>
      </c>
    </row>
    <row r="167" spans="1:70" ht="15">
      <c r="A167" t="s">
        <v>16</v>
      </c>
      <c r="B167" s="75" t="str">
        <f t="shared" si="193"/>
        <v>CEW</v>
      </c>
      <c r="C167" s="75" t="str">
        <f t="shared" si="194"/>
        <v>Commercial - Water Heating</v>
      </c>
      <c r="E167" s="94"/>
      <c r="F167" s="94"/>
      <c r="I167" s="135"/>
      <c r="L167" s="140">
        <f t="shared" si="195"/>
        <v>7.7464872184600244</v>
      </c>
      <c r="M167" s="140">
        <f t="shared" si="195"/>
        <v>8.4692681971353831</v>
      </c>
      <c r="N167" s="140">
        <f t="shared" si="195"/>
        <v>9.2308078133375027</v>
      </c>
      <c r="O167" s="140">
        <f t="shared" si="195"/>
        <v>9.9935885524186734</v>
      </c>
      <c r="P167" s="140">
        <f t="shared" si="195"/>
        <v>10.765198898839666</v>
      </c>
      <c r="Q167" s="140">
        <f t="shared" si="195"/>
        <v>11.51370704778744</v>
      </c>
      <c r="R167" s="140">
        <f t="shared" si="195"/>
        <v>11.398569977309565</v>
      </c>
      <c r="S167" s="140">
        <f t="shared" si="195"/>
        <v>11.283432906831692</v>
      </c>
      <c r="T167" s="140">
        <f t="shared" si="195"/>
        <v>11.168295836353817</v>
      </c>
      <c r="U167" s="140">
        <f t="shared" si="195"/>
        <v>11.053158765875942</v>
      </c>
      <c r="V167" s="140">
        <f t="shared" si="195"/>
        <v>10.938021695398067</v>
      </c>
      <c r="W167" s="140">
        <f t="shared" si="195"/>
        <v>10.822884624920192</v>
      </c>
      <c r="X167" s="140">
        <f t="shared" si="195"/>
        <v>10.707747554442319</v>
      </c>
      <c r="Y167" s="140">
        <f t="shared" si="195"/>
        <v>10.592610483964442</v>
      </c>
      <c r="Z167" s="140">
        <f t="shared" si="195"/>
        <v>10.477473413486571</v>
      </c>
      <c r="AA167" s="140">
        <f t="shared" si="195"/>
        <v>10.362336343008696</v>
      </c>
      <c r="AB167" s="140">
        <f t="shared" si="195"/>
        <v>10.247199272530821</v>
      </c>
      <c r="AC167" s="140">
        <f t="shared" si="195"/>
        <v>10.132062202052946</v>
      </c>
      <c r="AD167" s="140">
        <f t="shared" si="195"/>
        <v>10.016925131575071</v>
      </c>
      <c r="AE167" s="140">
        <f t="shared" si="195"/>
        <v>9.9017880610971964</v>
      </c>
      <c r="AF167" s="140">
        <f t="shared" si="195"/>
        <v>9.7866509906193215</v>
      </c>
      <c r="AG167" s="140">
        <f t="shared" si="195"/>
        <v>9.6715139201414484</v>
      </c>
      <c r="AH167" s="140">
        <f t="shared" si="195"/>
        <v>9.5563768496635735</v>
      </c>
      <c r="AI167" s="140">
        <f t="shared" si="195"/>
        <v>9.4412397791857003</v>
      </c>
      <c r="AJ167" s="140">
        <f t="shared" si="195"/>
        <v>9.3261027087078254</v>
      </c>
      <c r="AK167" s="140">
        <f t="shared" si="195"/>
        <v>9.2109656382299505</v>
      </c>
      <c r="AL167" s="140">
        <f t="shared" si="195"/>
        <v>9.0958285677520756</v>
      </c>
      <c r="AM167" s="140">
        <f t="shared" si="195"/>
        <v>8.9806914972742007</v>
      </c>
      <c r="AN167" s="140">
        <f t="shared" si="195"/>
        <v>8.8655544267963275</v>
      </c>
      <c r="AO167" s="140">
        <f t="shared" si="195"/>
        <v>8.7504173563184526</v>
      </c>
      <c r="AP167" s="140">
        <f t="shared" si="195"/>
        <v>8.6352802858405777</v>
      </c>
      <c r="AQ167" s="140">
        <f t="shared" si="195"/>
        <v>8.5201432153627028</v>
      </c>
      <c r="AR167" s="140">
        <f t="shared" si="195"/>
        <v>8.4050061448848297</v>
      </c>
      <c r="AS167" s="140">
        <f t="shared" si="195"/>
        <v>8.289869074406953</v>
      </c>
      <c r="AT167" s="140">
        <f t="shared" si="195"/>
        <v>8.1747320039290798</v>
      </c>
      <c r="AU167" s="140">
        <f t="shared" si="195"/>
        <v>8.0595949334512049</v>
      </c>
      <c r="AV167" s="140">
        <f t="shared" si="195"/>
        <v>7.9444578629733309</v>
      </c>
      <c r="AW167" s="140">
        <f t="shared" si="195"/>
        <v>7.829320792495456</v>
      </c>
      <c r="AX167" s="140">
        <f t="shared" si="195"/>
        <v>7.7141837220175811</v>
      </c>
      <c r="AY167" s="140">
        <f t="shared" si="196"/>
        <v>7.5990466515397062</v>
      </c>
      <c r="AZ167" s="140">
        <f t="shared" si="196"/>
        <v>7.4839095810618321</v>
      </c>
      <c r="BA167" s="140">
        <f t="shared" si="196"/>
        <v>7.3687725105839572</v>
      </c>
      <c r="BB167" s="140">
        <f t="shared" si="196"/>
        <v>7.2536354401060841</v>
      </c>
      <c r="BC167" s="140">
        <f t="shared" si="196"/>
        <v>7.1384983696282092</v>
      </c>
      <c r="BD167" s="140">
        <f t="shared" si="196"/>
        <v>7.0233612991503351</v>
      </c>
      <c r="BE167" s="140">
        <f t="shared" si="196"/>
        <v>6.9082242286724602</v>
      </c>
      <c r="BF167" s="140">
        <f t="shared" si="196"/>
        <v>6.7930871581945862</v>
      </c>
      <c r="BG167" s="140">
        <f t="shared" si="196"/>
        <v>6.6779500877167113</v>
      </c>
      <c r="BH167" s="140">
        <f t="shared" si="196"/>
        <v>6.5628130172388355</v>
      </c>
      <c r="BI167" s="140">
        <f t="shared" si="196"/>
        <v>6.4476759467609615</v>
      </c>
      <c r="BJ167" s="140">
        <f t="shared" si="196"/>
        <v>6.3325388762830883</v>
      </c>
      <c r="BK167" s="140">
        <f t="shared" si="196"/>
        <v>6.2174018058052125</v>
      </c>
      <c r="BL167" s="140">
        <f t="shared" si="196"/>
        <v>6.1022647353273385</v>
      </c>
      <c r="BM167" s="140">
        <f t="shared" si="196"/>
        <v>5.9871276648494636</v>
      </c>
      <c r="BN167" s="140">
        <f t="shared" si="196"/>
        <v>5.8719905943715895</v>
      </c>
      <c r="BO167" s="140">
        <f t="shared" si="196"/>
        <v>5.7568535238937155</v>
      </c>
      <c r="BP167" s="140">
        <f t="shared" si="196"/>
        <v>5.6417164534158397</v>
      </c>
      <c r="BQ167" s="140">
        <f t="shared" si="196"/>
        <v>5.5265793829379666</v>
      </c>
      <c r="BR167" s="140">
        <f t="shared" si="196"/>
        <v>5.4114423124600899</v>
      </c>
    </row>
    <row r="168" spans="1:70" ht="15">
      <c r="A168" t="s">
        <v>16</v>
      </c>
      <c r="B168" s="75" t="str">
        <f t="shared" si="193"/>
        <v>CEG</v>
      </c>
      <c r="C168" s="75" t="str">
        <f t="shared" si="194"/>
        <v>Commercial - Public lights</v>
      </c>
      <c r="E168" s="94"/>
      <c r="F168" s="94"/>
      <c r="I168" s="135"/>
      <c r="L168" s="140">
        <f t="shared" si="195"/>
        <v>0</v>
      </c>
      <c r="M168" s="140">
        <f t="shared" si="195"/>
        <v>0</v>
      </c>
      <c r="N168" s="140">
        <f t="shared" si="195"/>
        <v>0</v>
      </c>
      <c r="O168" s="140">
        <f t="shared" si="195"/>
        <v>0</v>
      </c>
      <c r="P168" s="140">
        <f t="shared" si="195"/>
        <v>0</v>
      </c>
      <c r="Q168" s="140">
        <f t="shared" si="195"/>
        <v>0</v>
      </c>
      <c r="R168" s="140">
        <f t="shared" si="195"/>
        <v>0</v>
      </c>
      <c r="S168" s="140">
        <f t="shared" si="195"/>
        <v>0</v>
      </c>
      <c r="T168" s="140">
        <f t="shared" si="195"/>
        <v>0</v>
      </c>
      <c r="U168" s="140">
        <f t="shared" si="195"/>
        <v>0</v>
      </c>
      <c r="V168" s="140">
        <f t="shared" si="195"/>
        <v>0</v>
      </c>
      <c r="W168" s="140">
        <f t="shared" si="195"/>
        <v>0</v>
      </c>
      <c r="X168" s="140">
        <f t="shared" si="195"/>
        <v>0</v>
      </c>
      <c r="Y168" s="140">
        <f t="shared" si="195"/>
        <v>0</v>
      </c>
      <c r="Z168" s="140">
        <f t="shared" si="195"/>
        <v>0</v>
      </c>
      <c r="AA168" s="140">
        <f t="shared" si="195"/>
        <v>0</v>
      </c>
      <c r="AB168" s="140">
        <f t="shared" si="195"/>
        <v>0</v>
      </c>
      <c r="AC168" s="140">
        <f t="shared" si="195"/>
        <v>0</v>
      </c>
      <c r="AD168" s="140">
        <f t="shared" si="195"/>
        <v>0</v>
      </c>
      <c r="AE168" s="140">
        <f t="shared" si="195"/>
        <v>0</v>
      </c>
      <c r="AF168" s="140">
        <f t="shared" si="195"/>
        <v>0</v>
      </c>
      <c r="AG168" s="140">
        <f t="shared" si="195"/>
        <v>0</v>
      </c>
      <c r="AH168" s="140">
        <f t="shared" si="197" ref="AH168:AX168">AH$35*AH76/1000</f>
        <v>0</v>
      </c>
      <c r="AI168" s="140">
        <f t="shared" si="197"/>
        <v>0</v>
      </c>
      <c r="AJ168" s="140">
        <f t="shared" si="197"/>
        <v>0</v>
      </c>
      <c r="AK168" s="140">
        <f t="shared" si="197"/>
        <v>0</v>
      </c>
      <c r="AL168" s="140">
        <f t="shared" si="197"/>
        <v>0</v>
      </c>
      <c r="AM168" s="140">
        <f t="shared" si="197"/>
        <v>0</v>
      </c>
      <c r="AN168" s="140">
        <f t="shared" si="197"/>
        <v>0</v>
      </c>
      <c r="AO168" s="140">
        <f t="shared" si="197"/>
        <v>0</v>
      </c>
      <c r="AP168" s="140">
        <f t="shared" si="197"/>
        <v>0</v>
      </c>
      <c r="AQ168" s="140">
        <f t="shared" si="197"/>
        <v>0</v>
      </c>
      <c r="AR168" s="140">
        <f t="shared" si="197"/>
        <v>0</v>
      </c>
      <c r="AS168" s="140">
        <f t="shared" si="197"/>
        <v>0</v>
      </c>
      <c r="AT168" s="140">
        <f t="shared" si="197"/>
        <v>0</v>
      </c>
      <c r="AU168" s="140">
        <f t="shared" si="197"/>
        <v>0</v>
      </c>
      <c r="AV168" s="140">
        <f t="shared" si="197"/>
        <v>0</v>
      </c>
      <c r="AW168" s="140">
        <f t="shared" si="197"/>
        <v>0</v>
      </c>
      <c r="AX168" s="140">
        <f t="shared" si="197"/>
        <v>0</v>
      </c>
      <c r="AY168" s="140">
        <f t="shared" si="198" ref="AY168:BR168">AY$35*AY76/1000</f>
        <v>0</v>
      </c>
      <c r="AZ168" s="140">
        <f t="shared" si="198"/>
        <v>0</v>
      </c>
      <c r="BA168" s="140">
        <f t="shared" si="198"/>
        <v>0</v>
      </c>
      <c r="BB168" s="140">
        <f t="shared" si="198"/>
        <v>0</v>
      </c>
      <c r="BC168" s="140">
        <f t="shared" si="198"/>
        <v>0</v>
      </c>
      <c r="BD168" s="140">
        <f t="shared" si="198"/>
        <v>0</v>
      </c>
      <c r="BE168" s="140">
        <f t="shared" si="198"/>
        <v>0</v>
      </c>
      <c r="BF168" s="140">
        <f t="shared" si="198"/>
        <v>0</v>
      </c>
      <c r="BG168" s="140">
        <f t="shared" si="198"/>
        <v>0</v>
      </c>
      <c r="BH168" s="140">
        <f t="shared" si="198"/>
        <v>0</v>
      </c>
      <c r="BI168" s="140">
        <f t="shared" si="198"/>
        <v>0</v>
      </c>
      <c r="BJ168" s="140">
        <f t="shared" si="198"/>
        <v>0</v>
      </c>
      <c r="BK168" s="140">
        <f t="shared" si="198"/>
        <v>0</v>
      </c>
      <c r="BL168" s="140">
        <f t="shared" si="198"/>
        <v>0</v>
      </c>
      <c r="BM168" s="140">
        <f t="shared" si="198"/>
        <v>0</v>
      </c>
      <c r="BN168" s="140">
        <f t="shared" si="198"/>
        <v>0</v>
      </c>
      <c r="BO168" s="140">
        <f t="shared" si="198"/>
        <v>0</v>
      </c>
      <c r="BP168" s="140">
        <f t="shared" si="198"/>
        <v>0</v>
      </c>
      <c r="BQ168" s="140">
        <f t="shared" si="198"/>
        <v>0</v>
      </c>
      <c r="BR168" s="140">
        <f t="shared" si="198"/>
        <v>0</v>
      </c>
    </row>
    <row r="169" spans="1:70" ht="15">
      <c r="A169" t="s">
        <v>16</v>
      </c>
      <c r="B169" s="75" t="str">
        <f t="shared" si="193"/>
        <v>CET</v>
      </c>
      <c r="C169" s="75" t="str">
        <f t="shared" si="194"/>
        <v>Commercial - Public Water</v>
      </c>
      <c r="E169" s="94"/>
      <c r="F169" s="94"/>
      <c r="I169" s="135"/>
      <c r="L169" s="140">
        <f t="shared" si="199" ref="L169:AX170">L$35*L77/1000</f>
        <v>0</v>
      </c>
      <c r="M169" s="140">
        <f t="shared" si="199"/>
        <v>0</v>
      </c>
      <c r="N169" s="140">
        <f t="shared" si="199"/>
        <v>0</v>
      </c>
      <c r="O169" s="140">
        <f t="shared" si="199"/>
        <v>0</v>
      </c>
      <c r="P169" s="140">
        <f t="shared" si="199"/>
        <v>0</v>
      </c>
      <c r="Q169" s="140">
        <f t="shared" si="199"/>
        <v>0</v>
      </c>
      <c r="R169" s="140">
        <f t="shared" si="199"/>
        <v>0</v>
      </c>
      <c r="S169" s="140">
        <f t="shared" si="199"/>
        <v>0</v>
      </c>
      <c r="T169" s="140">
        <f t="shared" si="199"/>
        <v>0</v>
      </c>
      <c r="U169" s="140">
        <f t="shared" si="199"/>
        <v>0</v>
      </c>
      <c r="V169" s="140">
        <f t="shared" si="199"/>
        <v>0</v>
      </c>
      <c r="W169" s="140">
        <f t="shared" si="199"/>
        <v>0</v>
      </c>
      <c r="X169" s="140">
        <f t="shared" si="199"/>
        <v>0</v>
      </c>
      <c r="Y169" s="140">
        <f t="shared" si="199"/>
        <v>0</v>
      </c>
      <c r="Z169" s="140">
        <f t="shared" si="199"/>
        <v>0</v>
      </c>
      <c r="AA169" s="140">
        <f t="shared" si="199"/>
        <v>0</v>
      </c>
      <c r="AB169" s="140">
        <f t="shared" si="199"/>
        <v>0</v>
      </c>
      <c r="AC169" s="140">
        <f t="shared" si="199"/>
        <v>0</v>
      </c>
      <c r="AD169" s="140">
        <f t="shared" si="199"/>
        <v>0</v>
      </c>
      <c r="AE169" s="140">
        <f t="shared" si="199"/>
        <v>0</v>
      </c>
      <c r="AF169" s="140">
        <f t="shared" si="199"/>
        <v>0</v>
      </c>
      <c r="AG169" s="140">
        <f t="shared" si="199"/>
        <v>0</v>
      </c>
      <c r="AH169" s="140">
        <f t="shared" si="199"/>
        <v>0</v>
      </c>
      <c r="AI169" s="140">
        <f t="shared" si="199"/>
        <v>0</v>
      </c>
      <c r="AJ169" s="140">
        <f t="shared" si="199"/>
        <v>0</v>
      </c>
      <c r="AK169" s="140">
        <f t="shared" si="199"/>
        <v>0</v>
      </c>
      <c r="AL169" s="140">
        <f t="shared" si="199"/>
        <v>0</v>
      </c>
      <c r="AM169" s="140">
        <f t="shared" si="199"/>
        <v>0</v>
      </c>
      <c r="AN169" s="140">
        <f t="shared" si="199"/>
        <v>0</v>
      </c>
      <c r="AO169" s="140">
        <f t="shared" si="199"/>
        <v>0</v>
      </c>
      <c r="AP169" s="140">
        <f t="shared" si="199"/>
        <v>0</v>
      </c>
      <c r="AQ169" s="140">
        <f t="shared" si="199"/>
        <v>0</v>
      </c>
      <c r="AR169" s="140">
        <f t="shared" si="199"/>
        <v>0</v>
      </c>
      <c r="AS169" s="140">
        <f t="shared" si="199"/>
        <v>0</v>
      </c>
      <c r="AT169" s="140">
        <f t="shared" si="199"/>
        <v>0</v>
      </c>
      <c r="AU169" s="140">
        <f t="shared" si="199"/>
        <v>0</v>
      </c>
      <c r="AV169" s="140">
        <f t="shared" si="199"/>
        <v>0</v>
      </c>
      <c r="AW169" s="140">
        <f t="shared" si="199"/>
        <v>0</v>
      </c>
      <c r="AX169" s="140">
        <f t="shared" si="199"/>
        <v>0</v>
      </c>
      <c r="AY169" s="140">
        <f t="shared" si="200" ref="AY169:BR169">AY$35*AY77/1000</f>
        <v>0</v>
      </c>
      <c r="AZ169" s="140">
        <f t="shared" si="200"/>
        <v>0</v>
      </c>
      <c r="BA169" s="140">
        <f t="shared" si="200"/>
        <v>0</v>
      </c>
      <c r="BB169" s="140">
        <f t="shared" si="200"/>
        <v>0</v>
      </c>
      <c r="BC169" s="140">
        <f t="shared" si="200"/>
        <v>0</v>
      </c>
      <c r="BD169" s="140">
        <f t="shared" si="200"/>
        <v>0</v>
      </c>
      <c r="BE169" s="140">
        <f t="shared" si="200"/>
        <v>0</v>
      </c>
      <c r="BF169" s="140">
        <f t="shared" si="200"/>
        <v>0</v>
      </c>
      <c r="BG169" s="140">
        <f t="shared" si="200"/>
        <v>0</v>
      </c>
      <c r="BH169" s="140">
        <f t="shared" si="200"/>
        <v>0</v>
      </c>
      <c r="BI169" s="140">
        <f t="shared" si="200"/>
        <v>0</v>
      </c>
      <c r="BJ169" s="140">
        <f t="shared" si="200"/>
        <v>0</v>
      </c>
      <c r="BK169" s="140">
        <f t="shared" si="200"/>
        <v>0</v>
      </c>
      <c r="BL169" s="140">
        <f t="shared" si="200"/>
        <v>0</v>
      </c>
      <c r="BM169" s="140">
        <f t="shared" si="200"/>
        <v>0</v>
      </c>
      <c r="BN169" s="140">
        <f t="shared" si="200"/>
        <v>0</v>
      </c>
      <c r="BO169" s="140">
        <f t="shared" si="200"/>
        <v>0</v>
      </c>
      <c r="BP169" s="140">
        <f t="shared" si="200"/>
        <v>0</v>
      </c>
      <c r="BQ169" s="140">
        <f t="shared" si="200"/>
        <v>0</v>
      </c>
      <c r="BR169" s="140">
        <f t="shared" si="200"/>
        <v>0</v>
      </c>
    </row>
    <row r="170" spans="1:70" ht="15">
      <c r="A170" t="s">
        <v>16</v>
      </c>
      <c r="B170" s="75" t="str">
        <f t="shared" si="193"/>
        <v>CEO</v>
      </c>
      <c r="C170" s="75" t="str">
        <f t="shared" si="194"/>
        <v>Commercial - Other</v>
      </c>
      <c r="E170" s="94"/>
      <c r="F170" s="94"/>
      <c r="I170" s="135"/>
      <c r="L170" s="140">
        <f t="shared" si="199"/>
        <v>15.00814748566312</v>
      </c>
      <c r="M170" s="140">
        <f t="shared" si="199"/>
        <v>15.225023835481913</v>
      </c>
      <c r="N170" s="140">
        <f t="shared" si="199"/>
        <v>15.488891259804461</v>
      </c>
      <c r="O170" s="140">
        <f t="shared" si="199"/>
        <v>15.732245260507124</v>
      </c>
      <c r="P170" s="140">
        <f t="shared" si="199"/>
        <v>15.970227387974861</v>
      </c>
      <c r="Q170" s="140">
        <f t="shared" si="199"/>
        <v>16.159168491058402</v>
      </c>
      <c r="R170" s="140">
        <f t="shared" si="199"/>
        <v>15.997576806147817</v>
      </c>
      <c r="S170" s="140">
        <f t="shared" si="199"/>
        <v>15.835985121237234</v>
      </c>
      <c r="T170" s="140">
        <f t="shared" si="199"/>
        <v>15.67439343632665</v>
      </c>
      <c r="U170" s="140">
        <f t="shared" si="199"/>
        <v>15.512801751416065</v>
      </c>
      <c r="V170" s="140">
        <f t="shared" si="199"/>
        <v>15.35121006650548</v>
      </c>
      <c r="W170" s="140">
        <f t="shared" si="199"/>
        <v>15.189618381594897</v>
      </c>
      <c r="X170" s="140">
        <f t="shared" si="199"/>
        <v>15.028026696684314</v>
      </c>
      <c r="Y170" s="140">
        <f t="shared" si="199"/>
        <v>14.866435011773726</v>
      </c>
      <c r="Z170" s="140">
        <f t="shared" si="199"/>
        <v>14.704843326863145</v>
      </c>
      <c r="AA170" s="140">
        <f t="shared" si="199"/>
        <v>14.54325164195256</v>
      </c>
      <c r="AB170" s="140">
        <f t="shared" si="199"/>
        <v>14.381659957041977</v>
      </c>
      <c r="AC170" s="140">
        <f t="shared" si="199"/>
        <v>14.220068272131391</v>
      </c>
      <c r="AD170" s="140">
        <f t="shared" si="199"/>
        <v>14.058476587220808</v>
      </c>
      <c r="AE170" s="140">
        <f t="shared" si="199"/>
        <v>13.896884902310223</v>
      </c>
      <c r="AF170" s="140">
        <f t="shared" si="199"/>
        <v>13.73529321739964</v>
      </c>
      <c r="AG170" s="140">
        <f t="shared" si="199"/>
        <v>13.573701532489055</v>
      </c>
      <c r="AH170" s="140">
        <f t="shared" si="199"/>
        <v>13.412109847578471</v>
      </c>
      <c r="AI170" s="140">
        <f t="shared" si="199"/>
        <v>13.250518162667888</v>
      </c>
      <c r="AJ170" s="140">
        <f t="shared" si="199"/>
        <v>13.088926477757305</v>
      </c>
      <c r="AK170" s="140">
        <f t="shared" si="199"/>
        <v>12.92733479284672</v>
      </c>
      <c r="AL170" s="140">
        <f t="shared" si="199"/>
        <v>12.765743107936135</v>
      </c>
      <c r="AM170" s="140">
        <f t="shared" si="199"/>
        <v>12.60415142302555</v>
      </c>
      <c r="AN170" s="140">
        <f t="shared" si="199"/>
        <v>12.442559738114966</v>
      </c>
      <c r="AO170" s="140">
        <f t="shared" si="199"/>
        <v>12.280968053204383</v>
      </c>
      <c r="AP170" s="140">
        <f t="shared" si="199"/>
        <v>12.119376368293796</v>
      </c>
      <c r="AQ170" s="140">
        <f t="shared" si="199"/>
        <v>11.957784683383213</v>
      </c>
      <c r="AR170" s="140">
        <f t="shared" si="199"/>
        <v>11.79619299847263</v>
      </c>
      <c r="AS170" s="140">
        <f t="shared" si="199"/>
        <v>11.634601313562046</v>
      </c>
      <c r="AT170" s="140">
        <f t="shared" si="199"/>
        <v>11.473009628651461</v>
      </c>
      <c r="AU170" s="140">
        <f t="shared" si="199"/>
        <v>11.311417943740876</v>
      </c>
      <c r="AV170" s="140">
        <f t="shared" si="199"/>
        <v>11.149826258830293</v>
      </c>
      <c r="AW170" s="140">
        <f t="shared" si="199"/>
        <v>10.98823457391971</v>
      </c>
      <c r="AX170" s="140">
        <f t="shared" si="199"/>
        <v>10.826642889009126</v>
      </c>
      <c r="AY170" s="140">
        <f t="shared" si="201" ref="AY170:BR170">AY$35*AY78/1000</f>
        <v>10.665051204098541</v>
      </c>
      <c r="AZ170" s="140">
        <f t="shared" si="201"/>
        <v>10.503459519187956</v>
      </c>
      <c r="BA170" s="140">
        <f t="shared" si="201"/>
        <v>10.341867834277371</v>
      </c>
      <c r="BB170" s="140">
        <f t="shared" si="201"/>
        <v>10.18027614936679</v>
      </c>
      <c r="BC170" s="140">
        <f t="shared" si="201"/>
        <v>10.018684464456202</v>
      </c>
      <c r="BD170" s="140">
        <f t="shared" si="201"/>
        <v>9.8570927795456207</v>
      </c>
      <c r="BE170" s="140">
        <f t="shared" si="201"/>
        <v>9.695501094635036</v>
      </c>
      <c r="BF170" s="140">
        <f t="shared" si="201"/>
        <v>9.533909409724453</v>
      </c>
      <c r="BG170" s="140">
        <f t="shared" si="201"/>
        <v>9.3723177248138665</v>
      </c>
      <c r="BH170" s="140">
        <f t="shared" si="201"/>
        <v>9.2107260399032818</v>
      </c>
      <c r="BI170" s="140">
        <f t="shared" si="201"/>
        <v>9.0491343549926988</v>
      </c>
      <c r="BJ170" s="140">
        <f t="shared" si="201"/>
        <v>8.8875426700821158</v>
      </c>
      <c r="BK170" s="140">
        <f t="shared" si="201"/>
        <v>8.7259509851715293</v>
      </c>
      <c r="BL170" s="140">
        <f t="shared" si="201"/>
        <v>8.5643593002609464</v>
      </c>
      <c r="BM170" s="140">
        <f t="shared" si="201"/>
        <v>8.4027676153503617</v>
      </c>
      <c r="BN170" s="140">
        <f t="shared" si="201"/>
        <v>8.2411759304397787</v>
      </c>
      <c r="BO170" s="140">
        <f t="shared" si="201"/>
        <v>8.0795842455291957</v>
      </c>
      <c r="BP170" s="140">
        <f t="shared" si="201"/>
        <v>7.9179925606186101</v>
      </c>
      <c r="BQ170" s="140">
        <f t="shared" si="201"/>
        <v>7.7564008757080263</v>
      </c>
      <c r="BR170" s="140">
        <f t="shared" si="201"/>
        <v>7.5948091907974398</v>
      </c>
    </row>
    <row r="171" spans="1:70" ht="15">
      <c r="A171" t="s">
        <v>16</v>
      </c>
      <c r="E171" s="94"/>
      <c r="F171" s="94"/>
      <c r="I171" s="135"/>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row>
    <row r="172" spans="1:70" ht="15">
      <c r="A172" t="s">
        <v>16</v>
      </c>
      <c r="E172" s="94"/>
      <c r="F172" s="94"/>
      <c r="I172" s="138"/>
      <c r="J172" s="95"/>
      <c r="K172" s="95"/>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c r="BJ172" s="82"/>
      <c r="BK172" s="82"/>
      <c r="BL172" s="82"/>
      <c r="BM172" s="82"/>
      <c r="BN172" s="82"/>
      <c r="BO172" s="82"/>
      <c r="BP172" s="82"/>
      <c r="BQ172" s="82"/>
      <c r="BR172" s="82"/>
    </row>
    <row r="173" spans="1:70" ht="15.75" thickBot="1">
      <c r="A173" t="s">
        <v>16</v>
      </c>
      <c r="B173" s="139" t="s">
        <v>467</v>
      </c>
      <c r="C173" s="73"/>
      <c r="D173" s="73"/>
      <c r="I173" s="138" t="s">
        <v>97</v>
      </c>
      <c r="J173" s="95"/>
      <c r="K173" s="95"/>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82"/>
      <c r="BM173" s="82"/>
      <c r="BN173" s="82"/>
      <c r="BO173" s="82"/>
      <c r="BP173" s="82"/>
      <c r="BQ173" s="82"/>
      <c r="BR173" s="82"/>
    </row>
    <row r="174" spans="1:70" ht="15">
      <c r="A174" t="s">
        <v>16</v>
      </c>
      <c r="B174" s="75" t="str">
        <f t="shared" si="202" ref="B174:B182">B105</f>
        <v>CNC</v>
      </c>
      <c r="C174" s="75" t="str">
        <f t="shared" si="203" ref="C174:C182">C162</f>
        <v>Commercial - Cooling</v>
      </c>
      <c r="E174" s="94"/>
      <c r="F174" s="94"/>
      <c r="I174" s="138"/>
      <c r="J174" s="95"/>
      <c r="K174" s="95"/>
      <c r="L174" s="140">
        <f t="shared" si="204" ref="L174:AA182">INDEX(L$49:L$52,MATCH($I$173,$B$49:$B$52,0),1)*INDEX(L$81:L$89,MATCH($B174,$B$81:$B$89,0))*INDEX(L$105:L$113,MATCH($B174,$B$105:$B$113,0))/1000</f>
        <v>0</v>
      </c>
      <c r="M174" s="140">
        <f t="shared" si="204"/>
        <v>0</v>
      </c>
      <c r="N174" s="140">
        <f t="shared" si="204"/>
        <v>0</v>
      </c>
      <c r="O174" s="140">
        <f t="shared" si="204"/>
        <v>0</v>
      </c>
      <c r="P174" s="140">
        <f t="shared" si="204"/>
        <v>0</v>
      </c>
      <c r="Q174" s="140">
        <f t="shared" si="204"/>
        <v>0</v>
      </c>
      <c r="R174" s="140">
        <f t="shared" si="204"/>
        <v>0</v>
      </c>
      <c r="S174" s="140">
        <f t="shared" si="204"/>
        <v>0</v>
      </c>
      <c r="T174" s="140">
        <f t="shared" si="204"/>
        <v>0</v>
      </c>
      <c r="U174" s="140">
        <f t="shared" si="204"/>
        <v>0</v>
      </c>
      <c r="V174" s="140">
        <f t="shared" si="204"/>
        <v>0</v>
      </c>
      <c r="W174" s="140">
        <f t="shared" si="204"/>
        <v>0</v>
      </c>
      <c r="X174" s="140">
        <f t="shared" si="204"/>
        <v>0</v>
      </c>
      <c r="Y174" s="140">
        <f t="shared" si="204"/>
        <v>0</v>
      </c>
      <c r="Z174" s="140">
        <f t="shared" si="204"/>
        <v>0</v>
      </c>
      <c r="AA174" s="140">
        <f t="shared" si="204"/>
        <v>0</v>
      </c>
      <c r="AB174" s="140">
        <f t="shared" si="205" ref="AB174:AQ182">INDEX(AB$49:AB$52,MATCH($I$173,$B$49:$B$52,0),1)*INDEX(AB$81:AB$89,MATCH($B174,$B$81:$B$89,0))*INDEX(AB$105:AB$113,MATCH($B174,$B$105:$B$113,0))/1000</f>
        <v>0</v>
      </c>
      <c r="AC174" s="140">
        <f t="shared" si="205"/>
        <v>0</v>
      </c>
      <c r="AD174" s="140">
        <f t="shared" si="205"/>
        <v>0</v>
      </c>
      <c r="AE174" s="140">
        <f t="shared" si="205"/>
        <v>0</v>
      </c>
      <c r="AF174" s="140">
        <f t="shared" si="205"/>
        <v>0</v>
      </c>
      <c r="AG174" s="140">
        <f t="shared" si="205"/>
        <v>0</v>
      </c>
      <c r="AH174" s="140">
        <f t="shared" si="205"/>
        <v>0</v>
      </c>
      <c r="AI174" s="140">
        <f t="shared" si="205"/>
        <v>0</v>
      </c>
      <c r="AJ174" s="140">
        <f t="shared" si="205"/>
        <v>0</v>
      </c>
      <c r="AK174" s="140">
        <f t="shared" si="205"/>
        <v>0</v>
      </c>
      <c r="AL174" s="140">
        <f t="shared" si="205"/>
        <v>0</v>
      </c>
      <c r="AM174" s="140">
        <f t="shared" si="205"/>
        <v>0</v>
      </c>
      <c r="AN174" s="140">
        <f t="shared" si="205"/>
        <v>0</v>
      </c>
      <c r="AO174" s="140">
        <f t="shared" si="205"/>
        <v>0</v>
      </c>
      <c r="AP174" s="140">
        <f t="shared" si="205"/>
        <v>0</v>
      </c>
      <c r="AQ174" s="140">
        <f t="shared" si="205"/>
        <v>0</v>
      </c>
      <c r="AR174" s="140">
        <f t="shared" si="206" ref="AP174:BE182">INDEX(AR$49:AR$52,MATCH($I$173,$B$49:$B$52,0),1)*INDEX(AR$81:AR$89,MATCH($B174,$B$81:$B$89,0))*INDEX(AR$105:AR$113,MATCH($B174,$B$105:$B$113,0))/1000</f>
        <v>0</v>
      </c>
      <c r="AS174" s="140">
        <f t="shared" si="206"/>
        <v>0</v>
      </c>
      <c r="AT174" s="140">
        <f t="shared" si="206"/>
        <v>0</v>
      </c>
      <c r="AU174" s="140">
        <f t="shared" si="206"/>
        <v>0</v>
      </c>
      <c r="AV174" s="140">
        <f t="shared" si="206"/>
        <v>0</v>
      </c>
      <c r="AW174" s="140">
        <f t="shared" si="206"/>
        <v>0</v>
      </c>
      <c r="AX174" s="140">
        <f t="shared" si="206"/>
        <v>0</v>
      </c>
      <c r="AY174" s="140">
        <f t="shared" si="206"/>
        <v>0</v>
      </c>
      <c r="AZ174" s="140">
        <f t="shared" si="206"/>
        <v>0</v>
      </c>
      <c r="BA174" s="140">
        <f t="shared" si="206"/>
        <v>0</v>
      </c>
      <c r="BB174" s="140">
        <f t="shared" si="206"/>
        <v>0</v>
      </c>
      <c r="BC174" s="140">
        <f t="shared" si="206"/>
        <v>0</v>
      </c>
      <c r="BD174" s="140">
        <f t="shared" si="206"/>
        <v>0</v>
      </c>
      <c r="BE174" s="140">
        <f t="shared" si="206"/>
        <v>0</v>
      </c>
      <c r="BF174" s="140">
        <f t="shared" si="207" ref="AY174:BR180">INDEX(BF$49:BF$52,MATCH($I$173,$B$49:$B$52,0),1)*INDEX(BF$81:BF$89,MATCH($B174,$B$81:$B$89,0))*INDEX(BF$105:BF$113,MATCH($B174,$B$105:$B$113,0))/1000</f>
        <v>0</v>
      </c>
      <c r="BG174" s="140">
        <f t="shared" si="207"/>
        <v>0</v>
      </c>
      <c r="BH174" s="140">
        <f t="shared" si="207"/>
        <v>0</v>
      </c>
      <c r="BI174" s="140">
        <f t="shared" si="207"/>
        <v>0</v>
      </c>
      <c r="BJ174" s="140">
        <f t="shared" si="207"/>
        <v>0</v>
      </c>
      <c r="BK174" s="140">
        <f t="shared" si="207"/>
        <v>0</v>
      </c>
      <c r="BL174" s="140">
        <f t="shared" si="207"/>
        <v>0</v>
      </c>
      <c r="BM174" s="140">
        <f t="shared" si="207"/>
        <v>0</v>
      </c>
      <c r="BN174" s="140">
        <f t="shared" si="207"/>
        <v>0</v>
      </c>
      <c r="BO174" s="140">
        <f t="shared" si="207"/>
        <v>0</v>
      </c>
      <c r="BP174" s="140">
        <f t="shared" si="207"/>
        <v>0</v>
      </c>
      <c r="BQ174" s="140">
        <f t="shared" si="207"/>
        <v>0</v>
      </c>
      <c r="BR174" s="140">
        <f t="shared" si="207"/>
        <v>0</v>
      </c>
    </row>
    <row r="175" spans="1:70" ht="15">
      <c r="A175" t="s">
        <v>16</v>
      </c>
      <c r="B175" s="75" t="str">
        <f t="shared" si="202"/>
        <v>CNH</v>
      </c>
      <c r="C175" s="75" t="str">
        <f t="shared" si="203"/>
        <v>Commercial - Space Heating</v>
      </c>
      <c r="E175" s="94"/>
      <c r="F175" s="94"/>
      <c r="I175" s="138"/>
      <c r="J175" s="95"/>
      <c r="K175" s="95"/>
      <c r="L175" s="140">
        <f t="shared" si="204"/>
        <v>0</v>
      </c>
      <c r="M175" s="140">
        <f t="shared" si="204"/>
        <v>0</v>
      </c>
      <c r="N175" s="140">
        <f t="shared" si="204"/>
        <v>0</v>
      </c>
      <c r="O175" s="140">
        <f t="shared" si="204"/>
        <v>0</v>
      </c>
      <c r="P175" s="140">
        <f t="shared" si="204"/>
        <v>0</v>
      </c>
      <c r="Q175" s="140">
        <f t="shared" si="204"/>
        <v>0</v>
      </c>
      <c r="R175" s="140">
        <f t="shared" si="204"/>
        <v>0</v>
      </c>
      <c r="S175" s="140">
        <f t="shared" si="204"/>
        <v>0</v>
      </c>
      <c r="T175" s="140">
        <f t="shared" si="204"/>
        <v>0</v>
      </c>
      <c r="U175" s="140">
        <f t="shared" si="204"/>
        <v>0</v>
      </c>
      <c r="V175" s="140">
        <f t="shared" si="204"/>
        <v>0</v>
      </c>
      <c r="W175" s="140">
        <f t="shared" si="204"/>
        <v>0</v>
      </c>
      <c r="X175" s="140">
        <f t="shared" si="204"/>
        <v>0</v>
      </c>
      <c r="Y175" s="140">
        <f t="shared" si="204"/>
        <v>0</v>
      </c>
      <c r="Z175" s="140">
        <f t="shared" si="204"/>
        <v>0</v>
      </c>
      <c r="AA175" s="140">
        <f t="shared" si="204"/>
        <v>0</v>
      </c>
      <c r="AB175" s="140">
        <f t="shared" si="205"/>
        <v>0</v>
      </c>
      <c r="AC175" s="140">
        <f t="shared" si="205"/>
        <v>0</v>
      </c>
      <c r="AD175" s="140">
        <f t="shared" si="205"/>
        <v>0</v>
      </c>
      <c r="AE175" s="140">
        <f t="shared" si="205"/>
        <v>0</v>
      </c>
      <c r="AF175" s="140">
        <f t="shared" si="205"/>
        <v>0</v>
      </c>
      <c r="AG175" s="140">
        <f t="shared" si="205"/>
        <v>0</v>
      </c>
      <c r="AH175" s="140">
        <f t="shared" si="205"/>
        <v>0</v>
      </c>
      <c r="AI175" s="140">
        <f t="shared" si="205"/>
        <v>0</v>
      </c>
      <c r="AJ175" s="140">
        <f t="shared" si="205"/>
        <v>0</v>
      </c>
      <c r="AK175" s="140">
        <f t="shared" si="205"/>
        <v>0</v>
      </c>
      <c r="AL175" s="140">
        <f t="shared" si="205"/>
        <v>0</v>
      </c>
      <c r="AM175" s="140">
        <f t="shared" si="205"/>
        <v>0</v>
      </c>
      <c r="AN175" s="140">
        <f t="shared" si="205"/>
        <v>0</v>
      </c>
      <c r="AO175" s="140">
        <f t="shared" si="205"/>
        <v>0</v>
      </c>
      <c r="AP175" s="140">
        <f t="shared" si="206"/>
        <v>0</v>
      </c>
      <c r="AQ175" s="140">
        <f t="shared" si="206"/>
        <v>0</v>
      </c>
      <c r="AR175" s="140">
        <f t="shared" si="206"/>
        <v>0</v>
      </c>
      <c r="AS175" s="140">
        <f t="shared" si="206"/>
        <v>0</v>
      </c>
      <c r="AT175" s="140">
        <f t="shared" si="206"/>
        <v>0</v>
      </c>
      <c r="AU175" s="140">
        <f t="shared" si="206"/>
        <v>0</v>
      </c>
      <c r="AV175" s="140">
        <f t="shared" si="206"/>
        <v>0</v>
      </c>
      <c r="AW175" s="140">
        <f t="shared" si="206"/>
        <v>0</v>
      </c>
      <c r="AX175" s="140">
        <f t="shared" si="206"/>
        <v>0</v>
      </c>
      <c r="AY175" s="140">
        <f t="shared" si="207"/>
        <v>0</v>
      </c>
      <c r="AZ175" s="140">
        <f t="shared" si="207"/>
        <v>0</v>
      </c>
      <c r="BA175" s="140">
        <f t="shared" si="207"/>
        <v>0</v>
      </c>
      <c r="BB175" s="140">
        <f t="shared" si="207"/>
        <v>0</v>
      </c>
      <c r="BC175" s="140">
        <f t="shared" si="207"/>
        <v>0</v>
      </c>
      <c r="BD175" s="140">
        <f t="shared" si="207"/>
        <v>0</v>
      </c>
      <c r="BE175" s="140">
        <f t="shared" si="207"/>
        <v>0</v>
      </c>
      <c r="BF175" s="140">
        <f t="shared" si="207"/>
        <v>0</v>
      </c>
      <c r="BG175" s="140">
        <f t="shared" si="207"/>
        <v>0</v>
      </c>
      <c r="BH175" s="140">
        <f t="shared" si="207"/>
        <v>0</v>
      </c>
      <c r="BI175" s="140">
        <f t="shared" si="207"/>
        <v>0</v>
      </c>
      <c r="BJ175" s="140">
        <f t="shared" si="207"/>
        <v>0</v>
      </c>
      <c r="BK175" s="140">
        <f t="shared" si="207"/>
        <v>0</v>
      </c>
      <c r="BL175" s="140">
        <f t="shared" si="207"/>
        <v>0</v>
      </c>
      <c r="BM175" s="140">
        <f t="shared" si="207"/>
        <v>0</v>
      </c>
      <c r="BN175" s="140">
        <f t="shared" si="207"/>
        <v>0</v>
      </c>
      <c r="BO175" s="140">
        <f t="shared" si="207"/>
        <v>0</v>
      </c>
      <c r="BP175" s="140">
        <f t="shared" si="207"/>
        <v>0</v>
      </c>
      <c r="BQ175" s="140">
        <f t="shared" si="207"/>
        <v>0</v>
      </c>
      <c r="BR175" s="140">
        <f t="shared" si="207"/>
        <v>0</v>
      </c>
    </row>
    <row r="176" spans="1:70" ht="15">
      <c r="A176" t="s">
        <v>16</v>
      </c>
      <c r="B176" s="75" t="str">
        <f t="shared" si="202"/>
        <v>CNK</v>
      </c>
      <c r="C176" s="75" t="str">
        <f t="shared" si="203"/>
        <v>Commercial - Cooking</v>
      </c>
      <c r="E176" s="94"/>
      <c r="F176" s="94"/>
      <c r="I176" s="138"/>
      <c r="J176" s="95"/>
      <c r="K176" s="95"/>
      <c r="L176" s="140">
        <f t="shared" si="204"/>
        <v>0</v>
      </c>
      <c r="M176" s="140">
        <f t="shared" si="204"/>
        <v>0</v>
      </c>
      <c r="N176" s="140">
        <f t="shared" si="204"/>
        <v>0</v>
      </c>
      <c r="O176" s="140">
        <f t="shared" si="204"/>
        <v>0</v>
      </c>
      <c r="P176" s="140">
        <f t="shared" si="204"/>
        <v>0</v>
      </c>
      <c r="Q176" s="140">
        <f t="shared" si="204"/>
        <v>0</v>
      </c>
      <c r="R176" s="140">
        <f t="shared" si="204"/>
        <v>0</v>
      </c>
      <c r="S176" s="140">
        <f t="shared" si="204"/>
        <v>0</v>
      </c>
      <c r="T176" s="140">
        <f t="shared" si="204"/>
        <v>0</v>
      </c>
      <c r="U176" s="140">
        <f t="shared" si="204"/>
        <v>0</v>
      </c>
      <c r="V176" s="140">
        <f t="shared" si="204"/>
        <v>0</v>
      </c>
      <c r="W176" s="140">
        <f t="shared" si="204"/>
        <v>0</v>
      </c>
      <c r="X176" s="140">
        <f t="shared" si="204"/>
        <v>0</v>
      </c>
      <c r="Y176" s="140">
        <f t="shared" si="204"/>
        <v>0</v>
      </c>
      <c r="Z176" s="140">
        <f t="shared" si="204"/>
        <v>0</v>
      </c>
      <c r="AA176" s="140">
        <f t="shared" si="204"/>
        <v>0</v>
      </c>
      <c r="AB176" s="140">
        <f t="shared" si="205"/>
        <v>0</v>
      </c>
      <c r="AC176" s="140">
        <f t="shared" si="205"/>
        <v>0</v>
      </c>
      <c r="AD176" s="140">
        <f t="shared" si="205"/>
        <v>0</v>
      </c>
      <c r="AE176" s="140">
        <f t="shared" si="205"/>
        <v>0</v>
      </c>
      <c r="AF176" s="140">
        <f t="shared" si="205"/>
        <v>0</v>
      </c>
      <c r="AG176" s="140">
        <f t="shared" si="205"/>
        <v>0</v>
      </c>
      <c r="AH176" s="140">
        <f t="shared" si="205"/>
        <v>0</v>
      </c>
      <c r="AI176" s="140">
        <f t="shared" si="205"/>
        <v>0</v>
      </c>
      <c r="AJ176" s="140">
        <f t="shared" si="205"/>
        <v>0</v>
      </c>
      <c r="AK176" s="140">
        <f t="shared" si="205"/>
        <v>0</v>
      </c>
      <c r="AL176" s="140">
        <f t="shared" si="205"/>
        <v>0</v>
      </c>
      <c r="AM176" s="140">
        <f t="shared" si="205"/>
        <v>0</v>
      </c>
      <c r="AN176" s="140">
        <f t="shared" si="205"/>
        <v>0</v>
      </c>
      <c r="AO176" s="140">
        <f t="shared" si="205"/>
        <v>0</v>
      </c>
      <c r="AP176" s="140">
        <f t="shared" si="206"/>
        <v>0</v>
      </c>
      <c r="AQ176" s="140">
        <f t="shared" si="206"/>
        <v>0</v>
      </c>
      <c r="AR176" s="140">
        <f t="shared" si="206"/>
        <v>0</v>
      </c>
      <c r="AS176" s="140">
        <f t="shared" si="206"/>
        <v>0</v>
      </c>
      <c r="AT176" s="140">
        <f t="shared" si="206"/>
        <v>0</v>
      </c>
      <c r="AU176" s="140">
        <f t="shared" si="206"/>
        <v>0</v>
      </c>
      <c r="AV176" s="140">
        <f t="shared" si="206"/>
        <v>0</v>
      </c>
      <c r="AW176" s="140">
        <f t="shared" si="206"/>
        <v>0</v>
      </c>
      <c r="AX176" s="140">
        <f t="shared" si="206"/>
        <v>0</v>
      </c>
      <c r="AY176" s="140">
        <f t="shared" si="207"/>
        <v>0</v>
      </c>
      <c r="AZ176" s="140">
        <f t="shared" si="207"/>
        <v>0</v>
      </c>
      <c r="BA176" s="140">
        <f t="shared" si="207"/>
        <v>0</v>
      </c>
      <c r="BB176" s="140">
        <f t="shared" si="207"/>
        <v>0</v>
      </c>
      <c r="BC176" s="140">
        <f t="shared" si="207"/>
        <v>0</v>
      </c>
      <c r="BD176" s="140">
        <f t="shared" si="207"/>
        <v>0</v>
      </c>
      <c r="BE176" s="140">
        <f t="shared" si="207"/>
        <v>0</v>
      </c>
      <c r="BF176" s="140">
        <f t="shared" si="207"/>
        <v>0</v>
      </c>
      <c r="BG176" s="140">
        <f t="shared" si="207"/>
        <v>0</v>
      </c>
      <c r="BH176" s="140">
        <f t="shared" si="207"/>
        <v>0</v>
      </c>
      <c r="BI176" s="140">
        <f t="shared" si="207"/>
        <v>0</v>
      </c>
      <c r="BJ176" s="140">
        <f t="shared" si="207"/>
        <v>0</v>
      </c>
      <c r="BK176" s="140">
        <f t="shared" si="207"/>
        <v>0</v>
      </c>
      <c r="BL176" s="140">
        <f t="shared" si="207"/>
        <v>0</v>
      </c>
      <c r="BM176" s="140">
        <f t="shared" si="207"/>
        <v>0</v>
      </c>
      <c r="BN176" s="140">
        <f t="shared" si="207"/>
        <v>0</v>
      </c>
      <c r="BO176" s="140">
        <f t="shared" si="207"/>
        <v>0</v>
      </c>
      <c r="BP176" s="140">
        <f t="shared" si="207"/>
        <v>0</v>
      </c>
      <c r="BQ176" s="140">
        <f t="shared" si="207"/>
        <v>0</v>
      </c>
      <c r="BR176" s="140">
        <f t="shared" si="207"/>
        <v>0</v>
      </c>
    </row>
    <row r="177" spans="1:70" ht="15">
      <c r="A177" t="s">
        <v>16</v>
      </c>
      <c r="B177" s="75" t="str">
        <f t="shared" si="202"/>
        <v>CNL</v>
      </c>
      <c r="C177" s="75" t="str">
        <f t="shared" si="203"/>
        <v>Commercial - Lighting</v>
      </c>
      <c r="E177" s="94"/>
      <c r="F177" s="94"/>
      <c r="I177" s="138"/>
      <c r="J177" s="95"/>
      <c r="K177" s="95"/>
      <c r="L177" s="140">
        <f t="shared" si="204"/>
        <v>0</v>
      </c>
      <c r="M177" s="140">
        <f t="shared" si="204"/>
        <v>0</v>
      </c>
      <c r="N177" s="140">
        <f t="shared" si="204"/>
        <v>0</v>
      </c>
      <c r="O177" s="140">
        <f t="shared" si="204"/>
        <v>0</v>
      </c>
      <c r="P177" s="140">
        <f t="shared" si="204"/>
        <v>0</v>
      </c>
      <c r="Q177" s="140">
        <f t="shared" si="204"/>
        <v>0</v>
      </c>
      <c r="R177" s="140">
        <f t="shared" si="204"/>
        <v>0</v>
      </c>
      <c r="S177" s="140">
        <f t="shared" si="204"/>
        <v>0</v>
      </c>
      <c r="T177" s="140">
        <f t="shared" si="204"/>
        <v>0</v>
      </c>
      <c r="U177" s="140">
        <f t="shared" si="204"/>
        <v>0</v>
      </c>
      <c r="V177" s="140">
        <f t="shared" si="204"/>
        <v>0</v>
      </c>
      <c r="W177" s="140">
        <f t="shared" si="204"/>
        <v>0</v>
      </c>
      <c r="X177" s="140">
        <f t="shared" si="204"/>
        <v>0</v>
      </c>
      <c r="Y177" s="140">
        <f t="shared" si="204"/>
        <v>0</v>
      </c>
      <c r="Z177" s="140">
        <f t="shared" si="204"/>
        <v>0</v>
      </c>
      <c r="AA177" s="140">
        <f t="shared" si="204"/>
        <v>0</v>
      </c>
      <c r="AB177" s="140">
        <f t="shared" si="205"/>
        <v>0</v>
      </c>
      <c r="AC177" s="140">
        <f t="shared" si="205"/>
        <v>0</v>
      </c>
      <c r="AD177" s="140">
        <f t="shared" si="205"/>
        <v>0</v>
      </c>
      <c r="AE177" s="140">
        <f t="shared" si="205"/>
        <v>0</v>
      </c>
      <c r="AF177" s="140">
        <f t="shared" si="205"/>
        <v>0</v>
      </c>
      <c r="AG177" s="140">
        <f t="shared" si="205"/>
        <v>0</v>
      </c>
      <c r="AH177" s="140">
        <f t="shared" si="205"/>
        <v>0</v>
      </c>
      <c r="AI177" s="140">
        <f t="shared" si="205"/>
        <v>0</v>
      </c>
      <c r="AJ177" s="140">
        <f t="shared" si="205"/>
        <v>0</v>
      </c>
      <c r="AK177" s="140">
        <f t="shared" si="205"/>
        <v>0</v>
      </c>
      <c r="AL177" s="140">
        <f t="shared" si="205"/>
        <v>0</v>
      </c>
      <c r="AM177" s="140">
        <f t="shared" si="205"/>
        <v>0</v>
      </c>
      <c r="AN177" s="140">
        <f t="shared" si="205"/>
        <v>0</v>
      </c>
      <c r="AO177" s="140">
        <f t="shared" si="205"/>
        <v>0</v>
      </c>
      <c r="AP177" s="140">
        <f t="shared" si="206"/>
        <v>0</v>
      </c>
      <c r="AQ177" s="140">
        <f t="shared" si="206"/>
        <v>0</v>
      </c>
      <c r="AR177" s="140">
        <f t="shared" si="206"/>
        <v>0</v>
      </c>
      <c r="AS177" s="140">
        <f t="shared" si="206"/>
        <v>0</v>
      </c>
      <c r="AT177" s="140">
        <f t="shared" si="206"/>
        <v>0</v>
      </c>
      <c r="AU177" s="140">
        <f t="shared" si="206"/>
        <v>0</v>
      </c>
      <c r="AV177" s="140">
        <f t="shared" si="206"/>
        <v>0</v>
      </c>
      <c r="AW177" s="140">
        <f t="shared" si="206"/>
        <v>0</v>
      </c>
      <c r="AX177" s="140">
        <f t="shared" si="206"/>
        <v>0</v>
      </c>
      <c r="AY177" s="140">
        <f t="shared" si="207"/>
        <v>0</v>
      </c>
      <c r="AZ177" s="140">
        <f t="shared" si="207"/>
        <v>0</v>
      </c>
      <c r="BA177" s="140">
        <f t="shared" si="207"/>
        <v>0</v>
      </c>
      <c r="BB177" s="140">
        <f t="shared" si="207"/>
        <v>0</v>
      </c>
      <c r="BC177" s="140">
        <f t="shared" si="207"/>
        <v>0</v>
      </c>
      <c r="BD177" s="140">
        <f t="shared" si="207"/>
        <v>0</v>
      </c>
      <c r="BE177" s="140">
        <f t="shared" si="207"/>
        <v>0</v>
      </c>
      <c r="BF177" s="140">
        <f t="shared" si="207"/>
        <v>0</v>
      </c>
      <c r="BG177" s="140">
        <f t="shared" si="207"/>
        <v>0</v>
      </c>
      <c r="BH177" s="140">
        <f t="shared" si="207"/>
        <v>0</v>
      </c>
      <c r="BI177" s="140">
        <f t="shared" si="207"/>
        <v>0</v>
      </c>
      <c r="BJ177" s="140">
        <f t="shared" si="207"/>
        <v>0</v>
      </c>
      <c r="BK177" s="140">
        <f t="shared" si="207"/>
        <v>0</v>
      </c>
      <c r="BL177" s="140">
        <f t="shared" si="207"/>
        <v>0</v>
      </c>
      <c r="BM177" s="140">
        <f t="shared" si="207"/>
        <v>0</v>
      </c>
      <c r="BN177" s="140">
        <f t="shared" si="207"/>
        <v>0</v>
      </c>
      <c r="BO177" s="140">
        <f t="shared" si="207"/>
        <v>0</v>
      </c>
      <c r="BP177" s="140">
        <f t="shared" si="207"/>
        <v>0</v>
      </c>
      <c r="BQ177" s="140">
        <f t="shared" si="207"/>
        <v>0</v>
      </c>
      <c r="BR177" s="140">
        <f t="shared" si="207"/>
        <v>0</v>
      </c>
    </row>
    <row r="178" spans="1:70" ht="15">
      <c r="A178" t="s">
        <v>16</v>
      </c>
      <c r="B178" s="75" t="str">
        <f t="shared" si="202"/>
        <v>CNR</v>
      </c>
      <c r="C178" s="75" t="str">
        <f t="shared" si="203"/>
        <v>Commercial - Refrigeration</v>
      </c>
      <c r="E178" s="94"/>
      <c r="F178" s="94"/>
      <c r="I178" s="138"/>
      <c r="J178" s="95"/>
      <c r="K178" s="95"/>
      <c r="L178" s="140">
        <f t="shared" si="204"/>
        <v>0</v>
      </c>
      <c r="M178" s="140">
        <f t="shared" si="204"/>
        <v>0</v>
      </c>
      <c r="N178" s="140">
        <f t="shared" si="204"/>
        <v>0</v>
      </c>
      <c r="O178" s="140">
        <f t="shared" si="204"/>
        <v>0</v>
      </c>
      <c r="P178" s="140">
        <f t="shared" si="204"/>
        <v>0</v>
      </c>
      <c r="Q178" s="140">
        <f t="shared" si="204"/>
        <v>0</v>
      </c>
      <c r="R178" s="140">
        <f t="shared" si="204"/>
        <v>0</v>
      </c>
      <c r="S178" s="140">
        <f t="shared" si="204"/>
        <v>0</v>
      </c>
      <c r="T178" s="140">
        <f t="shared" si="204"/>
        <v>0</v>
      </c>
      <c r="U178" s="140">
        <f t="shared" si="204"/>
        <v>0</v>
      </c>
      <c r="V178" s="140">
        <f t="shared" si="204"/>
        <v>0</v>
      </c>
      <c r="W178" s="140">
        <f t="shared" si="204"/>
        <v>0</v>
      </c>
      <c r="X178" s="140">
        <f t="shared" si="204"/>
        <v>0</v>
      </c>
      <c r="Y178" s="140">
        <f t="shared" si="204"/>
        <v>0</v>
      </c>
      <c r="Z178" s="140">
        <f t="shared" si="204"/>
        <v>0</v>
      </c>
      <c r="AA178" s="140">
        <f t="shared" si="204"/>
        <v>0</v>
      </c>
      <c r="AB178" s="140">
        <f t="shared" si="205"/>
        <v>0</v>
      </c>
      <c r="AC178" s="140">
        <f t="shared" si="205"/>
        <v>0</v>
      </c>
      <c r="AD178" s="140">
        <f t="shared" si="205"/>
        <v>0</v>
      </c>
      <c r="AE178" s="140">
        <f t="shared" si="205"/>
        <v>0</v>
      </c>
      <c r="AF178" s="140">
        <f t="shared" si="205"/>
        <v>0</v>
      </c>
      <c r="AG178" s="140">
        <f t="shared" si="205"/>
        <v>0</v>
      </c>
      <c r="AH178" s="140">
        <f t="shared" si="205"/>
        <v>0</v>
      </c>
      <c r="AI178" s="140">
        <f t="shared" si="205"/>
        <v>0</v>
      </c>
      <c r="AJ178" s="140">
        <f t="shared" si="205"/>
        <v>0</v>
      </c>
      <c r="AK178" s="140">
        <f t="shared" si="205"/>
        <v>0</v>
      </c>
      <c r="AL178" s="140">
        <f t="shared" si="205"/>
        <v>0</v>
      </c>
      <c r="AM178" s="140">
        <f t="shared" si="205"/>
        <v>0</v>
      </c>
      <c r="AN178" s="140">
        <f t="shared" si="205"/>
        <v>0</v>
      </c>
      <c r="AO178" s="140">
        <f t="shared" si="205"/>
        <v>0</v>
      </c>
      <c r="AP178" s="140">
        <f t="shared" si="206"/>
        <v>0</v>
      </c>
      <c r="AQ178" s="140">
        <f t="shared" si="206"/>
        <v>0</v>
      </c>
      <c r="AR178" s="140">
        <f t="shared" si="206"/>
        <v>0</v>
      </c>
      <c r="AS178" s="140">
        <f t="shared" si="206"/>
        <v>0</v>
      </c>
      <c r="AT178" s="140">
        <f t="shared" si="206"/>
        <v>0</v>
      </c>
      <c r="AU178" s="140">
        <f t="shared" si="206"/>
        <v>0</v>
      </c>
      <c r="AV178" s="140">
        <f t="shared" si="206"/>
        <v>0</v>
      </c>
      <c r="AW178" s="140">
        <f t="shared" si="206"/>
        <v>0</v>
      </c>
      <c r="AX178" s="140">
        <f t="shared" si="206"/>
        <v>0</v>
      </c>
      <c r="AY178" s="140">
        <f t="shared" si="207"/>
        <v>0</v>
      </c>
      <c r="AZ178" s="140">
        <f t="shared" si="207"/>
        <v>0</v>
      </c>
      <c r="BA178" s="140">
        <f t="shared" si="207"/>
        <v>0</v>
      </c>
      <c r="BB178" s="140">
        <f t="shared" si="207"/>
        <v>0</v>
      </c>
      <c r="BC178" s="140">
        <f t="shared" si="207"/>
        <v>0</v>
      </c>
      <c r="BD178" s="140">
        <f t="shared" si="207"/>
        <v>0</v>
      </c>
      <c r="BE178" s="140">
        <f t="shared" si="207"/>
        <v>0</v>
      </c>
      <c r="BF178" s="140">
        <f t="shared" si="207"/>
        <v>0</v>
      </c>
      <c r="BG178" s="140">
        <f t="shared" si="207"/>
        <v>0</v>
      </c>
      <c r="BH178" s="140">
        <f t="shared" si="207"/>
        <v>0</v>
      </c>
      <c r="BI178" s="140">
        <f t="shared" si="207"/>
        <v>0</v>
      </c>
      <c r="BJ178" s="140">
        <f t="shared" si="207"/>
        <v>0</v>
      </c>
      <c r="BK178" s="140">
        <f t="shared" si="207"/>
        <v>0</v>
      </c>
      <c r="BL178" s="140">
        <f t="shared" si="207"/>
        <v>0</v>
      </c>
      <c r="BM178" s="140">
        <f t="shared" si="207"/>
        <v>0</v>
      </c>
      <c r="BN178" s="140">
        <f t="shared" si="207"/>
        <v>0</v>
      </c>
      <c r="BO178" s="140">
        <f t="shared" si="207"/>
        <v>0</v>
      </c>
      <c r="BP178" s="140">
        <f t="shared" si="207"/>
        <v>0</v>
      </c>
      <c r="BQ178" s="140">
        <f t="shared" si="207"/>
        <v>0</v>
      </c>
      <c r="BR178" s="140">
        <f t="shared" si="207"/>
        <v>0</v>
      </c>
    </row>
    <row r="179" spans="1:70" ht="15">
      <c r="A179" t="s">
        <v>16</v>
      </c>
      <c r="B179" s="75" t="str">
        <f t="shared" si="202"/>
        <v>CNW</v>
      </c>
      <c r="C179" s="75" t="str">
        <f t="shared" si="203"/>
        <v>Commercial - Water Heating</v>
      </c>
      <c r="E179" s="94"/>
      <c r="F179" s="94"/>
      <c r="I179" s="138"/>
      <c r="J179" s="95"/>
      <c r="K179" s="95"/>
      <c r="L179" s="140">
        <f t="shared" si="204"/>
        <v>0</v>
      </c>
      <c r="M179" s="140">
        <f t="shared" si="204"/>
        <v>0</v>
      </c>
      <c r="N179" s="140">
        <f t="shared" si="204"/>
        <v>0</v>
      </c>
      <c r="O179" s="140">
        <f t="shared" si="204"/>
        <v>0</v>
      </c>
      <c r="P179" s="140">
        <f t="shared" si="204"/>
        <v>0</v>
      </c>
      <c r="Q179" s="140">
        <f t="shared" si="204"/>
        <v>0</v>
      </c>
      <c r="R179" s="140">
        <f t="shared" si="204"/>
        <v>0</v>
      </c>
      <c r="S179" s="140">
        <f t="shared" si="204"/>
        <v>0</v>
      </c>
      <c r="T179" s="140">
        <f t="shared" si="204"/>
        <v>0</v>
      </c>
      <c r="U179" s="140">
        <f t="shared" si="204"/>
        <v>0</v>
      </c>
      <c r="V179" s="140">
        <f t="shared" si="204"/>
        <v>0</v>
      </c>
      <c r="W179" s="140">
        <f t="shared" si="204"/>
        <v>0</v>
      </c>
      <c r="X179" s="140">
        <f t="shared" si="204"/>
        <v>0</v>
      </c>
      <c r="Y179" s="140">
        <f t="shared" si="204"/>
        <v>0</v>
      </c>
      <c r="Z179" s="140">
        <f t="shared" si="204"/>
        <v>0</v>
      </c>
      <c r="AA179" s="140">
        <f t="shared" si="204"/>
        <v>0</v>
      </c>
      <c r="AB179" s="140">
        <f t="shared" si="205"/>
        <v>0</v>
      </c>
      <c r="AC179" s="140">
        <f t="shared" si="205"/>
        <v>0</v>
      </c>
      <c r="AD179" s="140">
        <f t="shared" si="205"/>
        <v>0</v>
      </c>
      <c r="AE179" s="140">
        <f t="shared" si="205"/>
        <v>0</v>
      </c>
      <c r="AF179" s="140">
        <f t="shared" si="205"/>
        <v>0</v>
      </c>
      <c r="AG179" s="140">
        <f t="shared" si="205"/>
        <v>0</v>
      </c>
      <c r="AH179" s="140">
        <f t="shared" si="205"/>
        <v>0</v>
      </c>
      <c r="AI179" s="140">
        <f t="shared" si="205"/>
        <v>0</v>
      </c>
      <c r="AJ179" s="140">
        <f t="shared" si="205"/>
        <v>0</v>
      </c>
      <c r="AK179" s="140">
        <f t="shared" si="205"/>
        <v>0</v>
      </c>
      <c r="AL179" s="140">
        <f t="shared" si="205"/>
        <v>0</v>
      </c>
      <c r="AM179" s="140">
        <f t="shared" si="205"/>
        <v>0</v>
      </c>
      <c r="AN179" s="140">
        <f t="shared" si="205"/>
        <v>0</v>
      </c>
      <c r="AO179" s="140">
        <f t="shared" si="205"/>
        <v>0</v>
      </c>
      <c r="AP179" s="140">
        <f t="shared" si="206"/>
        <v>0</v>
      </c>
      <c r="AQ179" s="140">
        <f t="shared" si="206"/>
        <v>0</v>
      </c>
      <c r="AR179" s="140">
        <f t="shared" si="206"/>
        <v>0</v>
      </c>
      <c r="AS179" s="140">
        <f t="shared" si="206"/>
        <v>0</v>
      </c>
      <c r="AT179" s="140">
        <f t="shared" si="206"/>
        <v>0</v>
      </c>
      <c r="AU179" s="140">
        <f t="shared" si="206"/>
        <v>0</v>
      </c>
      <c r="AV179" s="140">
        <f t="shared" si="206"/>
        <v>0</v>
      </c>
      <c r="AW179" s="140">
        <f t="shared" si="206"/>
        <v>0</v>
      </c>
      <c r="AX179" s="140">
        <f t="shared" si="206"/>
        <v>0</v>
      </c>
      <c r="AY179" s="140">
        <f t="shared" si="207"/>
        <v>0</v>
      </c>
      <c r="AZ179" s="140">
        <f t="shared" si="207"/>
        <v>0</v>
      </c>
      <c r="BA179" s="140">
        <f t="shared" si="207"/>
        <v>0</v>
      </c>
      <c r="BB179" s="140">
        <f t="shared" si="207"/>
        <v>0</v>
      </c>
      <c r="BC179" s="140">
        <f t="shared" si="207"/>
        <v>0</v>
      </c>
      <c r="BD179" s="140">
        <f t="shared" si="207"/>
        <v>0</v>
      </c>
      <c r="BE179" s="140">
        <f t="shared" si="207"/>
        <v>0</v>
      </c>
      <c r="BF179" s="140">
        <f t="shared" si="207"/>
        <v>0</v>
      </c>
      <c r="BG179" s="140">
        <f t="shared" si="207"/>
        <v>0</v>
      </c>
      <c r="BH179" s="140">
        <f t="shared" si="207"/>
        <v>0</v>
      </c>
      <c r="BI179" s="140">
        <f t="shared" si="207"/>
        <v>0</v>
      </c>
      <c r="BJ179" s="140">
        <f t="shared" si="207"/>
        <v>0</v>
      </c>
      <c r="BK179" s="140">
        <f t="shared" si="207"/>
        <v>0</v>
      </c>
      <c r="BL179" s="140">
        <f t="shared" si="207"/>
        <v>0</v>
      </c>
      <c r="BM179" s="140">
        <f t="shared" si="207"/>
        <v>0</v>
      </c>
      <c r="BN179" s="140">
        <f t="shared" si="207"/>
        <v>0</v>
      </c>
      <c r="BO179" s="140">
        <f t="shared" si="207"/>
        <v>0</v>
      </c>
      <c r="BP179" s="140">
        <f t="shared" si="207"/>
        <v>0</v>
      </c>
      <c r="BQ179" s="140">
        <f t="shared" si="207"/>
        <v>0</v>
      </c>
      <c r="BR179" s="140">
        <f t="shared" si="207"/>
        <v>0</v>
      </c>
    </row>
    <row r="180" spans="1:70" ht="15">
      <c r="A180" t="s">
        <v>16</v>
      </c>
      <c r="B180" s="75" t="str">
        <f t="shared" si="202"/>
        <v>CNG</v>
      </c>
      <c r="C180" s="75" t="str">
        <f t="shared" si="203"/>
        <v>Commercial - Public lights</v>
      </c>
      <c r="E180" s="94"/>
      <c r="F180" s="94"/>
      <c r="I180" s="138"/>
      <c r="J180" s="95"/>
      <c r="K180" s="95"/>
      <c r="L180" s="140">
        <f t="shared" si="204"/>
        <v>0</v>
      </c>
      <c r="M180" s="140">
        <f t="shared" si="204"/>
        <v>0</v>
      </c>
      <c r="N180" s="140">
        <f t="shared" si="204"/>
        <v>0</v>
      </c>
      <c r="O180" s="140">
        <f t="shared" si="204"/>
        <v>0</v>
      </c>
      <c r="P180" s="140">
        <f t="shared" si="204"/>
        <v>0</v>
      </c>
      <c r="Q180" s="140">
        <f t="shared" si="204"/>
        <v>0</v>
      </c>
      <c r="R180" s="140">
        <f t="shared" si="204"/>
        <v>0</v>
      </c>
      <c r="S180" s="140">
        <f t="shared" si="204"/>
        <v>0</v>
      </c>
      <c r="T180" s="140">
        <f t="shared" si="204"/>
        <v>0</v>
      </c>
      <c r="U180" s="140">
        <f t="shared" si="204"/>
        <v>0</v>
      </c>
      <c r="V180" s="140">
        <f t="shared" si="204"/>
        <v>0</v>
      </c>
      <c r="W180" s="140">
        <f t="shared" si="204"/>
        <v>0</v>
      </c>
      <c r="X180" s="140">
        <f t="shared" si="204"/>
        <v>0</v>
      </c>
      <c r="Y180" s="140">
        <f t="shared" si="204"/>
        <v>0</v>
      </c>
      <c r="Z180" s="140">
        <f t="shared" si="204"/>
        <v>0</v>
      </c>
      <c r="AA180" s="140">
        <f t="shared" si="204"/>
        <v>0</v>
      </c>
      <c r="AB180" s="140">
        <f t="shared" si="205"/>
        <v>0</v>
      </c>
      <c r="AC180" s="140">
        <f t="shared" si="205"/>
        <v>0</v>
      </c>
      <c r="AD180" s="140">
        <f t="shared" si="205"/>
        <v>0</v>
      </c>
      <c r="AE180" s="140">
        <f t="shared" si="205"/>
        <v>0</v>
      </c>
      <c r="AF180" s="140">
        <f t="shared" si="205"/>
        <v>0</v>
      </c>
      <c r="AG180" s="140">
        <f t="shared" si="205"/>
        <v>0</v>
      </c>
      <c r="AH180" s="140">
        <f t="shared" si="205"/>
        <v>0</v>
      </c>
      <c r="AI180" s="140">
        <f t="shared" si="205"/>
        <v>0</v>
      </c>
      <c r="AJ180" s="140">
        <f t="shared" si="205"/>
        <v>0</v>
      </c>
      <c r="AK180" s="140">
        <f t="shared" si="205"/>
        <v>0</v>
      </c>
      <c r="AL180" s="140">
        <f t="shared" si="205"/>
        <v>0</v>
      </c>
      <c r="AM180" s="140">
        <f t="shared" si="205"/>
        <v>0</v>
      </c>
      <c r="AN180" s="140">
        <f t="shared" si="205"/>
        <v>0</v>
      </c>
      <c r="AO180" s="140">
        <f t="shared" si="205"/>
        <v>0</v>
      </c>
      <c r="AP180" s="140">
        <f t="shared" si="206"/>
        <v>0</v>
      </c>
      <c r="AQ180" s="140">
        <f t="shared" si="206"/>
        <v>0</v>
      </c>
      <c r="AR180" s="140">
        <f t="shared" si="206"/>
        <v>0</v>
      </c>
      <c r="AS180" s="140">
        <f t="shared" si="206"/>
        <v>0</v>
      </c>
      <c r="AT180" s="140">
        <f t="shared" si="206"/>
        <v>0</v>
      </c>
      <c r="AU180" s="140">
        <f t="shared" si="206"/>
        <v>0</v>
      </c>
      <c r="AV180" s="140">
        <f t="shared" si="206"/>
        <v>0</v>
      </c>
      <c r="AW180" s="140">
        <f t="shared" si="206"/>
        <v>0</v>
      </c>
      <c r="AX180" s="140">
        <f t="shared" si="206"/>
        <v>0</v>
      </c>
      <c r="AY180" s="140">
        <f t="shared" si="207"/>
        <v>0</v>
      </c>
      <c r="AZ180" s="140">
        <f t="shared" si="207"/>
        <v>0</v>
      </c>
      <c r="BA180" s="140">
        <f t="shared" si="207"/>
        <v>0</v>
      </c>
      <c r="BB180" s="140">
        <f t="shared" si="207"/>
        <v>0</v>
      </c>
      <c r="BC180" s="140">
        <f t="shared" si="207"/>
        <v>0</v>
      </c>
      <c r="BD180" s="140">
        <f t="shared" si="207"/>
        <v>0</v>
      </c>
      <c r="BE180" s="140">
        <f t="shared" si="207"/>
        <v>0</v>
      </c>
      <c r="BF180" s="140">
        <f t="shared" si="207"/>
        <v>0</v>
      </c>
      <c r="BG180" s="140">
        <f t="shared" si="207"/>
        <v>0</v>
      </c>
      <c r="BH180" s="140">
        <f t="shared" si="207"/>
        <v>0</v>
      </c>
      <c r="BI180" s="140">
        <f t="shared" si="207"/>
        <v>0</v>
      </c>
      <c r="BJ180" s="140">
        <f t="shared" si="207"/>
        <v>0</v>
      </c>
      <c r="BK180" s="140">
        <f t="shared" si="207"/>
        <v>0</v>
      </c>
      <c r="BL180" s="140">
        <f t="shared" si="207"/>
        <v>0</v>
      </c>
      <c r="BM180" s="140">
        <f t="shared" si="207"/>
        <v>0</v>
      </c>
      <c r="BN180" s="140">
        <f t="shared" si="207"/>
        <v>0</v>
      </c>
      <c r="BO180" s="140">
        <f t="shared" si="207"/>
        <v>0</v>
      </c>
      <c r="BP180" s="140">
        <f t="shared" si="207"/>
        <v>0</v>
      </c>
      <c r="BQ180" s="140">
        <f t="shared" si="207"/>
        <v>0</v>
      </c>
      <c r="BR180" s="140">
        <f t="shared" si="207"/>
        <v>0</v>
      </c>
    </row>
    <row r="181" spans="1:70" ht="15">
      <c r="A181" t="s">
        <v>16</v>
      </c>
      <c r="B181" s="75" t="str">
        <f t="shared" si="202"/>
        <v>CNT</v>
      </c>
      <c r="C181" s="75" t="str">
        <f t="shared" si="203"/>
        <v>Commercial - Public Water</v>
      </c>
      <c r="E181" s="94"/>
      <c r="F181" s="94"/>
      <c r="I181" s="138"/>
      <c r="J181" s="95"/>
      <c r="K181" s="95"/>
      <c r="L181" s="140">
        <f t="shared" si="204"/>
        <v>0</v>
      </c>
      <c r="M181" s="140">
        <f t="shared" si="204"/>
        <v>0</v>
      </c>
      <c r="N181" s="140">
        <f t="shared" si="204"/>
        <v>0</v>
      </c>
      <c r="O181" s="140">
        <f t="shared" si="204"/>
        <v>0</v>
      </c>
      <c r="P181" s="140">
        <f t="shared" si="204"/>
        <v>0</v>
      </c>
      <c r="Q181" s="140">
        <f t="shared" si="204"/>
        <v>0</v>
      </c>
      <c r="R181" s="140">
        <f t="shared" si="204"/>
        <v>0</v>
      </c>
      <c r="S181" s="140">
        <f t="shared" si="204"/>
        <v>0</v>
      </c>
      <c r="T181" s="140">
        <f t="shared" si="204"/>
        <v>0</v>
      </c>
      <c r="U181" s="140">
        <f t="shared" si="204"/>
        <v>0</v>
      </c>
      <c r="V181" s="140">
        <f t="shared" si="204"/>
        <v>0</v>
      </c>
      <c r="W181" s="140">
        <f t="shared" si="204"/>
        <v>0</v>
      </c>
      <c r="X181" s="140">
        <f t="shared" si="204"/>
        <v>0</v>
      </c>
      <c r="Y181" s="140">
        <f t="shared" si="204"/>
        <v>0</v>
      </c>
      <c r="Z181" s="140">
        <f t="shared" si="204"/>
        <v>0</v>
      </c>
      <c r="AA181" s="140">
        <f t="shared" si="204"/>
        <v>0</v>
      </c>
      <c r="AB181" s="140">
        <f t="shared" si="205"/>
        <v>0</v>
      </c>
      <c r="AC181" s="140">
        <f t="shared" si="205"/>
        <v>0</v>
      </c>
      <c r="AD181" s="140">
        <f t="shared" si="205"/>
        <v>0</v>
      </c>
      <c r="AE181" s="140">
        <f t="shared" si="205"/>
        <v>0</v>
      </c>
      <c r="AF181" s="140">
        <f t="shared" si="205"/>
        <v>0</v>
      </c>
      <c r="AG181" s="140">
        <f t="shared" si="205"/>
        <v>0</v>
      </c>
      <c r="AH181" s="140">
        <f t="shared" si="205"/>
        <v>0</v>
      </c>
      <c r="AI181" s="140">
        <f t="shared" si="205"/>
        <v>0</v>
      </c>
      <c r="AJ181" s="140">
        <f t="shared" si="205"/>
        <v>0</v>
      </c>
      <c r="AK181" s="140">
        <f t="shared" si="205"/>
        <v>0</v>
      </c>
      <c r="AL181" s="140">
        <f t="shared" si="205"/>
        <v>0</v>
      </c>
      <c r="AM181" s="140">
        <f t="shared" si="205"/>
        <v>0</v>
      </c>
      <c r="AN181" s="140">
        <f t="shared" si="205"/>
        <v>0</v>
      </c>
      <c r="AO181" s="140">
        <f t="shared" si="205"/>
        <v>0</v>
      </c>
      <c r="AP181" s="140">
        <f t="shared" si="206"/>
        <v>0</v>
      </c>
      <c r="AQ181" s="140">
        <f t="shared" si="206"/>
        <v>0</v>
      </c>
      <c r="AR181" s="140">
        <f t="shared" si="206"/>
        <v>0</v>
      </c>
      <c r="AS181" s="140">
        <f t="shared" si="206"/>
        <v>0</v>
      </c>
      <c r="AT181" s="140">
        <f t="shared" si="206"/>
        <v>0</v>
      </c>
      <c r="AU181" s="140">
        <f t="shared" si="206"/>
        <v>0</v>
      </c>
      <c r="AV181" s="140">
        <f t="shared" si="206"/>
        <v>0</v>
      </c>
      <c r="AW181" s="140">
        <f t="shared" si="206"/>
        <v>0</v>
      </c>
      <c r="AX181" s="140">
        <f t="shared" si="206"/>
        <v>0</v>
      </c>
      <c r="AY181" s="140">
        <f t="shared" si="208" ref="AY181:BR182">INDEX(AY$49:AY$52,MATCH($I$173,$B$49:$B$52,0),1)*INDEX(AY$81:AY$89,MATCH($B181,$B$81:$B$89,0))*INDEX(AY$105:AY$113,MATCH($B181,$B$105:$B$113,0))/1000</f>
        <v>0</v>
      </c>
      <c r="AZ181" s="140">
        <f t="shared" si="208"/>
        <v>0</v>
      </c>
      <c r="BA181" s="140">
        <f t="shared" si="208"/>
        <v>0</v>
      </c>
      <c r="BB181" s="140">
        <f t="shared" si="208"/>
        <v>0</v>
      </c>
      <c r="BC181" s="140">
        <f t="shared" si="208"/>
        <v>0</v>
      </c>
      <c r="BD181" s="140">
        <f t="shared" si="208"/>
        <v>0</v>
      </c>
      <c r="BE181" s="140">
        <f t="shared" si="208"/>
        <v>0</v>
      </c>
      <c r="BF181" s="140">
        <f t="shared" si="208"/>
        <v>0</v>
      </c>
      <c r="BG181" s="140">
        <f t="shared" si="208"/>
        <v>0</v>
      </c>
      <c r="BH181" s="140">
        <f t="shared" si="208"/>
        <v>0</v>
      </c>
      <c r="BI181" s="140">
        <f t="shared" si="208"/>
        <v>0</v>
      </c>
      <c r="BJ181" s="140">
        <f t="shared" si="208"/>
        <v>0</v>
      </c>
      <c r="BK181" s="140">
        <f t="shared" si="208"/>
        <v>0</v>
      </c>
      <c r="BL181" s="140">
        <f t="shared" si="208"/>
        <v>0</v>
      </c>
      <c r="BM181" s="140">
        <f t="shared" si="208"/>
        <v>0</v>
      </c>
      <c r="BN181" s="140">
        <f t="shared" si="208"/>
        <v>0</v>
      </c>
      <c r="BO181" s="140">
        <f t="shared" si="208"/>
        <v>0</v>
      </c>
      <c r="BP181" s="140">
        <f t="shared" si="208"/>
        <v>0</v>
      </c>
      <c r="BQ181" s="140">
        <f t="shared" si="208"/>
        <v>0</v>
      </c>
      <c r="BR181" s="140">
        <f t="shared" si="208"/>
        <v>0</v>
      </c>
    </row>
    <row r="182" spans="1:70" ht="15">
      <c r="A182" t="s">
        <v>16</v>
      </c>
      <c r="B182" s="75" t="str">
        <f t="shared" si="202"/>
        <v>CNO</v>
      </c>
      <c r="C182" s="75" t="str">
        <f t="shared" si="203"/>
        <v>Commercial - Other</v>
      </c>
      <c r="E182" s="94"/>
      <c r="F182" s="94"/>
      <c r="I182" s="138"/>
      <c r="J182" s="95"/>
      <c r="K182" s="95"/>
      <c r="L182" s="140">
        <f t="shared" si="204"/>
        <v>0</v>
      </c>
      <c r="M182" s="140">
        <f t="shared" si="204"/>
        <v>0</v>
      </c>
      <c r="N182" s="140">
        <f t="shared" si="204"/>
        <v>0</v>
      </c>
      <c r="O182" s="140">
        <f t="shared" si="204"/>
        <v>0</v>
      </c>
      <c r="P182" s="140">
        <f t="shared" si="204"/>
        <v>0</v>
      </c>
      <c r="Q182" s="140">
        <f t="shared" si="204"/>
        <v>0</v>
      </c>
      <c r="R182" s="140">
        <f t="shared" si="204"/>
        <v>0</v>
      </c>
      <c r="S182" s="140">
        <f t="shared" si="204"/>
        <v>0</v>
      </c>
      <c r="T182" s="140">
        <f t="shared" si="204"/>
        <v>0</v>
      </c>
      <c r="U182" s="140">
        <f t="shared" si="204"/>
        <v>0</v>
      </c>
      <c r="V182" s="140">
        <f t="shared" si="204"/>
        <v>0</v>
      </c>
      <c r="W182" s="140">
        <f t="shared" si="204"/>
        <v>0</v>
      </c>
      <c r="X182" s="140">
        <f t="shared" si="204"/>
        <v>0</v>
      </c>
      <c r="Y182" s="140">
        <f t="shared" si="204"/>
        <v>0</v>
      </c>
      <c r="Z182" s="140">
        <f t="shared" si="204"/>
        <v>0</v>
      </c>
      <c r="AA182" s="140">
        <f t="shared" si="204"/>
        <v>0</v>
      </c>
      <c r="AB182" s="140">
        <f t="shared" si="205"/>
        <v>0</v>
      </c>
      <c r="AC182" s="140">
        <f t="shared" si="205"/>
        <v>0</v>
      </c>
      <c r="AD182" s="140">
        <f t="shared" si="205"/>
        <v>0</v>
      </c>
      <c r="AE182" s="140">
        <f t="shared" si="205"/>
        <v>0</v>
      </c>
      <c r="AF182" s="140">
        <f t="shared" si="205"/>
        <v>0</v>
      </c>
      <c r="AG182" s="140">
        <f t="shared" si="205"/>
        <v>0</v>
      </c>
      <c r="AH182" s="140">
        <f t="shared" si="205"/>
        <v>0</v>
      </c>
      <c r="AI182" s="140">
        <f t="shared" si="205"/>
        <v>0</v>
      </c>
      <c r="AJ182" s="140">
        <f t="shared" si="205"/>
        <v>0</v>
      </c>
      <c r="AK182" s="140">
        <f t="shared" si="205"/>
        <v>0</v>
      </c>
      <c r="AL182" s="140">
        <f t="shared" si="205"/>
        <v>0</v>
      </c>
      <c r="AM182" s="140">
        <f t="shared" si="205"/>
        <v>0</v>
      </c>
      <c r="AN182" s="140">
        <f t="shared" si="205"/>
        <v>0</v>
      </c>
      <c r="AO182" s="140">
        <f t="shared" si="205"/>
        <v>0</v>
      </c>
      <c r="AP182" s="140">
        <f t="shared" si="206"/>
        <v>0</v>
      </c>
      <c r="AQ182" s="140">
        <f t="shared" si="206"/>
        <v>0</v>
      </c>
      <c r="AR182" s="140">
        <f t="shared" si="206"/>
        <v>0</v>
      </c>
      <c r="AS182" s="140">
        <f t="shared" si="206"/>
        <v>0</v>
      </c>
      <c r="AT182" s="140">
        <f t="shared" si="206"/>
        <v>0</v>
      </c>
      <c r="AU182" s="140">
        <f t="shared" si="206"/>
        <v>0</v>
      </c>
      <c r="AV182" s="140">
        <f t="shared" si="206"/>
        <v>0</v>
      </c>
      <c r="AW182" s="140">
        <f t="shared" si="206"/>
        <v>0</v>
      </c>
      <c r="AX182" s="140">
        <f t="shared" si="206"/>
        <v>0</v>
      </c>
      <c r="AY182" s="140">
        <f t="shared" si="208"/>
        <v>0</v>
      </c>
      <c r="AZ182" s="140">
        <f t="shared" si="208"/>
        <v>0</v>
      </c>
      <c r="BA182" s="140">
        <f t="shared" si="208"/>
        <v>0</v>
      </c>
      <c r="BB182" s="140">
        <f t="shared" si="208"/>
        <v>0</v>
      </c>
      <c r="BC182" s="140">
        <f t="shared" si="208"/>
        <v>0</v>
      </c>
      <c r="BD182" s="140">
        <f t="shared" si="208"/>
        <v>0</v>
      </c>
      <c r="BE182" s="140">
        <f t="shared" si="208"/>
        <v>0</v>
      </c>
      <c r="BF182" s="140">
        <f t="shared" si="208"/>
        <v>0</v>
      </c>
      <c r="BG182" s="140">
        <f t="shared" si="208"/>
        <v>0</v>
      </c>
      <c r="BH182" s="140">
        <f t="shared" si="208"/>
        <v>0</v>
      </c>
      <c r="BI182" s="140">
        <f t="shared" si="208"/>
        <v>0</v>
      </c>
      <c r="BJ182" s="140">
        <f t="shared" si="208"/>
        <v>0</v>
      </c>
      <c r="BK182" s="140">
        <f t="shared" si="208"/>
        <v>0</v>
      </c>
      <c r="BL182" s="140">
        <f t="shared" si="208"/>
        <v>0</v>
      </c>
      <c r="BM182" s="140">
        <f t="shared" si="208"/>
        <v>0</v>
      </c>
      <c r="BN182" s="140">
        <f t="shared" si="208"/>
        <v>0</v>
      </c>
      <c r="BO182" s="140">
        <f t="shared" si="208"/>
        <v>0</v>
      </c>
      <c r="BP182" s="140">
        <f t="shared" si="208"/>
        <v>0</v>
      </c>
      <c r="BQ182" s="140">
        <f t="shared" si="208"/>
        <v>0</v>
      </c>
      <c r="BR182" s="140">
        <f t="shared" si="208"/>
        <v>0</v>
      </c>
    </row>
    <row r="183" spans="1:70" ht="15">
      <c r="A183" t="s">
        <v>16</v>
      </c>
      <c r="E183" s="94"/>
      <c r="F183" s="94"/>
      <c r="I183" s="138"/>
      <c r="J183" s="95"/>
      <c r="K183" s="95"/>
      <c r="L183" s="140"/>
      <c r="M183" s="140"/>
      <c r="N183" s="140"/>
      <c r="O183" s="140"/>
      <c r="P183" s="140"/>
      <c r="Q183" s="140"/>
      <c r="R183" s="140"/>
      <c r="S183" s="140"/>
      <c r="T183" s="140"/>
      <c r="U183" s="140"/>
      <c r="V183" s="140"/>
      <c r="W183" s="140"/>
      <c r="X183" s="140"/>
      <c r="Y183" s="140"/>
      <c r="Z183" s="140"/>
      <c r="AA183" s="140"/>
      <c r="AB183" s="140"/>
      <c r="AC183" s="140"/>
      <c r="AD183" s="140"/>
      <c r="AE183" s="140"/>
      <c r="AF183" s="140"/>
      <c r="AG183" s="140"/>
      <c r="AH183" s="140"/>
      <c r="AI183" s="140"/>
      <c r="AJ183" s="140"/>
      <c r="AK183" s="140"/>
      <c r="AL183" s="140"/>
      <c r="AM183" s="140"/>
      <c r="AN183" s="140"/>
      <c r="AO183" s="140"/>
      <c r="AP183" s="140"/>
      <c r="AQ183" s="140"/>
      <c r="AR183" s="140"/>
      <c r="AS183" s="140"/>
      <c r="AT183" s="140"/>
      <c r="AU183" s="140"/>
      <c r="AV183" s="140"/>
      <c r="AW183" s="140"/>
      <c r="AX183" s="140"/>
      <c r="AY183" s="140"/>
      <c r="AZ183" s="140"/>
      <c r="BA183" s="140"/>
      <c r="BB183" s="140"/>
      <c r="BC183" s="140"/>
      <c r="BD183" s="140"/>
      <c r="BE183" s="140"/>
      <c r="BF183" s="140"/>
      <c r="BG183" s="140"/>
      <c r="BH183" s="140"/>
      <c r="BI183" s="140"/>
      <c r="BJ183" s="140"/>
      <c r="BK183" s="140"/>
      <c r="BL183" s="140"/>
      <c r="BM183" s="140"/>
      <c r="BN183" s="140"/>
      <c r="BO183" s="140"/>
      <c r="BP183" s="140"/>
      <c r="BQ183" s="140"/>
      <c r="BR183" s="140"/>
    </row>
    <row r="184" spans="1:70" ht="15">
      <c r="A184" t="s">
        <v>16</v>
      </c>
      <c r="E184" s="94"/>
      <c r="F184" s="94"/>
      <c r="I184" s="138"/>
      <c r="J184" s="95"/>
      <c r="K184" s="95"/>
      <c r="L184" s="140"/>
      <c r="M184" s="140"/>
      <c r="N184" s="140"/>
      <c r="O184" s="140"/>
      <c r="P184" s="140"/>
      <c r="Q184" s="140"/>
      <c r="R184" s="140"/>
      <c r="S184" s="140"/>
      <c r="T184" s="140"/>
      <c r="U184" s="140"/>
      <c r="V184" s="140"/>
      <c r="W184" s="140"/>
      <c r="X184" s="140"/>
      <c r="Y184" s="140"/>
      <c r="Z184" s="140"/>
      <c r="AA184" s="140"/>
      <c r="AB184" s="140"/>
      <c r="AC184" s="140"/>
      <c r="AD184" s="140"/>
      <c r="AE184" s="140"/>
      <c r="AF184" s="140"/>
      <c r="AG184" s="140"/>
      <c r="AH184" s="140"/>
      <c r="AI184" s="140"/>
      <c r="AJ184" s="140"/>
      <c r="AK184" s="140"/>
      <c r="AL184" s="140"/>
      <c r="AM184" s="140"/>
      <c r="AN184" s="140"/>
      <c r="AO184" s="140"/>
      <c r="AP184" s="140"/>
      <c r="AQ184" s="140"/>
      <c r="AR184" s="140"/>
      <c r="AS184" s="140"/>
      <c r="AT184" s="140"/>
      <c r="AU184" s="140"/>
      <c r="AV184" s="140"/>
      <c r="AW184" s="140"/>
      <c r="AX184" s="140"/>
      <c r="AY184" s="140"/>
      <c r="AZ184" s="140"/>
      <c r="BA184" s="140"/>
      <c r="BB184" s="140"/>
      <c r="BC184" s="140"/>
      <c r="BD184" s="140"/>
      <c r="BE184" s="140"/>
      <c r="BF184" s="140"/>
      <c r="BG184" s="140"/>
      <c r="BH184" s="140"/>
      <c r="BI184" s="140"/>
      <c r="BJ184" s="140"/>
      <c r="BK184" s="140"/>
      <c r="BL184" s="140"/>
      <c r="BM184" s="140"/>
      <c r="BN184" s="140"/>
      <c r="BO184" s="140"/>
      <c r="BP184" s="140"/>
      <c r="BQ184" s="140"/>
      <c r="BR184" s="140"/>
    </row>
    <row r="185" spans="1:70" ht="15.75" thickBot="1">
      <c r="A185" t="s">
        <v>16</v>
      </c>
      <c r="B185" s="73" t="s">
        <v>468</v>
      </c>
      <c r="C185" s="73"/>
      <c r="D185" s="73"/>
      <c r="E185" s="73"/>
      <c r="F185" s="73"/>
      <c r="G185" s="73"/>
      <c r="H185" s="73"/>
      <c r="I185" s="138" t="s">
        <v>217</v>
      </c>
      <c r="J185" s="95"/>
      <c r="K185" s="95"/>
      <c r="L185" s="140"/>
      <c r="M185" s="140"/>
      <c r="N185" s="140"/>
      <c r="O185" s="140"/>
      <c r="P185" s="140"/>
      <c r="Q185" s="140"/>
      <c r="R185" s="140"/>
      <c r="S185" s="140"/>
      <c r="T185" s="140"/>
      <c r="U185" s="140"/>
      <c r="V185" s="140"/>
      <c r="W185" s="140"/>
      <c r="X185" s="140"/>
      <c r="Y185" s="140"/>
      <c r="Z185" s="140"/>
      <c r="AA185" s="140"/>
      <c r="AB185" s="140"/>
      <c r="AC185" s="140"/>
      <c r="AD185" s="140"/>
      <c r="AE185" s="140"/>
      <c r="AF185" s="140"/>
      <c r="AG185" s="140"/>
      <c r="AH185" s="140"/>
      <c r="AI185" s="140"/>
      <c r="AJ185" s="140"/>
      <c r="AK185" s="140"/>
      <c r="AL185" s="140"/>
      <c r="AM185" s="140"/>
      <c r="AN185" s="140"/>
      <c r="AO185" s="140"/>
      <c r="AP185" s="140"/>
      <c r="AQ185" s="140"/>
      <c r="AR185" s="140"/>
      <c r="AS185" s="140"/>
      <c r="AT185" s="140"/>
      <c r="AU185" s="140"/>
      <c r="AV185" s="140"/>
      <c r="AW185" s="140"/>
      <c r="AX185" s="140"/>
      <c r="AY185" s="140"/>
      <c r="AZ185" s="140"/>
      <c r="BA185" s="140"/>
      <c r="BB185" s="140"/>
      <c r="BC185" s="140"/>
      <c r="BD185" s="140"/>
      <c r="BE185" s="140"/>
      <c r="BF185" s="140"/>
      <c r="BG185" s="140"/>
      <c r="BH185" s="140"/>
      <c r="BI185" s="140"/>
      <c r="BJ185" s="140"/>
      <c r="BK185" s="140"/>
      <c r="BL185" s="140"/>
      <c r="BM185" s="140"/>
      <c r="BN185" s="140"/>
      <c r="BO185" s="140"/>
      <c r="BP185" s="140"/>
      <c r="BQ185" s="140"/>
      <c r="BR185" s="140"/>
    </row>
    <row r="186" spans="1:70" ht="15">
      <c r="A186" t="s">
        <v>16</v>
      </c>
      <c r="B186" s="75" t="str">
        <f t="shared" si="209" ref="B186:C194">B174</f>
        <v>CNC</v>
      </c>
      <c r="C186" s="75" t="str">
        <f t="shared" si="209"/>
        <v>Commercial - Cooling</v>
      </c>
      <c r="E186" s="94"/>
      <c r="F186" s="94"/>
      <c r="I186" s="138"/>
      <c r="J186" s="95"/>
      <c r="K186" s="95"/>
      <c r="L186" s="140">
        <f t="shared" si="210" ref="L186:AA194">INDEX(L$49:L$52,MATCH($I$185,$B$49:$B$52,0),1)*INDEX(L$81:L$89,MATCH($B186,$B$81:$B$89,0))*INDEX(L$116:L$124,MATCH($B186,$B$116:$B$124,0))/1000</f>
        <v>0</v>
      </c>
      <c r="M186" s="140">
        <f t="shared" si="210"/>
        <v>0</v>
      </c>
      <c r="N186" s="140">
        <f t="shared" si="210"/>
        <v>0</v>
      </c>
      <c r="O186" s="140">
        <f t="shared" si="210"/>
        <v>0</v>
      </c>
      <c r="P186" s="140">
        <f t="shared" si="210"/>
        <v>0</v>
      </c>
      <c r="Q186" s="140">
        <f t="shared" si="210"/>
        <v>0</v>
      </c>
      <c r="R186" s="140">
        <f>INDEX(R$49:R$52,MATCH($I$185,$B$49:$B$52,0),1)*INDEX(R$81:R$89,MATCH($B186,$B$81:$B$89,0))*INDEX(R$116:R$124,MATCH($B186,$B$116:$B$124,0))/1000</f>
        <v>1.7663141176431716</v>
      </c>
      <c r="S186" s="140">
        <f t="shared" si="210"/>
        <v>3.4029475996970713</v>
      </c>
      <c r="T186" s="140">
        <f t="shared" si="210"/>
        <v>4.4302493543804173</v>
      </c>
      <c r="U186" s="140">
        <f t="shared" si="210"/>
        <v>7.0824812787310929</v>
      </c>
      <c r="V186" s="140">
        <f t="shared" si="210"/>
        <v>9.8753004697098028</v>
      </c>
      <c r="W186" s="140">
        <f t="shared" si="210"/>
        <v>11.462102376625817</v>
      </c>
      <c r="X186" s="140">
        <f>INDEX(X$49:X$52,MATCH($I$185,$B$49:$B$52,0),1)*INDEX(X$81:X$89,MATCH($B186,$B$81:$B$89,0))*INDEX(X$116:X$124,MATCH($B186,$B$116:$B$124,0))/1000</f>
        <v>13.284291633415222</v>
      </c>
      <c r="Y186" s="140">
        <f t="shared" si="210"/>
        <v>15.108591528641714</v>
      </c>
      <c r="Z186" s="140">
        <f t="shared" si="210"/>
        <v>17.074662781123269</v>
      </c>
      <c r="AA186" s="140">
        <f t="shared" si="210"/>
        <v>19.334395385990558</v>
      </c>
      <c r="AB186" s="140">
        <f t="shared" si="211" ref="AB186:AQ194">INDEX(AB$49:AB$52,MATCH($I$185,$B$49:$B$52,0),1)*INDEX(AB$81:AB$89,MATCH($B186,$B$81:$B$89,0))*INDEX(AB$116:AB$124,MATCH($B186,$B$116:$B$124,0))/1000</f>
        <v>21.742880748819449</v>
      </c>
      <c r="AC186" s="140">
        <f t="shared" si="211"/>
        <v>24.353171166162053</v>
      </c>
      <c r="AD186" s="140">
        <f t="shared" si="211"/>
        <v>27.134755985702849</v>
      </c>
      <c r="AE186" s="140">
        <f t="shared" si="211"/>
        <v>27.134755985702849</v>
      </c>
      <c r="AF186" s="140">
        <f t="shared" si="211"/>
        <v>27.134755985702849</v>
      </c>
      <c r="AG186" s="140">
        <f t="shared" si="211"/>
        <v>27.134755985702849</v>
      </c>
      <c r="AH186" s="140">
        <f t="shared" si="211"/>
        <v>27.134755985702849</v>
      </c>
      <c r="AI186" s="140">
        <f t="shared" si="211"/>
        <v>27.134755985702849</v>
      </c>
      <c r="AJ186" s="140">
        <f t="shared" si="211"/>
        <v>27.134755985702849</v>
      </c>
      <c r="AK186" s="140">
        <f t="shared" si="211"/>
        <v>27.134755985702849</v>
      </c>
      <c r="AL186" s="140">
        <f t="shared" si="211"/>
        <v>27.134755985702849</v>
      </c>
      <c r="AM186" s="140">
        <f t="shared" si="211"/>
        <v>27.134755985702849</v>
      </c>
      <c r="AN186" s="140">
        <f t="shared" si="211"/>
        <v>27.134755985702849</v>
      </c>
      <c r="AO186" s="140">
        <f t="shared" si="211"/>
        <v>27.134755985702849</v>
      </c>
      <c r="AP186" s="140">
        <f t="shared" si="211"/>
        <v>27.134755985702849</v>
      </c>
      <c r="AQ186" s="140">
        <f t="shared" si="211"/>
        <v>27.134755985702849</v>
      </c>
      <c r="AR186" s="140">
        <f t="shared" si="212" ref="AP186:BE194">INDEX(AR$49:AR$52,MATCH($I$185,$B$49:$B$52,0),1)*INDEX(AR$81:AR$89,MATCH($B186,$B$81:$B$89,0))*INDEX(AR$116:AR$124,MATCH($B186,$B$116:$B$124,0))/1000</f>
        <v>27.134755985702849</v>
      </c>
      <c r="AS186" s="140">
        <f t="shared" si="212"/>
        <v>27.134755985702849</v>
      </c>
      <c r="AT186" s="140">
        <f t="shared" si="212"/>
        <v>27.134755985702849</v>
      </c>
      <c r="AU186" s="140">
        <f t="shared" si="212"/>
        <v>27.134755985702849</v>
      </c>
      <c r="AV186" s="140">
        <f t="shared" si="212"/>
        <v>27.134755985702849</v>
      </c>
      <c r="AW186" s="140">
        <f t="shared" si="212"/>
        <v>27.134755985702849</v>
      </c>
      <c r="AX186" s="140">
        <f t="shared" si="212"/>
        <v>27.134755985702849</v>
      </c>
      <c r="AY186" s="140">
        <f t="shared" si="212"/>
        <v>27.134755985702849</v>
      </c>
      <c r="AZ186" s="140">
        <f t="shared" si="212"/>
        <v>27.134755985702849</v>
      </c>
      <c r="BA186" s="140">
        <f t="shared" si="212"/>
        <v>27.134755985702849</v>
      </c>
      <c r="BB186" s="140">
        <f t="shared" si="212"/>
        <v>27.134755985702849</v>
      </c>
      <c r="BC186" s="140">
        <f t="shared" si="212"/>
        <v>27.134755985702849</v>
      </c>
      <c r="BD186" s="140">
        <f t="shared" si="212"/>
        <v>27.134755985702849</v>
      </c>
      <c r="BE186" s="140">
        <f t="shared" si="212"/>
        <v>27.134755985702849</v>
      </c>
      <c r="BF186" s="140">
        <f t="shared" si="213" ref="AY186:BR192">INDEX(BF$49:BF$52,MATCH($I$185,$B$49:$B$52,0),1)*INDEX(BF$81:BF$89,MATCH($B186,$B$81:$B$89,0))*INDEX(BF$116:BF$124,MATCH($B186,$B$116:$B$124,0))/1000</f>
        <v>27.134755985702849</v>
      </c>
      <c r="BG186" s="140">
        <f t="shared" si="213"/>
        <v>27.134755985702849</v>
      </c>
      <c r="BH186" s="140">
        <f t="shared" si="213"/>
        <v>27.134755985702849</v>
      </c>
      <c r="BI186" s="140">
        <f t="shared" si="213"/>
        <v>27.134755985702849</v>
      </c>
      <c r="BJ186" s="140">
        <f t="shared" si="213"/>
        <v>27.134755985702849</v>
      </c>
      <c r="BK186" s="140">
        <f t="shared" si="213"/>
        <v>27.134755985702849</v>
      </c>
      <c r="BL186" s="140">
        <f t="shared" si="213"/>
        <v>27.134755985702849</v>
      </c>
      <c r="BM186" s="140">
        <f t="shared" si="213"/>
        <v>27.134755985702849</v>
      </c>
      <c r="BN186" s="140">
        <f t="shared" si="213"/>
        <v>27.134755985702849</v>
      </c>
      <c r="BO186" s="140">
        <f t="shared" si="213"/>
        <v>27.134755985702849</v>
      </c>
      <c r="BP186" s="140">
        <f t="shared" si="213"/>
        <v>27.134755985702849</v>
      </c>
      <c r="BQ186" s="140">
        <f t="shared" si="213"/>
        <v>27.134755985702849</v>
      </c>
      <c r="BR186" s="140">
        <f t="shared" si="213"/>
        <v>27.134755985702849</v>
      </c>
    </row>
    <row r="187" spans="1:70" ht="15">
      <c r="A187" t="s">
        <v>16</v>
      </c>
      <c r="B187" s="75" t="str">
        <f t="shared" si="209"/>
        <v>CNH</v>
      </c>
      <c r="C187" s="75" t="str">
        <f t="shared" si="209"/>
        <v>Commercial - Space Heating</v>
      </c>
      <c r="E187" s="94"/>
      <c r="F187" s="94"/>
      <c r="I187" s="138"/>
      <c r="J187" s="95"/>
      <c r="K187" s="95"/>
      <c r="L187" s="140">
        <f t="shared" si="210"/>
        <v>0</v>
      </c>
      <c r="M187" s="140">
        <f t="shared" si="210"/>
        <v>0</v>
      </c>
      <c r="N187" s="140">
        <f t="shared" si="210"/>
        <v>0</v>
      </c>
      <c r="O187" s="140">
        <f t="shared" si="210"/>
        <v>0</v>
      </c>
      <c r="P187" s="140">
        <f t="shared" si="210"/>
        <v>0</v>
      </c>
      <c r="Q187" s="140">
        <f t="shared" si="210"/>
        <v>0</v>
      </c>
      <c r="R187" s="140">
        <f t="shared" si="210"/>
        <v>0.16496217879515399</v>
      </c>
      <c r="S187" s="140">
        <f t="shared" si="210"/>
        <v>0.31781303493220059</v>
      </c>
      <c r="T187" s="140">
        <f t="shared" si="210"/>
        <v>0.4137562955560648</v>
      </c>
      <c r="U187" s="140">
        <f t="shared" si="210"/>
        <v>0.66145739953339155</v>
      </c>
      <c r="V187" s="140">
        <f t="shared" si="210"/>
        <v>0.92228843412847317</v>
      </c>
      <c r="W187" s="140">
        <f t="shared" si="210"/>
        <v>1.0704853472746159</v>
      </c>
      <c r="X187" s="140">
        <f t="shared" si="210"/>
        <v>1.2406658983864356</v>
      </c>
      <c r="Y187" s="140">
        <f t="shared" si="210"/>
        <v>1.4110435693150272</v>
      </c>
      <c r="Z187" s="140">
        <f t="shared" si="210"/>
        <v>1.5946617571765558</v>
      </c>
      <c r="AA187" s="140">
        <f t="shared" si="210"/>
        <v>1.8057059934592574</v>
      </c>
      <c r="AB187" s="140">
        <f t="shared" si="211"/>
        <v>2.0306427638105173</v>
      </c>
      <c r="AC187" s="140">
        <f t="shared" si="211"/>
        <v>2.2744268055230439</v>
      </c>
      <c r="AD187" s="140">
        <f t="shared" si="211"/>
        <v>2.5342086233501222</v>
      </c>
      <c r="AE187" s="140">
        <f t="shared" si="211"/>
        <v>2.5342086233501222</v>
      </c>
      <c r="AF187" s="140">
        <f t="shared" si="211"/>
        <v>2.5342086233501222</v>
      </c>
      <c r="AG187" s="140">
        <f t="shared" si="211"/>
        <v>2.5342086233501222</v>
      </c>
      <c r="AH187" s="140">
        <f t="shared" si="211"/>
        <v>2.5342086233501222</v>
      </c>
      <c r="AI187" s="140">
        <f t="shared" si="211"/>
        <v>2.5342086233501222</v>
      </c>
      <c r="AJ187" s="140">
        <f t="shared" si="211"/>
        <v>2.5342086233501222</v>
      </c>
      <c r="AK187" s="140">
        <f t="shared" si="211"/>
        <v>2.5342086233501222</v>
      </c>
      <c r="AL187" s="140">
        <f t="shared" si="211"/>
        <v>2.5342086233501222</v>
      </c>
      <c r="AM187" s="140">
        <f t="shared" si="211"/>
        <v>2.5342086233501222</v>
      </c>
      <c r="AN187" s="140">
        <f t="shared" si="211"/>
        <v>2.5342086233501222</v>
      </c>
      <c r="AO187" s="140">
        <f t="shared" si="211"/>
        <v>2.5342086233501222</v>
      </c>
      <c r="AP187" s="140">
        <f t="shared" si="212"/>
        <v>2.5342086233501222</v>
      </c>
      <c r="AQ187" s="140">
        <f t="shared" si="212"/>
        <v>2.5342086233501222</v>
      </c>
      <c r="AR187" s="140">
        <f t="shared" si="212"/>
        <v>2.5342086233501222</v>
      </c>
      <c r="AS187" s="140">
        <f t="shared" si="212"/>
        <v>2.5342086233501222</v>
      </c>
      <c r="AT187" s="140">
        <f t="shared" si="212"/>
        <v>2.5342086233501222</v>
      </c>
      <c r="AU187" s="140">
        <f t="shared" si="212"/>
        <v>2.5342086233501222</v>
      </c>
      <c r="AV187" s="140">
        <f t="shared" si="212"/>
        <v>2.5342086233501222</v>
      </c>
      <c r="AW187" s="140">
        <f t="shared" si="212"/>
        <v>2.5342086233501222</v>
      </c>
      <c r="AX187" s="140">
        <f t="shared" si="212"/>
        <v>2.5342086233501222</v>
      </c>
      <c r="AY187" s="140">
        <f t="shared" si="213"/>
        <v>2.5342086233501222</v>
      </c>
      <c r="AZ187" s="140">
        <f t="shared" si="213"/>
        <v>2.5342086233501222</v>
      </c>
      <c r="BA187" s="140">
        <f t="shared" si="213"/>
        <v>2.5342086233501222</v>
      </c>
      <c r="BB187" s="140">
        <f t="shared" si="213"/>
        <v>2.5342086233501222</v>
      </c>
      <c r="BC187" s="140">
        <f t="shared" si="213"/>
        <v>2.5342086233501222</v>
      </c>
      <c r="BD187" s="140">
        <f t="shared" si="213"/>
        <v>2.5342086233501222</v>
      </c>
      <c r="BE187" s="140">
        <f t="shared" si="213"/>
        <v>2.5342086233501222</v>
      </c>
      <c r="BF187" s="140">
        <f t="shared" si="213"/>
        <v>2.5342086233501222</v>
      </c>
      <c r="BG187" s="140">
        <f t="shared" si="213"/>
        <v>2.5342086233501222</v>
      </c>
      <c r="BH187" s="140">
        <f t="shared" si="213"/>
        <v>2.5342086233501222</v>
      </c>
      <c r="BI187" s="140">
        <f t="shared" si="213"/>
        <v>2.5342086233501222</v>
      </c>
      <c r="BJ187" s="140">
        <f t="shared" si="213"/>
        <v>2.5342086233501222</v>
      </c>
      <c r="BK187" s="140">
        <f t="shared" si="213"/>
        <v>2.5342086233501222</v>
      </c>
      <c r="BL187" s="140">
        <f t="shared" si="213"/>
        <v>2.5342086233501222</v>
      </c>
      <c r="BM187" s="140">
        <f t="shared" si="213"/>
        <v>2.5342086233501222</v>
      </c>
      <c r="BN187" s="140">
        <f t="shared" si="213"/>
        <v>2.5342086233501222</v>
      </c>
      <c r="BO187" s="140">
        <f t="shared" si="213"/>
        <v>2.5342086233501222</v>
      </c>
      <c r="BP187" s="140">
        <f t="shared" si="213"/>
        <v>2.5342086233501222</v>
      </c>
      <c r="BQ187" s="140">
        <f t="shared" si="213"/>
        <v>2.5342086233501222</v>
      </c>
      <c r="BR187" s="140">
        <f t="shared" si="213"/>
        <v>2.5342086233501222</v>
      </c>
    </row>
    <row r="188" spans="1:70" ht="15">
      <c r="A188" t="s">
        <v>16</v>
      </c>
      <c r="B188" s="75" t="str">
        <f t="shared" si="209"/>
        <v>CNK</v>
      </c>
      <c r="C188" s="75" t="str">
        <f t="shared" si="209"/>
        <v>Commercial - Cooking</v>
      </c>
      <c r="E188" s="94"/>
      <c r="F188" s="94"/>
      <c r="I188" s="138"/>
      <c r="J188" s="95"/>
      <c r="K188" s="95"/>
      <c r="L188" s="140">
        <f t="shared" si="210"/>
        <v>0</v>
      </c>
      <c r="M188" s="140">
        <f t="shared" si="210"/>
        <v>0</v>
      </c>
      <c r="N188" s="140">
        <f t="shared" si="210"/>
        <v>0</v>
      </c>
      <c r="O188" s="140">
        <f t="shared" si="210"/>
        <v>0</v>
      </c>
      <c r="P188" s="140">
        <f t="shared" si="210"/>
        <v>0</v>
      </c>
      <c r="Q188" s="140">
        <f t="shared" si="210"/>
        <v>0</v>
      </c>
      <c r="R188" s="140">
        <f t="shared" si="210"/>
        <v>0.12328571728297376</v>
      </c>
      <c r="S188" s="140">
        <f t="shared" si="210"/>
        <v>0.23751994705495594</v>
      </c>
      <c r="T188" s="140">
        <f t="shared" si="210"/>
        <v>0.3092238599813768</v>
      </c>
      <c r="U188" s="140">
        <f t="shared" si="210"/>
        <v>0.49434513140657144</v>
      </c>
      <c r="V188" s="140">
        <f t="shared" si="210"/>
        <v>0.68927915461468048</v>
      </c>
      <c r="W188" s="140">
        <f t="shared" si="210"/>
        <v>0.80003522530790716</v>
      </c>
      <c r="X188" s="140">
        <f t="shared" si="210"/>
        <v>0.92722093214490253</v>
      </c>
      <c r="Y188" s="140">
        <f t="shared" si="210"/>
        <v>1.0545539579502752</v>
      </c>
      <c r="Z188" s="140">
        <f t="shared" si="210"/>
        <v>1.1917823830477585</v>
      </c>
      <c r="AA188" s="140">
        <f t="shared" si="210"/>
        <v>1.3495078704205923</v>
      </c>
      <c r="AB188" s="140">
        <f t="shared" si="211"/>
        <v>1.5176160469651503</v>
      </c>
      <c r="AC188" s="140">
        <f t="shared" si="211"/>
        <v>1.6998098726298376</v>
      </c>
      <c r="AD188" s="140">
        <f t="shared" si="211"/>
        <v>1.8939597558443226</v>
      </c>
      <c r="AE188" s="140">
        <f t="shared" si="211"/>
        <v>1.8939597558443226</v>
      </c>
      <c r="AF188" s="140">
        <f t="shared" si="211"/>
        <v>1.8939597558443226</v>
      </c>
      <c r="AG188" s="140">
        <f t="shared" si="211"/>
        <v>1.8939597558443226</v>
      </c>
      <c r="AH188" s="140">
        <f t="shared" si="211"/>
        <v>1.8939597558443226</v>
      </c>
      <c r="AI188" s="140">
        <f t="shared" si="211"/>
        <v>1.8939597558443226</v>
      </c>
      <c r="AJ188" s="140">
        <f t="shared" si="211"/>
        <v>1.8939597558443226</v>
      </c>
      <c r="AK188" s="140">
        <f t="shared" si="211"/>
        <v>1.8939597558443226</v>
      </c>
      <c r="AL188" s="140">
        <f t="shared" si="211"/>
        <v>1.8939597558443226</v>
      </c>
      <c r="AM188" s="140">
        <f t="shared" si="211"/>
        <v>1.8939597558443226</v>
      </c>
      <c r="AN188" s="140">
        <f t="shared" si="211"/>
        <v>1.8939597558443226</v>
      </c>
      <c r="AO188" s="140">
        <f t="shared" si="211"/>
        <v>1.8939597558443226</v>
      </c>
      <c r="AP188" s="140">
        <f t="shared" si="212"/>
        <v>1.8939597558443226</v>
      </c>
      <c r="AQ188" s="140">
        <f t="shared" si="212"/>
        <v>1.8939597558443226</v>
      </c>
      <c r="AR188" s="140">
        <f t="shared" si="212"/>
        <v>1.8939597558443226</v>
      </c>
      <c r="AS188" s="140">
        <f t="shared" si="212"/>
        <v>1.8939597558443226</v>
      </c>
      <c r="AT188" s="140">
        <f t="shared" si="212"/>
        <v>1.8939597558443226</v>
      </c>
      <c r="AU188" s="140">
        <f t="shared" si="212"/>
        <v>1.8939597558443226</v>
      </c>
      <c r="AV188" s="140">
        <f t="shared" si="212"/>
        <v>1.8939597558443226</v>
      </c>
      <c r="AW188" s="140">
        <f t="shared" si="212"/>
        <v>1.8939597558443226</v>
      </c>
      <c r="AX188" s="140">
        <f t="shared" si="212"/>
        <v>1.8939597558443226</v>
      </c>
      <c r="AY188" s="140">
        <f t="shared" si="213"/>
        <v>1.8939597558443226</v>
      </c>
      <c r="AZ188" s="140">
        <f t="shared" si="213"/>
        <v>1.8939597558443226</v>
      </c>
      <c r="BA188" s="140">
        <f t="shared" si="213"/>
        <v>1.8939597558443226</v>
      </c>
      <c r="BB188" s="140">
        <f t="shared" si="213"/>
        <v>1.8939597558443226</v>
      </c>
      <c r="BC188" s="140">
        <f t="shared" si="213"/>
        <v>1.8939597558443226</v>
      </c>
      <c r="BD188" s="140">
        <f t="shared" si="213"/>
        <v>1.8939597558443226</v>
      </c>
      <c r="BE188" s="140">
        <f t="shared" si="213"/>
        <v>1.8939597558443226</v>
      </c>
      <c r="BF188" s="140">
        <f t="shared" si="213"/>
        <v>1.8939597558443226</v>
      </c>
      <c r="BG188" s="140">
        <f t="shared" si="213"/>
        <v>1.8939597558443226</v>
      </c>
      <c r="BH188" s="140">
        <f t="shared" si="213"/>
        <v>1.8939597558443226</v>
      </c>
      <c r="BI188" s="140">
        <f t="shared" si="213"/>
        <v>1.8939597558443226</v>
      </c>
      <c r="BJ188" s="140">
        <f t="shared" si="213"/>
        <v>1.8939597558443226</v>
      </c>
      <c r="BK188" s="140">
        <f t="shared" si="213"/>
        <v>1.8939597558443226</v>
      </c>
      <c r="BL188" s="140">
        <f t="shared" si="213"/>
        <v>1.8939597558443226</v>
      </c>
      <c r="BM188" s="140">
        <f t="shared" si="213"/>
        <v>1.8939597558443226</v>
      </c>
      <c r="BN188" s="140">
        <f t="shared" si="213"/>
        <v>1.8939597558443226</v>
      </c>
      <c r="BO188" s="140">
        <f t="shared" si="213"/>
        <v>1.8939597558443226</v>
      </c>
      <c r="BP188" s="140">
        <f t="shared" si="213"/>
        <v>1.8939597558443226</v>
      </c>
      <c r="BQ188" s="140">
        <f t="shared" si="213"/>
        <v>1.8939597558443226</v>
      </c>
      <c r="BR188" s="140">
        <f t="shared" si="213"/>
        <v>1.8939597558443226</v>
      </c>
    </row>
    <row r="189" spans="1:70" ht="15">
      <c r="A189" t="s">
        <v>16</v>
      </c>
      <c r="B189" s="75" t="str">
        <f t="shared" si="209"/>
        <v>CNL</v>
      </c>
      <c r="C189" s="75" t="str">
        <f t="shared" si="209"/>
        <v>Commercial - Lighting</v>
      </c>
      <c r="E189" s="94"/>
      <c r="F189" s="94"/>
      <c r="I189" s="138"/>
      <c r="J189" s="95"/>
      <c r="K189" s="95"/>
      <c r="L189" s="140">
        <f t="shared" si="210"/>
        <v>0</v>
      </c>
      <c r="M189" s="140">
        <f t="shared" si="210"/>
        <v>0</v>
      </c>
      <c r="N189" s="140">
        <f t="shared" si="210"/>
        <v>0</v>
      </c>
      <c r="O189" s="140">
        <f t="shared" si="210"/>
        <v>0</v>
      </c>
      <c r="P189" s="140">
        <f t="shared" si="210"/>
        <v>0</v>
      </c>
      <c r="Q189" s="140">
        <f t="shared" si="210"/>
        <v>0</v>
      </c>
      <c r="R189" s="140">
        <f t="shared" si="210"/>
        <v>1.5371011281891316</v>
      </c>
      <c r="S189" s="140">
        <f t="shared" si="210"/>
        <v>2.9613501598697858</v>
      </c>
      <c r="T189" s="140">
        <f t="shared" si="210"/>
        <v>3.8553398926934275</v>
      </c>
      <c r="U189" s="140">
        <f t="shared" si="210"/>
        <v>6.1633940731006716</v>
      </c>
      <c r="V189" s="140">
        <f t="shared" si="210"/>
        <v>8.5937916373853636</v>
      </c>
      <c r="W189" s="140">
        <f t="shared" si="210"/>
        <v>9.9746756924750546</v>
      </c>
      <c r="X189" s="140">
        <f t="shared" si="210"/>
        <v>11.560401093414718</v>
      </c>
      <c r="Y189" s="140">
        <f t="shared" si="210"/>
        <v>13.147963237145738</v>
      </c>
      <c r="Z189" s="140">
        <f t="shared" si="210"/>
        <v>14.858899197008869</v>
      </c>
      <c r="AA189" s="140">
        <f t="shared" si="210"/>
        <v>16.825388340503885</v>
      </c>
      <c r="AB189" s="140">
        <f t="shared" si="211"/>
        <v>18.921326730766577</v>
      </c>
      <c r="AC189" s="140">
        <f t="shared" si="211"/>
        <v>21.19288211568999</v>
      </c>
      <c r="AD189" s="140">
        <f t="shared" si="211"/>
        <v>23.613503182782466</v>
      </c>
      <c r="AE189" s="140">
        <f t="shared" si="211"/>
        <v>23.613503182782466</v>
      </c>
      <c r="AF189" s="140">
        <f t="shared" si="211"/>
        <v>23.613503182782466</v>
      </c>
      <c r="AG189" s="140">
        <f t="shared" si="211"/>
        <v>23.613503182782466</v>
      </c>
      <c r="AH189" s="140">
        <f t="shared" si="211"/>
        <v>23.613503182782466</v>
      </c>
      <c r="AI189" s="140">
        <f t="shared" si="211"/>
        <v>23.613503182782466</v>
      </c>
      <c r="AJ189" s="140">
        <f t="shared" si="211"/>
        <v>23.613503182782466</v>
      </c>
      <c r="AK189" s="140">
        <f t="shared" si="211"/>
        <v>23.613503182782466</v>
      </c>
      <c r="AL189" s="140">
        <f t="shared" si="211"/>
        <v>23.613503182782466</v>
      </c>
      <c r="AM189" s="140">
        <f t="shared" si="211"/>
        <v>23.613503182782466</v>
      </c>
      <c r="AN189" s="140">
        <f t="shared" si="211"/>
        <v>23.613503182782466</v>
      </c>
      <c r="AO189" s="140">
        <f t="shared" si="211"/>
        <v>23.613503182782466</v>
      </c>
      <c r="AP189" s="140">
        <f t="shared" si="212"/>
        <v>23.613503182782466</v>
      </c>
      <c r="AQ189" s="140">
        <f t="shared" si="212"/>
        <v>23.613503182782466</v>
      </c>
      <c r="AR189" s="140">
        <f t="shared" si="212"/>
        <v>23.613503182782466</v>
      </c>
      <c r="AS189" s="140">
        <f t="shared" si="212"/>
        <v>23.613503182782466</v>
      </c>
      <c r="AT189" s="140">
        <f t="shared" si="212"/>
        <v>23.613503182782466</v>
      </c>
      <c r="AU189" s="140">
        <f t="shared" si="212"/>
        <v>23.613503182782466</v>
      </c>
      <c r="AV189" s="140">
        <f t="shared" si="212"/>
        <v>23.613503182782466</v>
      </c>
      <c r="AW189" s="140">
        <f t="shared" si="212"/>
        <v>23.613503182782466</v>
      </c>
      <c r="AX189" s="140">
        <f t="shared" si="212"/>
        <v>23.613503182782466</v>
      </c>
      <c r="AY189" s="140">
        <f t="shared" si="213"/>
        <v>23.613503182782466</v>
      </c>
      <c r="AZ189" s="140">
        <f t="shared" si="213"/>
        <v>23.613503182782466</v>
      </c>
      <c r="BA189" s="140">
        <f t="shared" si="213"/>
        <v>23.613503182782466</v>
      </c>
      <c r="BB189" s="140">
        <f t="shared" si="213"/>
        <v>23.613503182782466</v>
      </c>
      <c r="BC189" s="140">
        <f t="shared" si="213"/>
        <v>23.613503182782466</v>
      </c>
      <c r="BD189" s="140">
        <f t="shared" si="213"/>
        <v>23.613503182782466</v>
      </c>
      <c r="BE189" s="140">
        <f t="shared" si="213"/>
        <v>23.613503182782466</v>
      </c>
      <c r="BF189" s="140">
        <f t="shared" si="213"/>
        <v>23.613503182782466</v>
      </c>
      <c r="BG189" s="140">
        <f t="shared" si="213"/>
        <v>23.613503182782466</v>
      </c>
      <c r="BH189" s="140">
        <f t="shared" si="213"/>
        <v>23.613503182782466</v>
      </c>
      <c r="BI189" s="140">
        <f t="shared" si="213"/>
        <v>23.613503182782466</v>
      </c>
      <c r="BJ189" s="140">
        <f t="shared" si="213"/>
        <v>23.613503182782466</v>
      </c>
      <c r="BK189" s="140">
        <f t="shared" si="213"/>
        <v>23.613503182782466</v>
      </c>
      <c r="BL189" s="140">
        <f t="shared" si="213"/>
        <v>23.613503182782466</v>
      </c>
      <c r="BM189" s="140">
        <f t="shared" si="213"/>
        <v>23.613503182782466</v>
      </c>
      <c r="BN189" s="140">
        <f t="shared" si="213"/>
        <v>23.613503182782466</v>
      </c>
      <c r="BO189" s="140">
        <f t="shared" si="213"/>
        <v>23.613503182782466</v>
      </c>
      <c r="BP189" s="140">
        <f t="shared" si="213"/>
        <v>23.613503182782466</v>
      </c>
      <c r="BQ189" s="140">
        <f t="shared" si="213"/>
        <v>23.613503182782466</v>
      </c>
      <c r="BR189" s="140">
        <f t="shared" si="213"/>
        <v>23.613503182782466</v>
      </c>
    </row>
    <row r="190" spans="1:70" ht="15">
      <c r="A190" t="s">
        <v>16</v>
      </c>
      <c r="B190" s="75" t="str">
        <f t="shared" si="209"/>
        <v>CNR</v>
      </c>
      <c r="C190" s="75" t="str">
        <f t="shared" si="209"/>
        <v>Commercial - Refrigeration</v>
      </c>
      <c r="E190" s="94"/>
      <c r="F190" s="94"/>
      <c r="I190" s="138"/>
      <c r="J190" s="95"/>
      <c r="K190" s="95"/>
      <c r="L190" s="140">
        <f t="shared" si="210"/>
        <v>0</v>
      </c>
      <c r="M190" s="140">
        <f t="shared" si="210"/>
        <v>0</v>
      </c>
      <c r="N190" s="140">
        <f t="shared" si="210"/>
        <v>0</v>
      </c>
      <c r="O190" s="140">
        <f t="shared" si="210"/>
        <v>0</v>
      </c>
      <c r="P190" s="140">
        <f t="shared" si="210"/>
        <v>0</v>
      </c>
      <c r="Q190" s="140">
        <f t="shared" si="210"/>
        <v>0</v>
      </c>
      <c r="R190" s="140">
        <f t="shared" si="210"/>
        <v>0.37392159230343008</v>
      </c>
      <c r="S190" s="140">
        <f t="shared" si="210"/>
        <v>0.72039031579598123</v>
      </c>
      <c r="T190" s="140">
        <f t="shared" si="210"/>
        <v>0.93786596412508894</v>
      </c>
      <c r="U190" s="140">
        <f t="shared" si="210"/>
        <v>1.4993327918003814</v>
      </c>
      <c r="V190" s="140">
        <f t="shared" si="210"/>
        <v>2.0905613781968713</v>
      </c>
      <c r="W190" s="140">
        <f t="shared" si="210"/>
        <v>2.4264809577198276</v>
      </c>
      <c r="X190" s="140">
        <f t="shared" si="210"/>
        <v>2.8122310921783833</v>
      </c>
      <c r="Y190" s="140">
        <f t="shared" si="210"/>
        <v>3.1984280403023502</v>
      </c>
      <c r="Z190" s="140">
        <f t="shared" si="210"/>
        <v>3.6146374143693114</v>
      </c>
      <c r="AA190" s="140">
        <f t="shared" si="210"/>
        <v>4.0930137152502706</v>
      </c>
      <c r="AB190" s="140">
        <f t="shared" si="211"/>
        <v>4.602880376515567</v>
      </c>
      <c r="AC190" s="140">
        <f t="shared" si="211"/>
        <v>5.1554683559002807</v>
      </c>
      <c r="AD190" s="140">
        <f t="shared" si="211"/>
        <v>5.7443186710625467</v>
      </c>
      <c r="AE190" s="140">
        <f t="shared" si="211"/>
        <v>5.7443186710625467</v>
      </c>
      <c r="AF190" s="140">
        <f t="shared" si="211"/>
        <v>5.7443186710625467</v>
      </c>
      <c r="AG190" s="140">
        <f t="shared" si="211"/>
        <v>5.7443186710625467</v>
      </c>
      <c r="AH190" s="140">
        <f t="shared" si="211"/>
        <v>5.7443186710625467</v>
      </c>
      <c r="AI190" s="140">
        <f t="shared" si="211"/>
        <v>5.7443186710625467</v>
      </c>
      <c r="AJ190" s="140">
        <f t="shared" si="211"/>
        <v>5.7443186710625467</v>
      </c>
      <c r="AK190" s="140">
        <f t="shared" si="211"/>
        <v>5.7443186710625467</v>
      </c>
      <c r="AL190" s="140">
        <f t="shared" si="211"/>
        <v>5.7443186710625467</v>
      </c>
      <c r="AM190" s="140">
        <f t="shared" si="211"/>
        <v>5.7443186710625467</v>
      </c>
      <c r="AN190" s="140">
        <f t="shared" si="211"/>
        <v>5.7443186710625467</v>
      </c>
      <c r="AO190" s="140">
        <f t="shared" si="211"/>
        <v>5.7443186710625467</v>
      </c>
      <c r="AP190" s="140">
        <f t="shared" si="212"/>
        <v>5.7443186710625467</v>
      </c>
      <c r="AQ190" s="140">
        <f t="shared" si="212"/>
        <v>5.7443186710625467</v>
      </c>
      <c r="AR190" s="140">
        <f t="shared" si="212"/>
        <v>5.7443186710625467</v>
      </c>
      <c r="AS190" s="140">
        <f t="shared" si="212"/>
        <v>5.7443186710625467</v>
      </c>
      <c r="AT190" s="140">
        <f t="shared" si="212"/>
        <v>5.7443186710625467</v>
      </c>
      <c r="AU190" s="140">
        <f t="shared" si="212"/>
        <v>5.7443186710625467</v>
      </c>
      <c r="AV190" s="140">
        <f t="shared" si="212"/>
        <v>5.7443186710625467</v>
      </c>
      <c r="AW190" s="140">
        <f t="shared" si="212"/>
        <v>5.7443186710625467</v>
      </c>
      <c r="AX190" s="140">
        <f t="shared" si="212"/>
        <v>5.7443186710625467</v>
      </c>
      <c r="AY190" s="140">
        <f t="shared" si="213"/>
        <v>5.7443186710625467</v>
      </c>
      <c r="AZ190" s="140">
        <f t="shared" si="213"/>
        <v>5.7443186710625467</v>
      </c>
      <c r="BA190" s="140">
        <f t="shared" si="213"/>
        <v>5.7443186710625467</v>
      </c>
      <c r="BB190" s="140">
        <f t="shared" si="213"/>
        <v>5.7443186710625467</v>
      </c>
      <c r="BC190" s="140">
        <f t="shared" si="213"/>
        <v>5.7443186710625467</v>
      </c>
      <c r="BD190" s="140">
        <f t="shared" si="213"/>
        <v>5.7443186710625467</v>
      </c>
      <c r="BE190" s="140">
        <f t="shared" si="213"/>
        <v>5.7443186710625467</v>
      </c>
      <c r="BF190" s="140">
        <f t="shared" si="213"/>
        <v>5.7443186710625467</v>
      </c>
      <c r="BG190" s="140">
        <f t="shared" si="213"/>
        <v>5.7443186710625467</v>
      </c>
      <c r="BH190" s="140">
        <f t="shared" si="213"/>
        <v>5.7443186710625467</v>
      </c>
      <c r="BI190" s="140">
        <f t="shared" si="213"/>
        <v>5.7443186710625467</v>
      </c>
      <c r="BJ190" s="140">
        <f t="shared" si="213"/>
        <v>5.7443186710625467</v>
      </c>
      <c r="BK190" s="140">
        <f t="shared" si="213"/>
        <v>5.7443186710625467</v>
      </c>
      <c r="BL190" s="140">
        <f t="shared" si="213"/>
        <v>5.7443186710625467</v>
      </c>
      <c r="BM190" s="140">
        <f t="shared" si="213"/>
        <v>5.7443186710625467</v>
      </c>
      <c r="BN190" s="140">
        <f t="shared" si="213"/>
        <v>5.7443186710625467</v>
      </c>
      <c r="BO190" s="140">
        <f t="shared" si="213"/>
        <v>5.7443186710625467</v>
      </c>
      <c r="BP190" s="140">
        <f t="shared" si="213"/>
        <v>5.7443186710625467</v>
      </c>
      <c r="BQ190" s="140">
        <f t="shared" si="213"/>
        <v>5.7443186710625467</v>
      </c>
      <c r="BR190" s="140">
        <f t="shared" si="213"/>
        <v>5.7443186710625467</v>
      </c>
    </row>
    <row r="191" spans="1:70" ht="15">
      <c r="A191" t="s">
        <v>16</v>
      </c>
      <c r="B191" s="75" t="str">
        <f t="shared" si="209"/>
        <v>CNW</v>
      </c>
      <c r="C191" s="75" t="str">
        <f t="shared" si="209"/>
        <v>Commercial - Water Heating</v>
      </c>
      <c r="E191" s="94"/>
      <c r="F191" s="94"/>
      <c r="I191" s="138"/>
      <c r="J191" s="95"/>
      <c r="K191" s="95"/>
      <c r="L191" s="140">
        <f t="shared" si="210"/>
        <v>0</v>
      </c>
      <c r="M191" s="140">
        <f t="shared" si="210"/>
        <v>0</v>
      </c>
      <c r="N191" s="140">
        <f t="shared" si="210"/>
        <v>0</v>
      </c>
      <c r="O191" s="140">
        <f t="shared" si="210"/>
        <v>0</v>
      </c>
      <c r="P191" s="140">
        <f t="shared" si="210"/>
        <v>0</v>
      </c>
      <c r="Q191" s="140">
        <f t="shared" si="210"/>
        <v>0</v>
      </c>
      <c r="R191" s="140">
        <f t="shared" si="210"/>
        <v>0.19796348261065</v>
      </c>
      <c r="S191" s="140">
        <f t="shared" si="210"/>
        <v>0.38139272694964443</v>
      </c>
      <c r="T191" s="140">
        <f t="shared" si="210"/>
        <v>0.49652979742751913</v>
      </c>
      <c r="U191" s="140">
        <f t="shared" si="210"/>
        <v>0.79378443814577593</v>
      </c>
      <c r="V191" s="140">
        <f t="shared" si="210"/>
        <v>1.106795701445713</v>
      </c>
      <c r="W191" s="140">
        <f t="shared" si="210"/>
        <v>1.2846399640084012</v>
      </c>
      <c r="X191" s="140">
        <f t="shared" si="210"/>
        <v>1.4888657739289308</v>
      </c>
      <c r="Y191" s="140">
        <f t="shared" si="210"/>
        <v>1.6933281382263772</v>
      </c>
      <c r="Z191" s="140">
        <f t="shared" si="210"/>
        <v>1.9136798346286354</v>
      </c>
      <c r="AA191" s="140">
        <f t="shared" si="210"/>
        <v>2.1669442635090799</v>
      </c>
      <c r="AB191" s="140">
        <f t="shared" si="211"/>
        <v>2.4368804801082971</v>
      </c>
      <c r="AC191" s="140">
        <f t="shared" si="211"/>
        <v>2.7294344355348938</v>
      </c>
      <c r="AD191" s="140">
        <f t="shared" si="211"/>
        <v>3.0411865823093072</v>
      </c>
      <c r="AE191" s="140">
        <f t="shared" si="211"/>
        <v>3.0411865823093072</v>
      </c>
      <c r="AF191" s="140">
        <f t="shared" si="211"/>
        <v>3.0411865823093072</v>
      </c>
      <c r="AG191" s="140">
        <f t="shared" si="211"/>
        <v>3.0411865823093072</v>
      </c>
      <c r="AH191" s="140">
        <f t="shared" si="211"/>
        <v>3.0411865823093072</v>
      </c>
      <c r="AI191" s="140">
        <f t="shared" si="211"/>
        <v>3.0411865823093072</v>
      </c>
      <c r="AJ191" s="140">
        <f t="shared" si="211"/>
        <v>3.0411865823093072</v>
      </c>
      <c r="AK191" s="140">
        <f t="shared" si="211"/>
        <v>3.0411865823093072</v>
      </c>
      <c r="AL191" s="140">
        <f t="shared" si="211"/>
        <v>3.0411865823093072</v>
      </c>
      <c r="AM191" s="140">
        <f t="shared" si="211"/>
        <v>3.0411865823093072</v>
      </c>
      <c r="AN191" s="140">
        <f t="shared" si="211"/>
        <v>3.0411865823093072</v>
      </c>
      <c r="AO191" s="140">
        <f t="shared" si="211"/>
        <v>3.0411865823093072</v>
      </c>
      <c r="AP191" s="140">
        <f t="shared" si="212"/>
        <v>3.0411865823093072</v>
      </c>
      <c r="AQ191" s="140">
        <f t="shared" si="212"/>
        <v>3.0411865823093072</v>
      </c>
      <c r="AR191" s="140">
        <f t="shared" si="212"/>
        <v>3.0411865823093072</v>
      </c>
      <c r="AS191" s="140">
        <f t="shared" si="212"/>
        <v>3.0411865823093072</v>
      </c>
      <c r="AT191" s="140">
        <f t="shared" si="212"/>
        <v>3.0411865823093072</v>
      </c>
      <c r="AU191" s="140">
        <f t="shared" si="212"/>
        <v>3.0411865823093072</v>
      </c>
      <c r="AV191" s="140">
        <f t="shared" si="212"/>
        <v>3.0411865823093072</v>
      </c>
      <c r="AW191" s="140">
        <f t="shared" si="212"/>
        <v>3.0411865823093072</v>
      </c>
      <c r="AX191" s="140">
        <f t="shared" si="212"/>
        <v>3.0411865823093072</v>
      </c>
      <c r="AY191" s="140">
        <f t="shared" si="213"/>
        <v>3.0411865823093072</v>
      </c>
      <c r="AZ191" s="140">
        <f t="shared" si="213"/>
        <v>3.0411865823093072</v>
      </c>
      <c r="BA191" s="140">
        <f t="shared" si="213"/>
        <v>3.0411865823093072</v>
      </c>
      <c r="BB191" s="140">
        <f t="shared" si="213"/>
        <v>3.0411865823093072</v>
      </c>
      <c r="BC191" s="140">
        <f t="shared" si="213"/>
        <v>3.0411865823093072</v>
      </c>
      <c r="BD191" s="140">
        <f t="shared" si="213"/>
        <v>3.0411865823093072</v>
      </c>
      <c r="BE191" s="140">
        <f t="shared" si="213"/>
        <v>3.0411865823093072</v>
      </c>
      <c r="BF191" s="140">
        <f t="shared" si="213"/>
        <v>3.0411865823093072</v>
      </c>
      <c r="BG191" s="140">
        <f t="shared" si="213"/>
        <v>3.0411865823093072</v>
      </c>
      <c r="BH191" s="140">
        <f t="shared" si="213"/>
        <v>3.0411865823093072</v>
      </c>
      <c r="BI191" s="140">
        <f t="shared" si="213"/>
        <v>3.0411865823093072</v>
      </c>
      <c r="BJ191" s="140">
        <f t="shared" si="213"/>
        <v>3.0411865823093072</v>
      </c>
      <c r="BK191" s="140">
        <f t="shared" si="213"/>
        <v>3.0411865823093072</v>
      </c>
      <c r="BL191" s="140">
        <f t="shared" si="213"/>
        <v>3.0411865823093072</v>
      </c>
      <c r="BM191" s="140">
        <f t="shared" si="213"/>
        <v>3.0411865823093072</v>
      </c>
      <c r="BN191" s="140">
        <f t="shared" si="213"/>
        <v>3.0411865823093072</v>
      </c>
      <c r="BO191" s="140">
        <f t="shared" si="213"/>
        <v>3.0411865823093072</v>
      </c>
      <c r="BP191" s="140">
        <f t="shared" si="213"/>
        <v>3.0411865823093072</v>
      </c>
      <c r="BQ191" s="140">
        <f t="shared" si="213"/>
        <v>3.0411865823093072</v>
      </c>
      <c r="BR191" s="140">
        <f t="shared" si="213"/>
        <v>3.0411865823093072</v>
      </c>
    </row>
    <row r="192" spans="1:70" ht="15">
      <c r="A192" t="s">
        <v>16</v>
      </c>
      <c r="B192" s="75" t="str">
        <f t="shared" si="209"/>
        <v>CNG</v>
      </c>
      <c r="C192" s="75" t="str">
        <f t="shared" si="209"/>
        <v>Commercial - Public lights</v>
      </c>
      <c r="E192" s="94"/>
      <c r="F192" s="94"/>
      <c r="I192" s="138"/>
      <c r="J192" s="95"/>
      <c r="K192" s="95"/>
      <c r="L192" s="140">
        <f t="shared" si="210"/>
        <v>0</v>
      </c>
      <c r="M192" s="140">
        <f t="shared" si="210"/>
        <v>0</v>
      </c>
      <c r="N192" s="140">
        <f t="shared" si="210"/>
        <v>0</v>
      </c>
      <c r="O192" s="140">
        <f t="shared" si="210"/>
        <v>0</v>
      </c>
      <c r="P192" s="140">
        <f t="shared" si="210"/>
        <v>0</v>
      </c>
      <c r="Q192" s="140">
        <f t="shared" si="210"/>
        <v>0</v>
      </c>
      <c r="R192" s="140">
        <f t="shared" si="210"/>
        <v>0</v>
      </c>
      <c r="S192" s="140">
        <f t="shared" si="210"/>
        <v>0</v>
      </c>
      <c r="T192" s="140">
        <f t="shared" si="210"/>
        <v>0</v>
      </c>
      <c r="U192" s="140">
        <f t="shared" si="210"/>
        <v>0</v>
      </c>
      <c r="V192" s="140">
        <f t="shared" si="210"/>
        <v>0</v>
      </c>
      <c r="W192" s="140">
        <f t="shared" si="210"/>
        <v>0</v>
      </c>
      <c r="X192" s="140">
        <f t="shared" si="210"/>
        <v>0</v>
      </c>
      <c r="Y192" s="140">
        <f t="shared" si="210"/>
        <v>0</v>
      </c>
      <c r="Z192" s="140">
        <f t="shared" si="210"/>
        <v>0</v>
      </c>
      <c r="AA192" s="140">
        <f t="shared" si="210"/>
        <v>0</v>
      </c>
      <c r="AB192" s="140">
        <f t="shared" si="211"/>
        <v>0</v>
      </c>
      <c r="AC192" s="140">
        <f t="shared" si="211"/>
        <v>0</v>
      </c>
      <c r="AD192" s="140">
        <f t="shared" si="211"/>
        <v>0</v>
      </c>
      <c r="AE192" s="140">
        <f t="shared" si="211"/>
        <v>0</v>
      </c>
      <c r="AF192" s="140">
        <f t="shared" si="211"/>
        <v>0</v>
      </c>
      <c r="AG192" s="140">
        <f t="shared" si="211"/>
        <v>0</v>
      </c>
      <c r="AH192" s="140">
        <f t="shared" si="211"/>
        <v>0</v>
      </c>
      <c r="AI192" s="140">
        <f t="shared" si="211"/>
        <v>0</v>
      </c>
      <c r="AJ192" s="140">
        <f t="shared" si="211"/>
        <v>0</v>
      </c>
      <c r="AK192" s="140">
        <f t="shared" si="211"/>
        <v>0</v>
      </c>
      <c r="AL192" s="140">
        <f t="shared" si="211"/>
        <v>0</v>
      </c>
      <c r="AM192" s="140">
        <f t="shared" si="211"/>
        <v>0</v>
      </c>
      <c r="AN192" s="140">
        <f t="shared" si="211"/>
        <v>0</v>
      </c>
      <c r="AO192" s="140">
        <f t="shared" si="211"/>
        <v>0</v>
      </c>
      <c r="AP192" s="140">
        <f t="shared" si="212"/>
        <v>0</v>
      </c>
      <c r="AQ192" s="140">
        <f t="shared" si="212"/>
        <v>0</v>
      </c>
      <c r="AR192" s="140">
        <f t="shared" si="212"/>
        <v>0</v>
      </c>
      <c r="AS192" s="140">
        <f t="shared" si="212"/>
        <v>0</v>
      </c>
      <c r="AT192" s="140">
        <f t="shared" si="212"/>
        <v>0</v>
      </c>
      <c r="AU192" s="140">
        <f t="shared" si="212"/>
        <v>0</v>
      </c>
      <c r="AV192" s="140">
        <f t="shared" si="212"/>
        <v>0</v>
      </c>
      <c r="AW192" s="140">
        <f t="shared" si="212"/>
        <v>0</v>
      </c>
      <c r="AX192" s="140">
        <f t="shared" si="212"/>
        <v>0</v>
      </c>
      <c r="AY192" s="140">
        <f t="shared" si="213"/>
        <v>0</v>
      </c>
      <c r="AZ192" s="140">
        <f t="shared" si="213"/>
        <v>0</v>
      </c>
      <c r="BA192" s="140">
        <f t="shared" si="213"/>
        <v>0</v>
      </c>
      <c r="BB192" s="140">
        <f t="shared" si="213"/>
        <v>0</v>
      </c>
      <c r="BC192" s="140">
        <f t="shared" si="213"/>
        <v>0</v>
      </c>
      <c r="BD192" s="140">
        <f t="shared" si="213"/>
        <v>0</v>
      </c>
      <c r="BE192" s="140">
        <f t="shared" si="213"/>
        <v>0</v>
      </c>
      <c r="BF192" s="140">
        <f t="shared" si="213"/>
        <v>0</v>
      </c>
      <c r="BG192" s="140">
        <f t="shared" si="213"/>
        <v>0</v>
      </c>
      <c r="BH192" s="140">
        <f t="shared" si="213"/>
        <v>0</v>
      </c>
      <c r="BI192" s="140">
        <f t="shared" si="213"/>
        <v>0</v>
      </c>
      <c r="BJ192" s="140">
        <f t="shared" si="213"/>
        <v>0</v>
      </c>
      <c r="BK192" s="140">
        <f t="shared" si="213"/>
        <v>0</v>
      </c>
      <c r="BL192" s="140">
        <f t="shared" si="213"/>
        <v>0</v>
      </c>
      <c r="BM192" s="140">
        <f t="shared" si="213"/>
        <v>0</v>
      </c>
      <c r="BN192" s="140">
        <f t="shared" si="213"/>
        <v>0</v>
      </c>
      <c r="BO192" s="140">
        <f t="shared" si="213"/>
        <v>0</v>
      </c>
      <c r="BP192" s="140">
        <f t="shared" si="213"/>
        <v>0</v>
      </c>
      <c r="BQ192" s="140">
        <f t="shared" si="213"/>
        <v>0</v>
      </c>
      <c r="BR192" s="140">
        <f t="shared" si="213"/>
        <v>0</v>
      </c>
    </row>
    <row r="193" spans="1:70" ht="15">
      <c r="A193" t="s">
        <v>16</v>
      </c>
      <c r="B193" s="75" t="str">
        <f t="shared" si="209"/>
        <v>CNT</v>
      </c>
      <c r="C193" s="75" t="str">
        <f t="shared" si="209"/>
        <v>Commercial - Public Water</v>
      </c>
      <c r="E193" s="94"/>
      <c r="F193" s="94"/>
      <c r="I193" s="138"/>
      <c r="J193" s="95"/>
      <c r="K193" s="95"/>
      <c r="L193" s="140">
        <f t="shared" si="210"/>
        <v>0</v>
      </c>
      <c r="M193" s="140">
        <f t="shared" si="210"/>
        <v>0</v>
      </c>
      <c r="N193" s="140">
        <f t="shared" si="210"/>
        <v>0</v>
      </c>
      <c r="O193" s="140">
        <f t="shared" si="210"/>
        <v>0</v>
      </c>
      <c r="P193" s="140">
        <f t="shared" si="210"/>
        <v>0</v>
      </c>
      <c r="Q193" s="140">
        <f t="shared" si="210"/>
        <v>0</v>
      </c>
      <c r="R193" s="140">
        <f t="shared" si="210"/>
        <v>0</v>
      </c>
      <c r="S193" s="140">
        <f t="shared" si="210"/>
        <v>0</v>
      </c>
      <c r="T193" s="140">
        <f t="shared" si="210"/>
        <v>0</v>
      </c>
      <c r="U193" s="140">
        <f t="shared" si="210"/>
        <v>0</v>
      </c>
      <c r="V193" s="140">
        <f t="shared" si="210"/>
        <v>0</v>
      </c>
      <c r="W193" s="140">
        <f t="shared" si="210"/>
        <v>0</v>
      </c>
      <c r="X193" s="140">
        <f t="shared" si="210"/>
        <v>0</v>
      </c>
      <c r="Y193" s="140">
        <f t="shared" si="210"/>
        <v>0</v>
      </c>
      <c r="Z193" s="140">
        <f t="shared" si="210"/>
        <v>0</v>
      </c>
      <c r="AA193" s="140">
        <f t="shared" si="210"/>
        <v>0</v>
      </c>
      <c r="AB193" s="140">
        <f t="shared" si="211"/>
        <v>0</v>
      </c>
      <c r="AC193" s="140">
        <f t="shared" si="211"/>
        <v>0</v>
      </c>
      <c r="AD193" s="140">
        <f t="shared" si="211"/>
        <v>0</v>
      </c>
      <c r="AE193" s="140">
        <f t="shared" si="211"/>
        <v>0</v>
      </c>
      <c r="AF193" s="140">
        <f t="shared" si="211"/>
        <v>0</v>
      </c>
      <c r="AG193" s="140">
        <f t="shared" si="211"/>
        <v>0</v>
      </c>
      <c r="AH193" s="140">
        <f t="shared" si="211"/>
        <v>0</v>
      </c>
      <c r="AI193" s="140">
        <f t="shared" si="211"/>
        <v>0</v>
      </c>
      <c r="AJ193" s="140">
        <f t="shared" si="211"/>
        <v>0</v>
      </c>
      <c r="AK193" s="140">
        <f t="shared" si="211"/>
        <v>0</v>
      </c>
      <c r="AL193" s="140">
        <f t="shared" si="211"/>
        <v>0</v>
      </c>
      <c r="AM193" s="140">
        <f t="shared" si="211"/>
        <v>0</v>
      </c>
      <c r="AN193" s="140">
        <f t="shared" si="211"/>
        <v>0</v>
      </c>
      <c r="AO193" s="140">
        <f t="shared" si="211"/>
        <v>0</v>
      </c>
      <c r="AP193" s="140">
        <f t="shared" si="212"/>
        <v>0</v>
      </c>
      <c r="AQ193" s="140">
        <f t="shared" si="212"/>
        <v>0</v>
      </c>
      <c r="AR193" s="140">
        <f t="shared" si="212"/>
        <v>0</v>
      </c>
      <c r="AS193" s="140">
        <f t="shared" si="212"/>
        <v>0</v>
      </c>
      <c r="AT193" s="140">
        <f t="shared" si="212"/>
        <v>0</v>
      </c>
      <c r="AU193" s="140">
        <f t="shared" si="212"/>
        <v>0</v>
      </c>
      <c r="AV193" s="140">
        <f t="shared" si="212"/>
        <v>0</v>
      </c>
      <c r="AW193" s="140">
        <f t="shared" si="212"/>
        <v>0</v>
      </c>
      <c r="AX193" s="140">
        <f t="shared" si="212"/>
        <v>0</v>
      </c>
      <c r="AY193" s="140">
        <f t="shared" si="214" ref="AY193:BR194">INDEX(AY$49:AY$52,MATCH($I$185,$B$49:$B$52,0),1)*INDEX(AY$81:AY$89,MATCH($B193,$B$81:$B$89,0))*INDEX(AY$116:AY$124,MATCH($B193,$B$116:$B$124,0))/1000</f>
        <v>0</v>
      </c>
      <c r="AZ193" s="140">
        <f t="shared" si="214"/>
        <v>0</v>
      </c>
      <c r="BA193" s="140">
        <f t="shared" si="214"/>
        <v>0</v>
      </c>
      <c r="BB193" s="140">
        <f t="shared" si="214"/>
        <v>0</v>
      </c>
      <c r="BC193" s="140">
        <f t="shared" si="214"/>
        <v>0</v>
      </c>
      <c r="BD193" s="140">
        <f t="shared" si="214"/>
        <v>0</v>
      </c>
      <c r="BE193" s="140">
        <f t="shared" si="214"/>
        <v>0</v>
      </c>
      <c r="BF193" s="140">
        <f t="shared" si="214"/>
        <v>0</v>
      </c>
      <c r="BG193" s="140">
        <f t="shared" si="214"/>
        <v>0</v>
      </c>
      <c r="BH193" s="140">
        <f t="shared" si="214"/>
        <v>0</v>
      </c>
      <c r="BI193" s="140">
        <f t="shared" si="214"/>
        <v>0</v>
      </c>
      <c r="BJ193" s="140">
        <f t="shared" si="214"/>
        <v>0</v>
      </c>
      <c r="BK193" s="140">
        <f t="shared" si="214"/>
        <v>0</v>
      </c>
      <c r="BL193" s="140">
        <f t="shared" si="214"/>
        <v>0</v>
      </c>
      <c r="BM193" s="140">
        <f t="shared" si="214"/>
        <v>0</v>
      </c>
      <c r="BN193" s="140">
        <f t="shared" si="214"/>
        <v>0</v>
      </c>
      <c r="BO193" s="140">
        <f t="shared" si="214"/>
        <v>0</v>
      </c>
      <c r="BP193" s="140">
        <f t="shared" si="214"/>
        <v>0</v>
      </c>
      <c r="BQ193" s="140">
        <f t="shared" si="214"/>
        <v>0</v>
      </c>
      <c r="BR193" s="140">
        <f t="shared" si="214"/>
        <v>0</v>
      </c>
    </row>
    <row r="194" spans="1:70" ht="15">
      <c r="A194" t="s">
        <v>16</v>
      </c>
      <c r="B194" s="75" t="str">
        <f t="shared" si="209"/>
        <v>CNO</v>
      </c>
      <c r="C194" s="75" t="str">
        <f t="shared" si="209"/>
        <v>Commercial - Other</v>
      </c>
      <c r="E194" s="94"/>
      <c r="F194" s="94"/>
      <c r="I194" s="138"/>
      <c r="J194" s="95"/>
      <c r="K194" s="95"/>
      <c r="L194" s="140">
        <f t="shared" si="210"/>
        <v>0</v>
      </c>
      <c r="M194" s="140">
        <f t="shared" si="210"/>
        <v>0</v>
      </c>
      <c r="N194" s="140">
        <f t="shared" si="210"/>
        <v>0</v>
      </c>
      <c r="O194" s="140">
        <f t="shared" si="210"/>
        <v>0</v>
      </c>
      <c r="P194" s="140">
        <f t="shared" si="210"/>
        <v>0</v>
      </c>
      <c r="Q194" s="140">
        <f t="shared" si="210"/>
        <v>0</v>
      </c>
      <c r="R194" s="140">
        <f t="shared" si="210"/>
        <v>0.27783625702001274</v>
      </c>
      <c r="S194" s="140">
        <f t="shared" si="210"/>
        <v>0.53527411375538358</v>
      </c>
      <c r="T194" s="140">
        <f t="shared" si="210"/>
        <v>0.69686579866596787</v>
      </c>
      <c r="U194" s="140">
        <f t="shared" si="210"/>
        <v>1.1140544420958349</v>
      </c>
      <c r="V194" s="140">
        <f t="shared" si="210"/>
        <v>1.5533570682847404</v>
      </c>
      <c r="W194" s="140">
        <f t="shared" si="210"/>
        <v>1.8029565580051912</v>
      </c>
      <c r="X194" s="140">
        <f t="shared" si="210"/>
        <v>2.0895818177092655</v>
      </c>
      <c r="Y194" s="140">
        <f t="shared" si="210"/>
        <v>2.37653907492014</v>
      </c>
      <c r="Z194" s="140">
        <f t="shared" si="210"/>
        <v>2.685796569024864</v>
      </c>
      <c r="AA194" s="140">
        <f t="shared" si="210"/>
        <v>3.0412461702770721</v>
      </c>
      <c r="AB194" s="140">
        <f t="shared" si="211"/>
        <v>3.4200941631747033</v>
      </c>
      <c r="AC194" s="140">
        <f t="shared" si="211"/>
        <v>3.8306855251785183</v>
      </c>
      <c r="AD194" s="140">
        <f t="shared" si="211"/>
        <v>4.2682210162473995</v>
      </c>
      <c r="AE194" s="140">
        <f t="shared" si="211"/>
        <v>4.2682210162473995</v>
      </c>
      <c r="AF194" s="140">
        <f t="shared" si="211"/>
        <v>4.2682210162473995</v>
      </c>
      <c r="AG194" s="140">
        <f t="shared" si="211"/>
        <v>4.2682210162473995</v>
      </c>
      <c r="AH194" s="140">
        <f t="shared" si="211"/>
        <v>4.2682210162473995</v>
      </c>
      <c r="AI194" s="140">
        <f t="shared" si="211"/>
        <v>4.2682210162473995</v>
      </c>
      <c r="AJ194" s="140">
        <f t="shared" si="211"/>
        <v>4.2682210162473995</v>
      </c>
      <c r="AK194" s="140">
        <f t="shared" si="211"/>
        <v>4.2682210162473995</v>
      </c>
      <c r="AL194" s="140">
        <f t="shared" si="211"/>
        <v>4.2682210162473995</v>
      </c>
      <c r="AM194" s="140">
        <f t="shared" si="211"/>
        <v>4.2682210162473995</v>
      </c>
      <c r="AN194" s="140">
        <f t="shared" si="211"/>
        <v>4.2682210162473995</v>
      </c>
      <c r="AO194" s="140">
        <f t="shared" si="211"/>
        <v>4.2682210162473995</v>
      </c>
      <c r="AP194" s="140">
        <f t="shared" si="212"/>
        <v>4.2682210162473995</v>
      </c>
      <c r="AQ194" s="140">
        <f t="shared" si="212"/>
        <v>4.2682210162473995</v>
      </c>
      <c r="AR194" s="140">
        <f t="shared" si="212"/>
        <v>4.2682210162473995</v>
      </c>
      <c r="AS194" s="140">
        <f t="shared" si="212"/>
        <v>4.2682210162473995</v>
      </c>
      <c r="AT194" s="140">
        <f t="shared" si="212"/>
        <v>4.2682210162473995</v>
      </c>
      <c r="AU194" s="140">
        <f t="shared" si="212"/>
        <v>4.2682210162473995</v>
      </c>
      <c r="AV194" s="140">
        <f t="shared" si="212"/>
        <v>4.2682210162473995</v>
      </c>
      <c r="AW194" s="140">
        <f t="shared" si="212"/>
        <v>4.2682210162473995</v>
      </c>
      <c r="AX194" s="140">
        <f t="shared" si="212"/>
        <v>4.2682210162473995</v>
      </c>
      <c r="AY194" s="140">
        <f t="shared" si="214"/>
        <v>4.2682210162473995</v>
      </c>
      <c r="AZ194" s="140">
        <f t="shared" si="214"/>
        <v>4.2682210162473995</v>
      </c>
      <c r="BA194" s="140">
        <f t="shared" si="214"/>
        <v>4.2682210162473995</v>
      </c>
      <c r="BB194" s="140">
        <f t="shared" si="214"/>
        <v>4.2682210162473995</v>
      </c>
      <c r="BC194" s="140">
        <f t="shared" si="214"/>
        <v>4.2682210162473995</v>
      </c>
      <c r="BD194" s="140">
        <f t="shared" si="214"/>
        <v>4.2682210162473995</v>
      </c>
      <c r="BE194" s="140">
        <f t="shared" si="214"/>
        <v>4.2682210162473995</v>
      </c>
      <c r="BF194" s="140">
        <f t="shared" si="214"/>
        <v>4.2682210162473995</v>
      </c>
      <c r="BG194" s="140">
        <f t="shared" si="214"/>
        <v>4.2682210162473995</v>
      </c>
      <c r="BH194" s="140">
        <f t="shared" si="214"/>
        <v>4.2682210162473995</v>
      </c>
      <c r="BI194" s="140">
        <f t="shared" si="214"/>
        <v>4.2682210162473995</v>
      </c>
      <c r="BJ194" s="140">
        <f t="shared" si="214"/>
        <v>4.2682210162473995</v>
      </c>
      <c r="BK194" s="140">
        <f t="shared" si="214"/>
        <v>4.2682210162473995</v>
      </c>
      <c r="BL194" s="140">
        <f t="shared" si="214"/>
        <v>4.2682210162473995</v>
      </c>
      <c r="BM194" s="140">
        <f t="shared" si="214"/>
        <v>4.2682210162473995</v>
      </c>
      <c r="BN194" s="140">
        <f t="shared" si="214"/>
        <v>4.2682210162473995</v>
      </c>
      <c r="BO194" s="140">
        <f t="shared" si="214"/>
        <v>4.2682210162473995</v>
      </c>
      <c r="BP194" s="140">
        <f t="shared" si="214"/>
        <v>4.2682210162473995</v>
      </c>
      <c r="BQ194" s="140">
        <f t="shared" si="214"/>
        <v>4.2682210162473995</v>
      </c>
      <c r="BR194" s="140">
        <f t="shared" si="214"/>
        <v>4.2682210162473995</v>
      </c>
    </row>
    <row r="195" spans="1:70" ht="15">
      <c r="A195" t="s">
        <v>16</v>
      </c>
      <c r="E195" s="94"/>
      <c r="F195" s="94"/>
      <c r="I195" s="138"/>
      <c r="J195" s="95"/>
      <c r="K195" s="95"/>
      <c r="L195" s="140"/>
      <c r="M195" s="140"/>
      <c r="N195" s="140"/>
      <c r="O195" s="140"/>
      <c r="P195" s="140"/>
      <c r="Q195" s="140"/>
      <c r="R195" s="140"/>
      <c r="S195" s="140"/>
      <c r="T195" s="140"/>
      <c r="U195" s="140"/>
      <c r="V195" s="140"/>
      <c r="W195" s="140"/>
      <c r="X195" s="140"/>
      <c r="Y195" s="140"/>
      <c r="Z195" s="140"/>
      <c r="AA195" s="140"/>
      <c r="AB195" s="140"/>
      <c r="AC195" s="140"/>
      <c r="AD195" s="140"/>
      <c r="AE195" s="140"/>
      <c r="AF195" s="140"/>
      <c r="AG195" s="140"/>
      <c r="AH195" s="140"/>
      <c r="AI195" s="140"/>
      <c r="AJ195" s="140"/>
      <c r="AK195" s="140"/>
      <c r="AL195" s="140"/>
      <c r="AM195" s="140"/>
      <c r="AN195" s="140"/>
      <c r="AO195" s="140"/>
      <c r="AP195" s="140"/>
      <c r="AQ195" s="140"/>
      <c r="AR195" s="140"/>
      <c r="AS195" s="140"/>
      <c r="AT195" s="140"/>
      <c r="AU195" s="140"/>
      <c r="AV195" s="140"/>
      <c r="AW195" s="140"/>
      <c r="AX195" s="140"/>
      <c r="AY195" s="140"/>
      <c r="AZ195" s="140"/>
      <c r="BA195" s="140"/>
      <c r="BB195" s="140"/>
      <c r="BC195" s="140"/>
      <c r="BD195" s="140"/>
      <c r="BE195" s="140"/>
      <c r="BF195" s="140"/>
      <c r="BG195" s="140"/>
      <c r="BH195" s="140"/>
      <c r="BI195" s="140"/>
      <c r="BJ195" s="140"/>
      <c r="BK195" s="140"/>
      <c r="BL195" s="140"/>
      <c r="BM195" s="140"/>
      <c r="BN195" s="140"/>
      <c r="BO195" s="140"/>
      <c r="BP195" s="140"/>
      <c r="BQ195" s="140"/>
      <c r="BR195" s="140"/>
    </row>
    <row r="196" spans="1:70" ht="15">
      <c r="A196" t="s">
        <v>16</v>
      </c>
      <c r="E196" s="94"/>
      <c r="F196" s="94"/>
      <c r="I196" s="138" t="s">
        <v>100</v>
      </c>
      <c r="J196" s="95"/>
      <c r="K196" s="95"/>
      <c r="L196" s="140"/>
      <c r="M196" s="140"/>
      <c r="N196" s="140"/>
      <c r="O196" s="140"/>
      <c r="P196" s="140"/>
      <c r="Q196" s="140"/>
      <c r="R196" s="140"/>
      <c r="S196" s="140"/>
      <c r="T196" s="140"/>
      <c r="U196" s="140"/>
      <c r="V196" s="140"/>
      <c r="W196" s="140"/>
      <c r="X196" s="140"/>
      <c r="Y196" s="140"/>
      <c r="Z196" s="140"/>
      <c r="AA196" s="140"/>
      <c r="AB196" s="140"/>
      <c r="AC196" s="140"/>
      <c r="AD196" s="140"/>
      <c r="AE196" s="140"/>
      <c r="AF196" s="140"/>
      <c r="AG196" s="140"/>
      <c r="AH196" s="140"/>
      <c r="AI196" s="140"/>
      <c r="AJ196" s="140"/>
      <c r="AK196" s="140"/>
      <c r="AL196" s="140"/>
      <c r="AM196" s="140"/>
      <c r="AN196" s="140"/>
      <c r="AO196" s="140"/>
      <c r="AP196" s="140"/>
      <c r="AQ196" s="140"/>
      <c r="AR196" s="140"/>
      <c r="AS196" s="140"/>
      <c r="AT196" s="140"/>
      <c r="AU196" s="140"/>
      <c r="AV196" s="140"/>
      <c r="AW196" s="140"/>
      <c r="AX196" s="140"/>
      <c r="AY196" s="140"/>
      <c r="AZ196" s="140"/>
      <c r="BA196" s="140"/>
      <c r="BB196" s="140"/>
      <c r="BC196" s="140"/>
      <c r="BD196" s="140"/>
      <c r="BE196" s="140"/>
      <c r="BF196" s="140"/>
      <c r="BG196" s="140"/>
      <c r="BH196" s="140"/>
      <c r="BI196" s="140"/>
      <c r="BJ196" s="140"/>
      <c r="BK196" s="140"/>
      <c r="BL196" s="140"/>
      <c r="BM196" s="140"/>
      <c r="BN196" s="140"/>
      <c r="BO196" s="140"/>
      <c r="BP196" s="140"/>
      <c r="BQ196" s="140"/>
      <c r="BR196" s="140"/>
    </row>
    <row r="197" spans="1:70" ht="15">
      <c r="A197" t="s">
        <v>16</v>
      </c>
      <c r="B197" s="75" t="str">
        <f t="shared" si="215" ref="B197:C205">B186</f>
        <v>CNC</v>
      </c>
      <c r="C197" s="75" t="str">
        <f t="shared" si="215"/>
        <v>Commercial - Cooling</v>
      </c>
      <c r="E197" s="94"/>
      <c r="F197" s="94"/>
      <c r="I197" s="138"/>
      <c r="J197" s="95"/>
      <c r="K197" s="95"/>
      <c r="L197" s="140">
        <f t="shared" si="216" ref="L197:AA205">INDEX(L$49:L$52,MATCH($I$196,$B$49:$B$52,0),1)*INDEX(L$81:L$89,MATCH($B197,$B$81:$B$89,0))*INDEX(L$127:L$135,MATCH($B197,$B$127:$B$135,0))/1000</f>
        <v>0</v>
      </c>
      <c r="M197" s="140">
        <f t="shared" si="216"/>
        <v>0</v>
      </c>
      <c r="N197" s="140">
        <f t="shared" si="216"/>
        <v>0</v>
      </c>
      <c r="O197" s="140">
        <f t="shared" si="216"/>
        <v>0</v>
      </c>
      <c r="P197" s="140">
        <f t="shared" si="216"/>
        <v>0</v>
      </c>
      <c r="Q197" s="140">
        <f t="shared" si="216"/>
        <v>0</v>
      </c>
      <c r="R197" s="140">
        <f t="shared" si="216"/>
        <v>0</v>
      </c>
      <c r="S197" s="140">
        <f t="shared" si="216"/>
        <v>0</v>
      </c>
      <c r="T197" s="140">
        <f t="shared" si="216"/>
        <v>0</v>
      </c>
      <c r="U197" s="140">
        <f t="shared" si="216"/>
        <v>0</v>
      </c>
      <c r="V197" s="140">
        <f t="shared" si="216"/>
        <v>0</v>
      </c>
      <c r="W197" s="140">
        <f t="shared" si="216"/>
        <v>0</v>
      </c>
      <c r="X197" s="140">
        <f t="shared" si="216"/>
        <v>0</v>
      </c>
      <c r="Y197" s="140">
        <f t="shared" si="216"/>
        <v>0</v>
      </c>
      <c r="Z197" s="140">
        <f t="shared" si="216"/>
        <v>0</v>
      </c>
      <c r="AA197" s="140">
        <f t="shared" si="216"/>
        <v>0</v>
      </c>
      <c r="AB197" s="140">
        <f t="shared" si="217" ref="AB197:AQ205">INDEX(AB$49:AB$52,MATCH($I$196,$B$49:$B$52,0),1)*INDEX(AB$81:AB$89,MATCH($B197,$B$81:$B$89,0))*INDEX(AB$127:AB$135,MATCH($B197,$B$127:$B$135,0))/1000</f>
        <v>0</v>
      </c>
      <c r="AC197" s="140">
        <f t="shared" si="217"/>
        <v>0</v>
      </c>
      <c r="AD197" s="140">
        <f t="shared" si="217"/>
        <v>0</v>
      </c>
      <c r="AE197" s="140">
        <f t="shared" si="217"/>
        <v>2.9070083210826696</v>
      </c>
      <c r="AF197" s="140">
        <f t="shared" si="217"/>
        <v>5.881627450101627</v>
      </c>
      <c r="AG197" s="140">
        <f t="shared" si="217"/>
        <v>8.9132523297632371</v>
      </c>
      <c r="AH197" s="140">
        <f t="shared" si="217"/>
        <v>11.951982345638571</v>
      </c>
      <c r="AI197" s="140">
        <f t="shared" si="217"/>
        <v>14.977539029317608</v>
      </c>
      <c r="AJ197" s="140">
        <f t="shared" si="217"/>
        <v>17.978326223676433</v>
      </c>
      <c r="AK197" s="140">
        <f t="shared" si="217"/>
        <v>21.024366276495734</v>
      </c>
      <c r="AL197" s="140">
        <f t="shared" si="217"/>
        <v>24.11775535306246</v>
      </c>
      <c r="AM197" s="140">
        <f t="shared" si="217"/>
        <v>27.300658558412678</v>
      </c>
      <c r="AN197" s="140">
        <f t="shared" si="217"/>
        <v>30.520781119783472</v>
      </c>
      <c r="AO197" s="140">
        <f t="shared" si="217"/>
        <v>30.520781119783472</v>
      </c>
      <c r="AP197" s="140">
        <f t="shared" si="217"/>
        <v>30.520781119783472</v>
      </c>
      <c r="AQ197" s="140">
        <f t="shared" si="217"/>
        <v>30.520781119783472</v>
      </c>
      <c r="AR197" s="140">
        <f t="shared" si="218" ref="AP197:BE205">INDEX(AR$49:AR$52,MATCH($I$196,$B$49:$B$52,0),1)*INDEX(AR$81:AR$89,MATCH($B197,$B$81:$B$89,0))*INDEX(AR$127:AR$135,MATCH($B197,$B$127:$B$135,0))/1000</f>
        <v>30.520781119783472</v>
      </c>
      <c r="AS197" s="140">
        <f t="shared" si="218"/>
        <v>30.520781119783472</v>
      </c>
      <c r="AT197" s="140">
        <f t="shared" si="218"/>
        <v>30.520781119783472</v>
      </c>
      <c r="AU197" s="140">
        <f t="shared" si="218"/>
        <v>30.520781119783472</v>
      </c>
      <c r="AV197" s="140">
        <f t="shared" si="218"/>
        <v>30.520781119783472</v>
      </c>
      <c r="AW197" s="140">
        <f t="shared" si="218"/>
        <v>30.520781119783472</v>
      </c>
      <c r="AX197" s="140">
        <f t="shared" si="218"/>
        <v>30.520781119783472</v>
      </c>
      <c r="AY197" s="140">
        <f t="shared" si="218"/>
        <v>30.520781119783472</v>
      </c>
      <c r="AZ197" s="140">
        <f t="shared" si="218"/>
        <v>30.520781119783472</v>
      </c>
      <c r="BA197" s="140">
        <f t="shared" si="218"/>
        <v>30.520781119783472</v>
      </c>
      <c r="BB197" s="140">
        <f t="shared" si="218"/>
        <v>30.520781119783472</v>
      </c>
      <c r="BC197" s="140">
        <f t="shared" si="218"/>
        <v>30.520781119783472</v>
      </c>
      <c r="BD197" s="140">
        <f t="shared" si="218"/>
        <v>30.520781119783472</v>
      </c>
      <c r="BE197" s="140">
        <f t="shared" si="218"/>
        <v>30.520781119783472</v>
      </c>
      <c r="BF197" s="140">
        <f t="shared" si="219" ref="AY197:BR203">INDEX(BF$49:BF$52,MATCH($I$196,$B$49:$B$52,0),1)*INDEX(BF$81:BF$89,MATCH($B197,$B$81:$B$89,0))*INDEX(BF$127:BF$135,MATCH($B197,$B$127:$B$135,0))/1000</f>
        <v>30.520781119783472</v>
      </c>
      <c r="BG197" s="140">
        <f t="shared" si="219"/>
        <v>30.520781119783472</v>
      </c>
      <c r="BH197" s="140">
        <f t="shared" si="219"/>
        <v>30.520781119783472</v>
      </c>
      <c r="BI197" s="140">
        <f t="shared" si="219"/>
        <v>30.520781119783472</v>
      </c>
      <c r="BJ197" s="140">
        <f t="shared" si="219"/>
        <v>30.520781119783472</v>
      </c>
      <c r="BK197" s="140">
        <f t="shared" si="219"/>
        <v>30.520781119783472</v>
      </c>
      <c r="BL197" s="140">
        <f t="shared" si="219"/>
        <v>30.520781119783472</v>
      </c>
      <c r="BM197" s="140">
        <f t="shared" si="219"/>
        <v>30.520781119783472</v>
      </c>
      <c r="BN197" s="140">
        <f t="shared" si="219"/>
        <v>30.520781119783472</v>
      </c>
      <c r="BO197" s="140">
        <f t="shared" si="219"/>
        <v>30.520781119783472</v>
      </c>
      <c r="BP197" s="140">
        <f t="shared" si="219"/>
        <v>30.520781119783472</v>
      </c>
      <c r="BQ197" s="140">
        <f t="shared" si="219"/>
        <v>30.520781119783472</v>
      </c>
      <c r="BR197" s="140">
        <f t="shared" si="219"/>
        <v>30.520781119783472</v>
      </c>
    </row>
    <row r="198" spans="1:70" ht="15">
      <c r="A198" t="s">
        <v>16</v>
      </c>
      <c r="B198" s="75" t="str">
        <f t="shared" si="215"/>
        <v>CNH</v>
      </c>
      <c r="C198" s="75" t="str">
        <f t="shared" si="215"/>
        <v>Commercial - Space Heating</v>
      </c>
      <c r="E198" s="94"/>
      <c r="F198" s="94"/>
      <c r="I198" s="138"/>
      <c r="J198" s="95"/>
      <c r="K198" s="95"/>
      <c r="L198" s="140">
        <f t="shared" si="216"/>
        <v>0</v>
      </c>
      <c r="M198" s="140">
        <f t="shared" si="216"/>
        <v>0</v>
      </c>
      <c r="N198" s="140">
        <f t="shared" si="216"/>
        <v>0</v>
      </c>
      <c r="O198" s="140">
        <f t="shared" si="216"/>
        <v>0</v>
      </c>
      <c r="P198" s="140">
        <f t="shared" si="216"/>
        <v>0</v>
      </c>
      <c r="Q198" s="140">
        <f t="shared" si="216"/>
        <v>0</v>
      </c>
      <c r="R198" s="140">
        <f t="shared" si="216"/>
        <v>0</v>
      </c>
      <c r="S198" s="140">
        <f t="shared" si="216"/>
        <v>0</v>
      </c>
      <c r="T198" s="140">
        <f t="shared" si="216"/>
        <v>0</v>
      </c>
      <c r="U198" s="140">
        <f t="shared" si="216"/>
        <v>0</v>
      </c>
      <c r="V198" s="140">
        <f t="shared" si="216"/>
        <v>0</v>
      </c>
      <c r="W198" s="140">
        <f t="shared" si="216"/>
        <v>0</v>
      </c>
      <c r="X198" s="140">
        <f t="shared" si="216"/>
        <v>0</v>
      </c>
      <c r="Y198" s="140">
        <f t="shared" si="216"/>
        <v>0</v>
      </c>
      <c r="Z198" s="140">
        <f t="shared" si="216"/>
        <v>0</v>
      </c>
      <c r="AA198" s="140">
        <f t="shared" si="216"/>
        <v>0</v>
      </c>
      <c r="AB198" s="140">
        <f t="shared" si="217"/>
        <v>0</v>
      </c>
      <c r="AC198" s="140">
        <f t="shared" si="217"/>
        <v>0</v>
      </c>
      <c r="AD198" s="140">
        <f t="shared" si="217"/>
        <v>0</v>
      </c>
      <c r="AE198" s="140">
        <f t="shared" si="217"/>
        <v>0.27149555202633396</v>
      </c>
      <c r="AF198" s="140">
        <f t="shared" si="217"/>
        <v>0.54930551102924385</v>
      </c>
      <c r="AG198" s="140">
        <f t="shared" si="217"/>
        <v>0.83243943406320231</v>
      </c>
      <c r="AH198" s="140">
        <f t="shared" si="217"/>
        <v>1.1162369303193547</v>
      </c>
      <c r="AI198" s="140">
        <f t="shared" si="217"/>
        <v>1.3988041235623647</v>
      </c>
      <c r="AJ198" s="140">
        <f t="shared" si="217"/>
        <v>1.6790580086088929</v>
      </c>
      <c r="AK198" s="140">
        <f t="shared" si="217"/>
        <v>1.9635382144744549</v>
      </c>
      <c r="AL198" s="140">
        <f t="shared" si="217"/>
        <v>2.25244050927832</v>
      </c>
      <c r="AM198" s="140">
        <f t="shared" si="217"/>
        <v>2.5497028378777467</v>
      </c>
      <c r="AN198" s="140">
        <f t="shared" si="217"/>
        <v>2.8504412107442598</v>
      </c>
      <c r="AO198" s="140">
        <f t="shared" si="217"/>
        <v>2.8504412107442598</v>
      </c>
      <c r="AP198" s="140">
        <f t="shared" si="218"/>
        <v>2.8504412107442598</v>
      </c>
      <c r="AQ198" s="140">
        <f t="shared" si="218"/>
        <v>2.8504412107442598</v>
      </c>
      <c r="AR198" s="140">
        <f t="shared" si="218"/>
        <v>2.8504412107442598</v>
      </c>
      <c r="AS198" s="140">
        <f t="shared" si="218"/>
        <v>2.8504412107442598</v>
      </c>
      <c r="AT198" s="140">
        <f t="shared" si="218"/>
        <v>2.8504412107442598</v>
      </c>
      <c r="AU198" s="140">
        <f t="shared" si="218"/>
        <v>2.8504412107442598</v>
      </c>
      <c r="AV198" s="140">
        <f t="shared" si="218"/>
        <v>2.8504412107442598</v>
      </c>
      <c r="AW198" s="140">
        <f t="shared" si="218"/>
        <v>2.8504412107442598</v>
      </c>
      <c r="AX198" s="140">
        <f t="shared" si="218"/>
        <v>2.8504412107442598</v>
      </c>
      <c r="AY198" s="140">
        <f t="shared" si="219"/>
        <v>2.8504412107442598</v>
      </c>
      <c r="AZ198" s="140">
        <f t="shared" si="219"/>
        <v>2.8504412107442598</v>
      </c>
      <c r="BA198" s="140">
        <f t="shared" si="219"/>
        <v>2.8504412107442598</v>
      </c>
      <c r="BB198" s="140">
        <f t="shared" si="219"/>
        <v>2.8504412107442598</v>
      </c>
      <c r="BC198" s="140">
        <f t="shared" si="219"/>
        <v>2.8504412107442598</v>
      </c>
      <c r="BD198" s="140">
        <f t="shared" si="219"/>
        <v>2.8504412107442598</v>
      </c>
      <c r="BE198" s="140">
        <f t="shared" si="219"/>
        <v>2.8504412107442598</v>
      </c>
      <c r="BF198" s="140">
        <f t="shared" si="219"/>
        <v>2.8504412107442598</v>
      </c>
      <c r="BG198" s="140">
        <f t="shared" si="219"/>
        <v>2.8504412107442598</v>
      </c>
      <c r="BH198" s="140">
        <f t="shared" si="219"/>
        <v>2.8504412107442598</v>
      </c>
      <c r="BI198" s="140">
        <f t="shared" si="219"/>
        <v>2.8504412107442598</v>
      </c>
      <c r="BJ198" s="140">
        <f t="shared" si="219"/>
        <v>2.8504412107442598</v>
      </c>
      <c r="BK198" s="140">
        <f t="shared" si="219"/>
        <v>2.8504412107442598</v>
      </c>
      <c r="BL198" s="140">
        <f t="shared" si="219"/>
        <v>2.8504412107442598</v>
      </c>
      <c r="BM198" s="140">
        <f t="shared" si="219"/>
        <v>2.8504412107442598</v>
      </c>
      <c r="BN198" s="140">
        <f t="shared" si="219"/>
        <v>2.8504412107442598</v>
      </c>
      <c r="BO198" s="140">
        <f t="shared" si="219"/>
        <v>2.8504412107442598</v>
      </c>
      <c r="BP198" s="140">
        <f t="shared" si="219"/>
        <v>2.8504412107442598</v>
      </c>
      <c r="BQ198" s="140">
        <f t="shared" si="219"/>
        <v>2.8504412107442598</v>
      </c>
      <c r="BR198" s="140">
        <f t="shared" si="219"/>
        <v>2.8504412107442598</v>
      </c>
    </row>
    <row r="199" spans="1:70" ht="15">
      <c r="A199" t="s">
        <v>16</v>
      </c>
      <c r="B199" s="75" t="str">
        <f t="shared" si="215"/>
        <v>CNK</v>
      </c>
      <c r="C199" s="75" t="str">
        <f t="shared" si="215"/>
        <v>Commercial - Cooking</v>
      </c>
      <c r="E199" s="94"/>
      <c r="F199" s="94"/>
      <c r="I199" s="138"/>
      <c r="J199" s="95"/>
      <c r="K199" s="95"/>
      <c r="L199" s="140">
        <f t="shared" si="216"/>
        <v>0</v>
      </c>
      <c r="M199" s="140">
        <f t="shared" si="216"/>
        <v>0</v>
      </c>
      <c r="N199" s="140">
        <f t="shared" si="216"/>
        <v>0</v>
      </c>
      <c r="O199" s="140">
        <f t="shared" si="216"/>
        <v>0</v>
      </c>
      <c r="P199" s="140">
        <f t="shared" si="216"/>
        <v>0</v>
      </c>
      <c r="Q199" s="140">
        <f t="shared" si="216"/>
        <v>0</v>
      </c>
      <c r="R199" s="140">
        <f t="shared" si="216"/>
        <v>0</v>
      </c>
      <c r="S199" s="140">
        <f t="shared" si="216"/>
        <v>0</v>
      </c>
      <c r="T199" s="140">
        <f t="shared" si="216"/>
        <v>0</v>
      </c>
      <c r="U199" s="140">
        <f t="shared" si="216"/>
        <v>0</v>
      </c>
      <c r="V199" s="140">
        <f t="shared" si="216"/>
        <v>0</v>
      </c>
      <c r="W199" s="140">
        <f t="shared" si="216"/>
        <v>0</v>
      </c>
      <c r="X199" s="140">
        <f t="shared" si="216"/>
        <v>0</v>
      </c>
      <c r="Y199" s="140">
        <f t="shared" si="216"/>
        <v>0</v>
      </c>
      <c r="Z199" s="140">
        <f t="shared" si="216"/>
        <v>0</v>
      </c>
      <c r="AA199" s="140">
        <f t="shared" si="216"/>
        <v>0</v>
      </c>
      <c r="AB199" s="140">
        <f t="shared" si="217"/>
        <v>0</v>
      </c>
      <c r="AC199" s="140">
        <f t="shared" si="217"/>
        <v>0</v>
      </c>
      <c r="AD199" s="140">
        <f t="shared" si="217"/>
        <v>0</v>
      </c>
      <c r="AE199" s="140">
        <f t="shared" si="217"/>
        <v>0.20290423001909802</v>
      </c>
      <c r="AF199" s="140">
        <f t="shared" si="217"/>
        <v>0.41052757928728451</v>
      </c>
      <c r="AG199" s="140">
        <f t="shared" si="217"/>
        <v>0.62212983286645018</v>
      </c>
      <c r="AH199" s="140">
        <f t="shared" si="217"/>
        <v>0.83422801285290227</v>
      </c>
      <c r="AI199" s="140">
        <f t="shared" si="217"/>
        <v>1.0454067166869505</v>
      </c>
      <c r="AJ199" s="140">
        <f t="shared" si="217"/>
        <v>1.2548565523502282</v>
      </c>
      <c r="AK199" s="140">
        <f t="shared" si="217"/>
        <v>1.4674649604659811</v>
      </c>
      <c r="AL199" s="140">
        <f t="shared" si="217"/>
        <v>1.6833782498013543</v>
      </c>
      <c r="AM199" s="140">
        <f t="shared" si="217"/>
        <v>1.9055394728784101</v>
      </c>
      <c r="AN199" s="140">
        <f t="shared" si="217"/>
        <v>2.1302985436191251</v>
      </c>
      <c r="AO199" s="140">
        <f t="shared" si="217"/>
        <v>2.1302985436191251</v>
      </c>
      <c r="AP199" s="140">
        <f t="shared" si="218"/>
        <v>2.1302985436191251</v>
      </c>
      <c r="AQ199" s="140">
        <f t="shared" si="218"/>
        <v>2.1302985436191251</v>
      </c>
      <c r="AR199" s="140">
        <f t="shared" si="218"/>
        <v>2.1302985436191251</v>
      </c>
      <c r="AS199" s="140">
        <f t="shared" si="218"/>
        <v>2.1302985436191251</v>
      </c>
      <c r="AT199" s="140">
        <f t="shared" si="218"/>
        <v>2.1302985436191251</v>
      </c>
      <c r="AU199" s="140">
        <f t="shared" si="218"/>
        <v>2.1302985436191251</v>
      </c>
      <c r="AV199" s="140">
        <f t="shared" si="218"/>
        <v>2.1302985436191251</v>
      </c>
      <c r="AW199" s="140">
        <f t="shared" si="218"/>
        <v>2.1302985436191251</v>
      </c>
      <c r="AX199" s="140">
        <f t="shared" si="218"/>
        <v>2.1302985436191251</v>
      </c>
      <c r="AY199" s="140">
        <f t="shared" si="219"/>
        <v>2.1302985436191251</v>
      </c>
      <c r="AZ199" s="140">
        <f t="shared" si="219"/>
        <v>2.1302985436191251</v>
      </c>
      <c r="BA199" s="140">
        <f t="shared" si="219"/>
        <v>2.1302985436191251</v>
      </c>
      <c r="BB199" s="140">
        <f t="shared" si="219"/>
        <v>2.1302985436191251</v>
      </c>
      <c r="BC199" s="140">
        <f t="shared" si="219"/>
        <v>2.1302985436191251</v>
      </c>
      <c r="BD199" s="140">
        <f t="shared" si="219"/>
        <v>2.1302985436191251</v>
      </c>
      <c r="BE199" s="140">
        <f t="shared" si="219"/>
        <v>2.1302985436191251</v>
      </c>
      <c r="BF199" s="140">
        <f t="shared" si="219"/>
        <v>2.1302985436191251</v>
      </c>
      <c r="BG199" s="140">
        <f t="shared" si="219"/>
        <v>2.1302985436191251</v>
      </c>
      <c r="BH199" s="140">
        <f t="shared" si="219"/>
        <v>2.1302985436191251</v>
      </c>
      <c r="BI199" s="140">
        <f t="shared" si="219"/>
        <v>2.1302985436191251</v>
      </c>
      <c r="BJ199" s="140">
        <f t="shared" si="219"/>
        <v>2.1302985436191251</v>
      </c>
      <c r="BK199" s="140">
        <f t="shared" si="219"/>
        <v>2.1302985436191251</v>
      </c>
      <c r="BL199" s="140">
        <f t="shared" si="219"/>
        <v>2.1302985436191251</v>
      </c>
      <c r="BM199" s="140">
        <f t="shared" si="219"/>
        <v>2.1302985436191251</v>
      </c>
      <c r="BN199" s="140">
        <f t="shared" si="219"/>
        <v>2.1302985436191251</v>
      </c>
      <c r="BO199" s="140">
        <f t="shared" si="219"/>
        <v>2.1302985436191251</v>
      </c>
      <c r="BP199" s="140">
        <f t="shared" si="219"/>
        <v>2.1302985436191251</v>
      </c>
      <c r="BQ199" s="140">
        <f t="shared" si="219"/>
        <v>2.1302985436191251</v>
      </c>
      <c r="BR199" s="140">
        <f t="shared" si="219"/>
        <v>2.1302985436191251</v>
      </c>
    </row>
    <row r="200" spans="1:70" ht="15">
      <c r="A200" t="s">
        <v>16</v>
      </c>
      <c r="B200" s="75" t="str">
        <f t="shared" si="215"/>
        <v>CNL</v>
      </c>
      <c r="C200" s="75" t="str">
        <f t="shared" si="215"/>
        <v>Commercial - Lighting</v>
      </c>
      <c r="E200" s="94"/>
      <c r="F200" s="94"/>
      <c r="I200" s="138"/>
      <c r="J200" s="95"/>
      <c r="K200" s="95"/>
      <c r="L200" s="140">
        <f t="shared" si="216"/>
        <v>0</v>
      </c>
      <c r="M200" s="140">
        <f t="shared" si="216"/>
        <v>0</v>
      </c>
      <c r="N200" s="140">
        <f t="shared" si="216"/>
        <v>0</v>
      </c>
      <c r="O200" s="140">
        <f t="shared" si="216"/>
        <v>0</v>
      </c>
      <c r="P200" s="140">
        <f t="shared" si="216"/>
        <v>0</v>
      </c>
      <c r="Q200" s="140">
        <f t="shared" si="216"/>
        <v>0</v>
      </c>
      <c r="R200" s="140">
        <f t="shared" si="216"/>
        <v>0</v>
      </c>
      <c r="S200" s="140">
        <f t="shared" si="216"/>
        <v>0</v>
      </c>
      <c r="T200" s="140">
        <f t="shared" si="216"/>
        <v>0</v>
      </c>
      <c r="U200" s="140">
        <f t="shared" si="216"/>
        <v>0</v>
      </c>
      <c r="V200" s="140">
        <f t="shared" si="216"/>
        <v>0</v>
      </c>
      <c r="W200" s="140">
        <f t="shared" si="216"/>
        <v>0</v>
      </c>
      <c r="X200" s="140">
        <f t="shared" si="216"/>
        <v>0</v>
      </c>
      <c r="Y200" s="140">
        <f t="shared" si="216"/>
        <v>0</v>
      </c>
      <c r="Z200" s="140">
        <f t="shared" si="216"/>
        <v>0</v>
      </c>
      <c r="AA200" s="140">
        <f t="shared" si="216"/>
        <v>0</v>
      </c>
      <c r="AB200" s="140">
        <f t="shared" si="217"/>
        <v>0</v>
      </c>
      <c r="AC200" s="140">
        <f t="shared" si="217"/>
        <v>0</v>
      </c>
      <c r="AD200" s="140">
        <f t="shared" si="217"/>
        <v>0</v>
      </c>
      <c r="AE200" s="140">
        <f t="shared" si="217"/>
        <v>2.5297684739980424</v>
      </c>
      <c r="AF200" s="140">
        <f t="shared" si="217"/>
        <v>5.1183739623858662</v>
      </c>
      <c r="AG200" s="140">
        <f t="shared" si="217"/>
        <v>7.756587616586808</v>
      </c>
      <c r="AH200" s="140">
        <f t="shared" si="217"/>
        <v>10.400984379885365</v>
      </c>
      <c r="AI200" s="140">
        <f t="shared" si="217"/>
        <v>13.033917302421582</v>
      </c>
      <c r="AJ200" s="140">
        <f t="shared" si="217"/>
        <v>15.645295049919302</v>
      </c>
      <c r="AK200" s="140">
        <f t="shared" si="217"/>
        <v>18.296053233262825</v>
      </c>
      <c r="AL200" s="140">
        <f t="shared" si="217"/>
        <v>20.988016000260998</v>
      </c>
      <c r="AM200" s="140">
        <f t="shared" si="217"/>
        <v>23.757876728311292</v>
      </c>
      <c r="AN200" s="140">
        <f t="shared" si="217"/>
        <v>26.560126890131169</v>
      </c>
      <c r="AO200" s="140">
        <f t="shared" si="217"/>
        <v>26.560126890131169</v>
      </c>
      <c r="AP200" s="140">
        <f t="shared" si="218"/>
        <v>26.560126890131169</v>
      </c>
      <c r="AQ200" s="140">
        <f t="shared" si="218"/>
        <v>26.560126890131169</v>
      </c>
      <c r="AR200" s="140">
        <f t="shared" si="218"/>
        <v>26.560126890131169</v>
      </c>
      <c r="AS200" s="140">
        <f t="shared" si="218"/>
        <v>26.560126890131169</v>
      </c>
      <c r="AT200" s="140">
        <f t="shared" si="218"/>
        <v>26.560126890131169</v>
      </c>
      <c r="AU200" s="140">
        <f t="shared" si="218"/>
        <v>26.560126890131169</v>
      </c>
      <c r="AV200" s="140">
        <f t="shared" si="218"/>
        <v>26.560126890131169</v>
      </c>
      <c r="AW200" s="140">
        <f t="shared" si="218"/>
        <v>26.560126890131169</v>
      </c>
      <c r="AX200" s="140">
        <f t="shared" si="218"/>
        <v>26.560126890131169</v>
      </c>
      <c r="AY200" s="140">
        <f t="shared" si="219"/>
        <v>26.560126890131169</v>
      </c>
      <c r="AZ200" s="140">
        <f t="shared" si="219"/>
        <v>26.560126890131169</v>
      </c>
      <c r="BA200" s="140">
        <f t="shared" si="219"/>
        <v>26.560126890131169</v>
      </c>
      <c r="BB200" s="140">
        <f t="shared" si="219"/>
        <v>26.560126890131169</v>
      </c>
      <c r="BC200" s="140">
        <f t="shared" si="219"/>
        <v>26.560126890131169</v>
      </c>
      <c r="BD200" s="140">
        <f t="shared" si="219"/>
        <v>26.560126890131169</v>
      </c>
      <c r="BE200" s="140">
        <f t="shared" si="219"/>
        <v>26.560126890131169</v>
      </c>
      <c r="BF200" s="140">
        <f t="shared" si="219"/>
        <v>26.560126890131169</v>
      </c>
      <c r="BG200" s="140">
        <f t="shared" si="219"/>
        <v>26.560126890131169</v>
      </c>
      <c r="BH200" s="140">
        <f t="shared" si="219"/>
        <v>26.560126890131169</v>
      </c>
      <c r="BI200" s="140">
        <f t="shared" si="219"/>
        <v>26.560126890131169</v>
      </c>
      <c r="BJ200" s="140">
        <f t="shared" si="219"/>
        <v>26.560126890131169</v>
      </c>
      <c r="BK200" s="140">
        <f t="shared" si="219"/>
        <v>26.560126890131169</v>
      </c>
      <c r="BL200" s="140">
        <f t="shared" si="219"/>
        <v>26.560126890131169</v>
      </c>
      <c r="BM200" s="140">
        <f t="shared" si="219"/>
        <v>26.560126890131169</v>
      </c>
      <c r="BN200" s="140">
        <f t="shared" si="219"/>
        <v>26.560126890131169</v>
      </c>
      <c r="BO200" s="140">
        <f t="shared" si="219"/>
        <v>26.560126890131169</v>
      </c>
      <c r="BP200" s="140">
        <f t="shared" si="219"/>
        <v>26.560126890131169</v>
      </c>
      <c r="BQ200" s="140">
        <f t="shared" si="219"/>
        <v>26.560126890131169</v>
      </c>
      <c r="BR200" s="140">
        <f t="shared" si="219"/>
        <v>26.560126890131169</v>
      </c>
    </row>
    <row r="201" spans="1:70" ht="15">
      <c r="A201" t="s">
        <v>16</v>
      </c>
      <c r="B201" s="75" t="str">
        <f t="shared" si="215"/>
        <v>CNR</v>
      </c>
      <c r="C201" s="75" t="str">
        <f t="shared" si="215"/>
        <v>Commercial - Refrigeration</v>
      </c>
      <c r="E201" s="94"/>
      <c r="F201" s="94"/>
      <c r="I201" s="138"/>
      <c r="J201" s="95"/>
      <c r="K201" s="95"/>
      <c r="L201" s="140">
        <f t="shared" si="216"/>
        <v>0</v>
      </c>
      <c r="M201" s="140">
        <f t="shared" si="216"/>
        <v>0</v>
      </c>
      <c r="N201" s="140">
        <f t="shared" si="216"/>
        <v>0</v>
      </c>
      <c r="O201" s="140">
        <f t="shared" si="216"/>
        <v>0</v>
      </c>
      <c r="P201" s="140">
        <f t="shared" si="216"/>
        <v>0</v>
      </c>
      <c r="Q201" s="140">
        <f t="shared" si="216"/>
        <v>0</v>
      </c>
      <c r="R201" s="140">
        <f t="shared" si="216"/>
        <v>0</v>
      </c>
      <c r="S201" s="140">
        <f t="shared" si="216"/>
        <v>0</v>
      </c>
      <c r="T201" s="140">
        <f t="shared" si="216"/>
        <v>0</v>
      </c>
      <c r="U201" s="140">
        <f t="shared" si="216"/>
        <v>0</v>
      </c>
      <c r="V201" s="140">
        <f t="shared" si="216"/>
        <v>0</v>
      </c>
      <c r="W201" s="140">
        <f t="shared" si="216"/>
        <v>0</v>
      </c>
      <c r="X201" s="140">
        <f t="shared" si="216"/>
        <v>0</v>
      </c>
      <c r="Y201" s="140">
        <f t="shared" si="216"/>
        <v>0</v>
      </c>
      <c r="Z201" s="140">
        <f t="shared" si="216"/>
        <v>0</v>
      </c>
      <c r="AA201" s="140">
        <f t="shared" si="216"/>
        <v>0</v>
      </c>
      <c r="AB201" s="140">
        <f t="shared" si="217"/>
        <v>0</v>
      </c>
      <c r="AC201" s="140">
        <f t="shared" si="217"/>
        <v>0</v>
      </c>
      <c r="AD201" s="140">
        <f t="shared" si="217"/>
        <v>0</v>
      </c>
      <c r="AE201" s="140">
        <f t="shared" si="217"/>
        <v>0.61540196582301543</v>
      </c>
      <c r="AF201" s="140">
        <f t="shared" si="217"/>
        <v>1.2451168676679607</v>
      </c>
      <c r="AG201" s="140">
        <f t="shared" si="217"/>
        <v>1.8868996575730408</v>
      </c>
      <c r="AH201" s="140">
        <f t="shared" si="217"/>
        <v>2.5301865762285107</v>
      </c>
      <c r="AI201" s="140">
        <f t="shared" si="217"/>
        <v>3.1706847534582185</v>
      </c>
      <c r="AJ201" s="140">
        <f t="shared" si="217"/>
        <v>3.8059393294537838</v>
      </c>
      <c r="AK201" s="140">
        <f t="shared" si="217"/>
        <v>4.4507737535198624</v>
      </c>
      <c r="AL201" s="140">
        <f t="shared" si="217"/>
        <v>5.10563177541421</v>
      </c>
      <c r="AM201" s="140">
        <f t="shared" si="217"/>
        <v>5.7794395782303329</v>
      </c>
      <c r="AN201" s="140">
        <f t="shared" si="217"/>
        <v>6.4611265689715864</v>
      </c>
      <c r="AO201" s="140">
        <f t="shared" si="217"/>
        <v>6.4611265689715864</v>
      </c>
      <c r="AP201" s="140">
        <f t="shared" si="218"/>
        <v>6.4611265689715864</v>
      </c>
      <c r="AQ201" s="140">
        <f t="shared" si="218"/>
        <v>6.4611265689715864</v>
      </c>
      <c r="AR201" s="140">
        <f t="shared" si="218"/>
        <v>6.4611265689715864</v>
      </c>
      <c r="AS201" s="140">
        <f t="shared" si="218"/>
        <v>6.4611265689715864</v>
      </c>
      <c r="AT201" s="140">
        <f t="shared" si="218"/>
        <v>6.4611265689715864</v>
      </c>
      <c r="AU201" s="140">
        <f t="shared" si="218"/>
        <v>6.4611265689715864</v>
      </c>
      <c r="AV201" s="140">
        <f t="shared" si="218"/>
        <v>6.4611265689715864</v>
      </c>
      <c r="AW201" s="140">
        <f t="shared" si="218"/>
        <v>6.4611265689715864</v>
      </c>
      <c r="AX201" s="140">
        <f t="shared" si="218"/>
        <v>6.4611265689715864</v>
      </c>
      <c r="AY201" s="140">
        <f t="shared" si="219"/>
        <v>6.4611265689715864</v>
      </c>
      <c r="AZ201" s="140">
        <f t="shared" si="219"/>
        <v>6.4611265689715864</v>
      </c>
      <c r="BA201" s="140">
        <f t="shared" si="219"/>
        <v>6.4611265689715864</v>
      </c>
      <c r="BB201" s="140">
        <f t="shared" si="219"/>
        <v>6.4611265689715864</v>
      </c>
      <c r="BC201" s="140">
        <f t="shared" si="219"/>
        <v>6.4611265689715864</v>
      </c>
      <c r="BD201" s="140">
        <f t="shared" si="219"/>
        <v>6.4611265689715864</v>
      </c>
      <c r="BE201" s="140">
        <f t="shared" si="219"/>
        <v>6.4611265689715864</v>
      </c>
      <c r="BF201" s="140">
        <f t="shared" si="219"/>
        <v>6.4611265689715864</v>
      </c>
      <c r="BG201" s="140">
        <f t="shared" si="219"/>
        <v>6.4611265689715864</v>
      </c>
      <c r="BH201" s="140">
        <f t="shared" si="219"/>
        <v>6.4611265689715864</v>
      </c>
      <c r="BI201" s="140">
        <f t="shared" si="219"/>
        <v>6.4611265689715864</v>
      </c>
      <c r="BJ201" s="140">
        <f t="shared" si="219"/>
        <v>6.4611265689715864</v>
      </c>
      <c r="BK201" s="140">
        <f t="shared" si="219"/>
        <v>6.4611265689715864</v>
      </c>
      <c r="BL201" s="140">
        <f t="shared" si="219"/>
        <v>6.4611265689715864</v>
      </c>
      <c r="BM201" s="140">
        <f t="shared" si="219"/>
        <v>6.4611265689715864</v>
      </c>
      <c r="BN201" s="140">
        <f t="shared" si="219"/>
        <v>6.4611265689715864</v>
      </c>
      <c r="BO201" s="140">
        <f t="shared" si="219"/>
        <v>6.4611265689715864</v>
      </c>
      <c r="BP201" s="140">
        <f t="shared" si="219"/>
        <v>6.4611265689715864</v>
      </c>
      <c r="BQ201" s="140">
        <f t="shared" si="219"/>
        <v>6.4611265689715864</v>
      </c>
      <c r="BR201" s="140">
        <f t="shared" si="219"/>
        <v>6.4611265689715864</v>
      </c>
    </row>
    <row r="202" spans="1:70" ht="15">
      <c r="A202" t="s">
        <v>16</v>
      </c>
      <c r="B202" s="75" t="str">
        <f t="shared" si="215"/>
        <v>CNW</v>
      </c>
      <c r="C202" s="75" t="str">
        <f t="shared" si="215"/>
        <v>Commercial - Water Heating</v>
      </c>
      <c r="E202" s="94"/>
      <c r="F202" s="94"/>
      <c r="I202" s="138"/>
      <c r="J202" s="95"/>
      <c r="K202" s="95"/>
      <c r="L202" s="140">
        <f t="shared" si="216"/>
        <v>0</v>
      </c>
      <c r="M202" s="140">
        <f t="shared" si="216"/>
        <v>0</v>
      </c>
      <c r="N202" s="140">
        <f t="shared" si="216"/>
        <v>0</v>
      </c>
      <c r="O202" s="140">
        <f t="shared" si="216"/>
        <v>0</v>
      </c>
      <c r="P202" s="140">
        <f t="shared" si="216"/>
        <v>0</v>
      </c>
      <c r="Q202" s="140">
        <f t="shared" si="216"/>
        <v>0</v>
      </c>
      <c r="R202" s="140">
        <f t="shared" si="216"/>
        <v>0</v>
      </c>
      <c r="S202" s="140">
        <f t="shared" si="216"/>
        <v>0</v>
      </c>
      <c r="T202" s="140">
        <f t="shared" si="216"/>
        <v>0</v>
      </c>
      <c r="U202" s="140">
        <f t="shared" si="216"/>
        <v>0</v>
      </c>
      <c r="V202" s="140">
        <f t="shared" si="216"/>
        <v>0</v>
      </c>
      <c r="W202" s="140">
        <f t="shared" si="216"/>
        <v>0</v>
      </c>
      <c r="X202" s="140">
        <f t="shared" si="216"/>
        <v>0</v>
      </c>
      <c r="Y202" s="140">
        <f t="shared" si="216"/>
        <v>0</v>
      </c>
      <c r="Z202" s="140">
        <f t="shared" si="216"/>
        <v>0</v>
      </c>
      <c r="AA202" s="140">
        <f t="shared" si="216"/>
        <v>0</v>
      </c>
      <c r="AB202" s="140">
        <f t="shared" si="217"/>
        <v>0</v>
      </c>
      <c r="AC202" s="140">
        <f t="shared" si="217"/>
        <v>0</v>
      </c>
      <c r="AD202" s="140">
        <f t="shared" si="217"/>
        <v>0</v>
      </c>
      <c r="AE202" s="140">
        <f t="shared" si="217"/>
        <v>0.32580925752183904</v>
      </c>
      <c r="AF202" s="140">
        <f t="shared" si="217"/>
        <v>0.65919614286621186</v>
      </c>
      <c r="AG202" s="140">
        <f t="shared" si="217"/>
        <v>0.99897207125413578</v>
      </c>
      <c r="AH202" s="140">
        <f t="shared" si="217"/>
        <v>1.3395443231811412</v>
      </c>
      <c r="AI202" s="140">
        <f t="shared" si="217"/>
        <v>1.6786401453535991</v>
      </c>
      <c r="AJ202" s="140">
        <f t="shared" si="217"/>
        <v>2.0149598733311813</v>
      </c>
      <c r="AK202" s="140">
        <f t="shared" si="217"/>
        <v>2.3563514134906622</v>
      </c>
      <c r="AL202" s="140">
        <f t="shared" si="217"/>
        <v>2.7030496980992917</v>
      </c>
      <c r="AM202" s="140">
        <f t="shared" si="217"/>
        <v>3.0597804726822875</v>
      </c>
      <c r="AN202" s="140">
        <f t="shared" si="217"/>
        <v>3.4206826872513889</v>
      </c>
      <c r="AO202" s="140">
        <f t="shared" si="217"/>
        <v>3.4206826872513889</v>
      </c>
      <c r="AP202" s="140">
        <f t="shared" si="218"/>
        <v>3.4206826872513889</v>
      </c>
      <c r="AQ202" s="140">
        <f t="shared" si="218"/>
        <v>3.4206826872513889</v>
      </c>
      <c r="AR202" s="140">
        <f t="shared" si="218"/>
        <v>3.4206826872513889</v>
      </c>
      <c r="AS202" s="140">
        <f t="shared" si="218"/>
        <v>3.4206826872513889</v>
      </c>
      <c r="AT202" s="140">
        <f t="shared" si="218"/>
        <v>3.4206826872513889</v>
      </c>
      <c r="AU202" s="140">
        <f t="shared" si="218"/>
        <v>3.4206826872513889</v>
      </c>
      <c r="AV202" s="140">
        <f t="shared" si="218"/>
        <v>3.4206826872513889</v>
      </c>
      <c r="AW202" s="140">
        <f t="shared" si="218"/>
        <v>3.4206826872513889</v>
      </c>
      <c r="AX202" s="140">
        <f t="shared" si="218"/>
        <v>3.4206826872513889</v>
      </c>
      <c r="AY202" s="140">
        <f t="shared" si="219"/>
        <v>3.4206826872513889</v>
      </c>
      <c r="AZ202" s="140">
        <f t="shared" si="219"/>
        <v>3.4206826872513889</v>
      </c>
      <c r="BA202" s="140">
        <f t="shared" si="219"/>
        <v>3.4206826872513889</v>
      </c>
      <c r="BB202" s="140">
        <f t="shared" si="219"/>
        <v>3.4206826872513889</v>
      </c>
      <c r="BC202" s="140">
        <f t="shared" si="219"/>
        <v>3.4206826872513889</v>
      </c>
      <c r="BD202" s="140">
        <f t="shared" si="219"/>
        <v>3.4206826872513889</v>
      </c>
      <c r="BE202" s="140">
        <f t="shared" si="219"/>
        <v>3.4206826872513889</v>
      </c>
      <c r="BF202" s="140">
        <f t="shared" si="219"/>
        <v>3.4206826872513889</v>
      </c>
      <c r="BG202" s="140">
        <f t="shared" si="219"/>
        <v>3.4206826872513889</v>
      </c>
      <c r="BH202" s="140">
        <f t="shared" si="219"/>
        <v>3.4206826872513889</v>
      </c>
      <c r="BI202" s="140">
        <f t="shared" si="219"/>
        <v>3.4206826872513889</v>
      </c>
      <c r="BJ202" s="140">
        <f t="shared" si="219"/>
        <v>3.4206826872513889</v>
      </c>
      <c r="BK202" s="140">
        <f t="shared" si="219"/>
        <v>3.4206826872513889</v>
      </c>
      <c r="BL202" s="140">
        <f t="shared" si="219"/>
        <v>3.4206826872513889</v>
      </c>
      <c r="BM202" s="140">
        <f t="shared" si="219"/>
        <v>3.4206826872513889</v>
      </c>
      <c r="BN202" s="140">
        <f t="shared" si="219"/>
        <v>3.4206826872513889</v>
      </c>
      <c r="BO202" s="140">
        <f t="shared" si="219"/>
        <v>3.4206826872513889</v>
      </c>
      <c r="BP202" s="140">
        <f t="shared" si="219"/>
        <v>3.4206826872513889</v>
      </c>
      <c r="BQ202" s="140">
        <f t="shared" si="219"/>
        <v>3.4206826872513889</v>
      </c>
      <c r="BR202" s="140">
        <f t="shared" si="219"/>
        <v>3.4206826872513889</v>
      </c>
    </row>
    <row r="203" spans="1:70" ht="15">
      <c r="A203" t="s">
        <v>16</v>
      </c>
      <c r="B203" s="75" t="str">
        <f t="shared" si="215"/>
        <v>CNG</v>
      </c>
      <c r="C203" s="75" t="str">
        <f t="shared" si="215"/>
        <v>Commercial - Public lights</v>
      </c>
      <c r="E203" s="94"/>
      <c r="F203" s="94"/>
      <c r="I203" s="138"/>
      <c r="J203" s="95"/>
      <c r="K203" s="95"/>
      <c r="L203" s="140">
        <f t="shared" si="216"/>
        <v>0</v>
      </c>
      <c r="M203" s="140">
        <f t="shared" si="216"/>
        <v>0</v>
      </c>
      <c r="N203" s="140">
        <f t="shared" si="216"/>
        <v>0</v>
      </c>
      <c r="O203" s="140">
        <f t="shared" si="216"/>
        <v>0</v>
      </c>
      <c r="P203" s="140">
        <f t="shared" si="216"/>
        <v>0</v>
      </c>
      <c r="Q203" s="140">
        <f t="shared" si="216"/>
        <v>0</v>
      </c>
      <c r="R203" s="140">
        <f t="shared" si="216"/>
        <v>0</v>
      </c>
      <c r="S203" s="140">
        <f t="shared" si="216"/>
        <v>0</v>
      </c>
      <c r="T203" s="140">
        <f t="shared" si="216"/>
        <v>0</v>
      </c>
      <c r="U203" s="140">
        <f t="shared" si="216"/>
        <v>0</v>
      </c>
      <c r="V203" s="140">
        <f t="shared" si="216"/>
        <v>0</v>
      </c>
      <c r="W203" s="140">
        <f t="shared" si="216"/>
        <v>0</v>
      </c>
      <c r="X203" s="140">
        <f t="shared" si="216"/>
        <v>0</v>
      </c>
      <c r="Y203" s="140">
        <f t="shared" si="216"/>
        <v>0</v>
      </c>
      <c r="Z203" s="140">
        <f t="shared" si="216"/>
        <v>0</v>
      </c>
      <c r="AA203" s="140">
        <f t="shared" si="216"/>
        <v>0</v>
      </c>
      <c r="AB203" s="140">
        <f t="shared" si="217"/>
        <v>0</v>
      </c>
      <c r="AC203" s="140">
        <f t="shared" si="217"/>
        <v>0</v>
      </c>
      <c r="AD203" s="140">
        <f t="shared" si="217"/>
        <v>0</v>
      </c>
      <c r="AE203" s="140">
        <f t="shared" si="217"/>
        <v>0</v>
      </c>
      <c r="AF203" s="140">
        <f t="shared" si="217"/>
        <v>0</v>
      </c>
      <c r="AG203" s="140">
        <f t="shared" si="217"/>
        <v>0</v>
      </c>
      <c r="AH203" s="140">
        <f t="shared" si="217"/>
        <v>0</v>
      </c>
      <c r="AI203" s="140">
        <f t="shared" si="217"/>
        <v>0</v>
      </c>
      <c r="AJ203" s="140">
        <f t="shared" si="217"/>
        <v>0</v>
      </c>
      <c r="AK203" s="140">
        <f t="shared" si="217"/>
        <v>0</v>
      </c>
      <c r="AL203" s="140">
        <f t="shared" si="217"/>
        <v>0</v>
      </c>
      <c r="AM203" s="140">
        <f t="shared" si="217"/>
        <v>0</v>
      </c>
      <c r="AN203" s="140">
        <f t="shared" si="217"/>
        <v>0</v>
      </c>
      <c r="AO203" s="140">
        <f t="shared" si="217"/>
        <v>0</v>
      </c>
      <c r="AP203" s="140">
        <f t="shared" si="218"/>
        <v>0</v>
      </c>
      <c r="AQ203" s="140">
        <f t="shared" si="218"/>
        <v>0</v>
      </c>
      <c r="AR203" s="140">
        <f t="shared" si="218"/>
        <v>0</v>
      </c>
      <c r="AS203" s="140">
        <f t="shared" si="218"/>
        <v>0</v>
      </c>
      <c r="AT203" s="140">
        <f t="shared" si="218"/>
        <v>0</v>
      </c>
      <c r="AU203" s="140">
        <f t="shared" si="218"/>
        <v>0</v>
      </c>
      <c r="AV203" s="140">
        <f t="shared" si="218"/>
        <v>0</v>
      </c>
      <c r="AW203" s="140">
        <f t="shared" si="218"/>
        <v>0</v>
      </c>
      <c r="AX203" s="140">
        <f t="shared" si="218"/>
        <v>0</v>
      </c>
      <c r="AY203" s="140">
        <f t="shared" si="219"/>
        <v>0</v>
      </c>
      <c r="AZ203" s="140">
        <f t="shared" si="219"/>
        <v>0</v>
      </c>
      <c r="BA203" s="140">
        <f t="shared" si="219"/>
        <v>0</v>
      </c>
      <c r="BB203" s="140">
        <f t="shared" si="219"/>
        <v>0</v>
      </c>
      <c r="BC203" s="140">
        <f t="shared" si="219"/>
        <v>0</v>
      </c>
      <c r="BD203" s="140">
        <f t="shared" si="219"/>
        <v>0</v>
      </c>
      <c r="BE203" s="140">
        <f t="shared" si="219"/>
        <v>0</v>
      </c>
      <c r="BF203" s="140">
        <f t="shared" si="219"/>
        <v>0</v>
      </c>
      <c r="BG203" s="140">
        <f t="shared" si="219"/>
        <v>0</v>
      </c>
      <c r="BH203" s="140">
        <f t="shared" si="219"/>
        <v>0</v>
      </c>
      <c r="BI203" s="140">
        <f t="shared" si="219"/>
        <v>0</v>
      </c>
      <c r="BJ203" s="140">
        <f t="shared" si="219"/>
        <v>0</v>
      </c>
      <c r="BK203" s="140">
        <f t="shared" si="219"/>
        <v>0</v>
      </c>
      <c r="BL203" s="140">
        <f t="shared" si="219"/>
        <v>0</v>
      </c>
      <c r="BM203" s="140">
        <f t="shared" si="219"/>
        <v>0</v>
      </c>
      <c r="BN203" s="140">
        <f t="shared" si="219"/>
        <v>0</v>
      </c>
      <c r="BO203" s="140">
        <f t="shared" si="219"/>
        <v>0</v>
      </c>
      <c r="BP203" s="140">
        <f t="shared" si="219"/>
        <v>0</v>
      </c>
      <c r="BQ203" s="140">
        <f t="shared" si="219"/>
        <v>0</v>
      </c>
      <c r="BR203" s="140">
        <f t="shared" si="219"/>
        <v>0</v>
      </c>
    </row>
    <row r="204" spans="1:70" ht="15">
      <c r="A204" t="s">
        <v>16</v>
      </c>
      <c r="B204" s="75" t="str">
        <f t="shared" si="215"/>
        <v>CNT</v>
      </c>
      <c r="C204" s="75" t="str">
        <f t="shared" si="215"/>
        <v>Commercial - Public Water</v>
      </c>
      <c r="E204" s="94"/>
      <c r="F204" s="94"/>
      <c r="I204" s="138"/>
      <c r="J204" s="95"/>
      <c r="K204" s="95"/>
      <c r="L204" s="140">
        <f t="shared" si="216"/>
        <v>0</v>
      </c>
      <c r="M204" s="140">
        <f t="shared" si="216"/>
        <v>0</v>
      </c>
      <c r="N204" s="140">
        <f t="shared" si="216"/>
        <v>0</v>
      </c>
      <c r="O204" s="140">
        <f t="shared" si="216"/>
        <v>0</v>
      </c>
      <c r="P204" s="140">
        <f t="shared" si="216"/>
        <v>0</v>
      </c>
      <c r="Q204" s="140">
        <f t="shared" si="216"/>
        <v>0</v>
      </c>
      <c r="R204" s="140">
        <f t="shared" si="216"/>
        <v>0</v>
      </c>
      <c r="S204" s="140">
        <f t="shared" si="216"/>
        <v>0</v>
      </c>
      <c r="T204" s="140">
        <f t="shared" si="216"/>
        <v>0</v>
      </c>
      <c r="U204" s="140">
        <f t="shared" si="216"/>
        <v>0</v>
      </c>
      <c r="V204" s="140">
        <f t="shared" si="216"/>
        <v>0</v>
      </c>
      <c r="W204" s="140">
        <f t="shared" si="216"/>
        <v>0</v>
      </c>
      <c r="X204" s="140">
        <f t="shared" si="216"/>
        <v>0</v>
      </c>
      <c r="Y204" s="140">
        <f t="shared" si="216"/>
        <v>0</v>
      </c>
      <c r="Z204" s="140">
        <f t="shared" si="216"/>
        <v>0</v>
      </c>
      <c r="AA204" s="140">
        <f t="shared" si="216"/>
        <v>0</v>
      </c>
      <c r="AB204" s="140">
        <f t="shared" si="217"/>
        <v>0</v>
      </c>
      <c r="AC204" s="140">
        <f t="shared" si="217"/>
        <v>0</v>
      </c>
      <c r="AD204" s="140">
        <f t="shared" si="217"/>
        <v>0</v>
      </c>
      <c r="AE204" s="140">
        <f t="shared" si="217"/>
        <v>0</v>
      </c>
      <c r="AF204" s="140">
        <f t="shared" si="217"/>
        <v>0</v>
      </c>
      <c r="AG204" s="140">
        <f t="shared" si="217"/>
        <v>0</v>
      </c>
      <c r="AH204" s="140">
        <f t="shared" si="217"/>
        <v>0</v>
      </c>
      <c r="AI204" s="140">
        <f t="shared" si="217"/>
        <v>0</v>
      </c>
      <c r="AJ204" s="140">
        <f t="shared" si="217"/>
        <v>0</v>
      </c>
      <c r="AK204" s="140">
        <f t="shared" si="217"/>
        <v>0</v>
      </c>
      <c r="AL204" s="140">
        <f t="shared" si="217"/>
        <v>0</v>
      </c>
      <c r="AM204" s="140">
        <f t="shared" si="217"/>
        <v>0</v>
      </c>
      <c r="AN204" s="140">
        <f t="shared" si="217"/>
        <v>0</v>
      </c>
      <c r="AO204" s="140">
        <f t="shared" si="217"/>
        <v>0</v>
      </c>
      <c r="AP204" s="140">
        <f t="shared" si="218"/>
        <v>0</v>
      </c>
      <c r="AQ204" s="140">
        <f t="shared" si="218"/>
        <v>0</v>
      </c>
      <c r="AR204" s="140">
        <f t="shared" si="218"/>
        <v>0</v>
      </c>
      <c r="AS204" s="140">
        <f t="shared" si="218"/>
        <v>0</v>
      </c>
      <c r="AT204" s="140">
        <f t="shared" si="218"/>
        <v>0</v>
      </c>
      <c r="AU204" s="140">
        <f t="shared" si="218"/>
        <v>0</v>
      </c>
      <c r="AV204" s="140">
        <f t="shared" si="218"/>
        <v>0</v>
      </c>
      <c r="AW204" s="140">
        <f t="shared" si="218"/>
        <v>0</v>
      </c>
      <c r="AX204" s="140">
        <f t="shared" si="218"/>
        <v>0</v>
      </c>
      <c r="AY204" s="140">
        <f t="shared" si="220" ref="AY204:BR205">INDEX(AY$49:AY$52,MATCH($I$196,$B$49:$B$52,0),1)*INDEX(AY$81:AY$89,MATCH($B204,$B$81:$B$89,0))*INDEX(AY$127:AY$135,MATCH($B204,$B$127:$B$135,0))/1000</f>
        <v>0</v>
      </c>
      <c r="AZ204" s="140">
        <f t="shared" si="220"/>
        <v>0</v>
      </c>
      <c r="BA204" s="140">
        <f t="shared" si="220"/>
        <v>0</v>
      </c>
      <c r="BB204" s="140">
        <f t="shared" si="220"/>
        <v>0</v>
      </c>
      <c r="BC204" s="140">
        <f t="shared" si="220"/>
        <v>0</v>
      </c>
      <c r="BD204" s="140">
        <f t="shared" si="220"/>
        <v>0</v>
      </c>
      <c r="BE204" s="140">
        <f t="shared" si="220"/>
        <v>0</v>
      </c>
      <c r="BF204" s="140">
        <f t="shared" si="220"/>
        <v>0</v>
      </c>
      <c r="BG204" s="140">
        <f t="shared" si="220"/>
        <v>0</v>
      </c>
      <c r="BH204" s="140">
        <f t="shared" si="220"/>
        <v>0</v>
      </c>
      <c r="BI204" s="140">
        <f t="shared" si="220"/>
        <v>0</v>
      </c>
      <c r="BJ204" s="140">
        <f t="shared" si="220"/>
        <v>0</v>
      </c>
      <c r="BK204" s="140">
        <f t="shared" si="220"/>
        <v>0</v>
      </c>
      <c r="BL204" s="140">
        <f t="shared" si="220"/>
        <v>0</v>
      </c>
      <c r="BM204" s="140">
        <f t="shared" si="220"/>
        <v>0</v>
      </c>
      <c r="BN204" s="140">
        <f t="shared" si="220"/>
        <v>0</v>
      </c>
      <c r="BO204" s="140">
        <f t="shared" si="220"/>
        <v>0</v>
      </c>
      <c r="BP204" s="140">
        <f t="shared" si="220"/>
        <v>0</v>
      </c>
      <c r="BQ204" s="140">
        <f t="shared" si="220"/>
        <v>0</v>
      </c>
      <c r="BR204" s="140">
        <f t="shared" si="220"/>
        <v>0</v>
      </c>
    </row>
    <row r="205" spans="1:70" ht="15">
      <c r="A205" t="s">
        <v>16</v>
      </c>
      <c r="B205" s="75" t="str">
        <f t="shared" si="215"/>
        <v>CNO</v>
      </c>
      <c r="C205" s="75" t="str">
        <f t="shared" si="215"/>
        <v>Commercial - Other</v>
      </c>
      <c r="E205" s="94"/>
      <c r="F205" s="94"/>
      <c r="I205" s="138"/>
      <c r="J205" s="95"/>
      <c r="K205" s="95"/>
      <c r="L205" s="140">
        <f t="shared" si="216"/>
        <v>0</v>
      </c>
      <c r="M205" s="140">
        <f t="shared" si="216"/>
        <v>0</v>
      </c>
      <c r="N205" s="140">
        <f t="shared" si="216"/>
        <v>0</v>
      </c>
      <c r="O205" s="140">
        <f t="shared" si="216"/>
        <v>0</v>
      </c>
      <c r="P205" s="140">
        <f t="shared" si="216"/>
        <v>0</v>
      </c>
      <c r="Q205" s="140">
        <f t="shared" si="216"/>
        <v>0</v>
      </c>
      <c r="R205" s="140">
        <f t="shared" si="216"/>
        <v>0</v>
      </c>
      <c r="S205" s="140">
        <f t="shared" si="216"/>
        <v>0</v>
      </c>
      <c r="T205" s="140">
        <f t="shared" si="216"/>
        <v>0</v>
      </c>
      <c r="U205" s="140">
        <f t="shared" si="216"/>
        <v>0</v>
      </c>
      <c r="V205" s="140">
        <f t="shared" si="216"/>
        <v>0</v>
      </c>
      <c r="W205" s="140">
        <f t="shared" si="216"/>
        <v>0</v>
      </c>
      <c r="X205" s="140">
        <f t="shared" si="216"/>
        <v>0</v>
      </c>
      <c r="Y205" s="140">
        <f t="shared" si="216"/>
        <v>0</v>
      </c>
      <c r="Z205" s="140">
        <f t="shared" si="216"/>
        <v>0</v>
      </c>
      <c r="AA205" s="140">
        <f t="shared" si="216"/>
        <v>0</v>
      </c>
      <c r="AB205" s="140">
        <f t="shared" si="217"/>
        <v>0</v>
      </c>
      <c r="AC205" s="140">
        <f t="shared" si="217"/>
        <v>0</v>
      </c>
      <c r="AD205" s="140">
        <f t="shared" si="217"/>
        <v>0</v>
      </c>
      <c r="AE205" s="140">
        <f t="shared" si="217"/>
        <v>0.45726425610713783</v>
      </c>
      <c r="AF205" s="140">
        <f t="shared" si="217"/>
        <v>0.92516350268594882</v>
      </c>
      <c r="AG205" s="140">
        <f t="shared" si="217"/>
        <v>1.4020295939663721</v>
      </c>
      <c r="AH205" s="140">
        <f t="shared" si="217"/>
        <v>1.8800133032466284</v>
      </c>
      <c r="AI205" s="140">
        <f t="shared" si="217"/>
        <v>2.355924884317445</v>
      </c>
      <c r="AJ205" s="140">
        <f t="shared" si="217"/>
        <v>2.8279402941850291</v>
      </c>
      <c r="AK205" s="140">
        <f t="shared" si="217"/>
        <v>3.3070738517753355</v>
      </c>
      <c r="AL205" s="140">
        <f t="shared" si="217"/>
        <v>3.7936552780092394</v>
      </c>
      <c r="AM205" s="140">
        <f t="shared" si="217"/>
        <v>4.2943170256555065</v>
      </c>
      <c r="AN205" s="140">
        <f t="shared" si="217"/>
        <v>4.8008332736209187</v>
      </c>
      <c r="AO205" s="140">
        <f t="shared" si="217"/>
        <v>4.8008332736209187</v>
      </c>
      <c r="AP205" s="140">
        <f t="shared" si="218"/>
        <v>4.8008332736209187</v>
      </c>
      <c r="AQ205" s="140">
        <f t="shared" si="218"/>
        <v>4.8008332736209187</v>
      </c>
      <c r="AR205" s="140">
        <f t="shared" si="218"/>
        <v>4.8008332736209187</v>
      </c>
      <c r="AS205" s="140">
        <f t="shared" si="218"/>
        <v>4.8008332736209187</v>
      </c>
      <c r="AT205" s="140">
        <f t="shared" si="218"/>
        <v>4.8008332736209187</v>
      </c>
      <c r="AU205" s="140">
        <f t="shared" si="218"/>
        <v>4.8008332736209187</v>
      </c>
      <c r="AV205" s="140">
        <f t="shared" si="218"/>
        <v>4.8008332736209187</v>
      </c>
      <c r="AW205" s="140">
        <f t="shared" si="218"/>
        <v>4.8008332736209187</v>
      </c>
      <c r="AX205" s="140">
        <f t="shared" si="218"/>
        <v>4.8008332736209187</v>
      </c>
      <c r="AY205" s="140">
        <f t="shared" si="220"/>
        <v>4.8008332736209187</v>
      </c>
      <c r="AZ205" s="140">
        <f t="shared" si="220"/>
        <v>4.8008332736209187</v>
      </c>
      <c r="BA205" s="140">
        <f t="shared" si="220"/>
        <v>4.8008332736209187</v>
      </c>
      <c r="BB205" s="140">
        <f t="shared" si="220"/>
        <v>4.8008332736209187</v>
      </c>
      <c r="BC205" s="140">
        <f t="shared" si="220"/>
        <v>4.8008332736209187</v>
      </c>
      <c r="BD205" s="140">
        <f t="shared" si="220"/>
        <v>4.8008332736209187</v>
      </c>
      <c r="BE205" s="140">
        <f t="shared" si="220"/>
        <v>4.8008332736209187</v>
      </c>
      <c r="BF205" s="140">
        <f t="shared" si="220"/>
        <v>4.8008332736209187</v>
      </c>
      <c r="BG205" s="140">
        <f t="shared" si="220"/>
        <v>4.8008332736209187</v>
      </c>
      <c r="BH205" s="140">
        <f t="shared" si="220"/>
        <v>4.8008332736209187</v>
      </c>
      <c r="BI205" s="140">
        <f t="shared" si="220"/>
        <v>4.8008332736209187</v>
      </c>
      <c r="BJ205" s="140">
        <f t="shared" si="220"/>
        <v>4.8008332736209187</v>
      </c>
      <c r="BK205" s="140">
        <f t="shared" si="220"/>
        <v>4.8008332736209187</v>
      </c>
      <c r="BL205" s="140">
        <f t="shared" si="220"/>
        <v>4.8008332736209187</v>
      </c>
      <c r="BM205" s="140">
        <f t="shared" si="220"/>
        <v>4.8008332736209187</v>
      </c>
      <c r="BN205" s="140">
        <f t="shared" si="220"/>
        <v>4.8008332736209187</v>
      </c>
      <c r="BO205" s="140">
        <f t="shared" si="220"/>
        <v>4.8008332736209187</v>
      </c>
      <c r="BP205" s="140">
        <f t="shared" si="220"/>
        <v>4.8008332736209187</v>
      </c>
      <c r="BQ205" s="140">
        <f t="shared" si="220"/>
        <v>4.8008332736209187</v>
      </c>
      <c r="BR205" s="140">
        <f t="shared" si="220"/>
        <v>4.8008332736209187</v>
      </c>
    </row>
    <row r="206" spans="1:70" ht="15">
      <c r="A206" t="s">
        <v>16</v>
      </c>
      <c r="E206" s="94"/>
      <c r="F206" s="94"/>
      <c r="I206" s="138"/>
      <c r="J206" s="95"/>
      <c r="K206" s="95"/>
      <c r="L206" s="140"/>
      <c r="M206" s="140"/>
      <c r="N206" s="140"/>
      <c r="O206" s="140"/>
      <c r="P206" s="140"/>
      <c r="Q206" s="140"/>
      <c r="R206" s="140"/>
      <c r="S206" s="140"/>
      <c r="T206" s="140"/>
      <c r="U206" s="140"/>
      <c r="V206" s="140"/>
      <c r="W206" s="140"/>
      <c r="X206" s="140"/>
      <c r="Y206" s="140"/>
      <c r="Z206" s="140"/>
      <c r="AA206" s="140"/>
      <c r="AB206" s="140"/>
      <c r="AC206" s="140"/>
      <c r="AD206" s="140"/>
      <c r="AE206" s="140"/>
      <c r="AF206" s="140"/>
      <c r="AG206" s="140"/>
      <c r="AH206" s="140"/>
      <c r="AI206" s="140"/>
      <c r="AJ206" s="140"/>
      <c r="AK206" s="140"/>
      <c r="AL206" s="140"/>
      <c r="AM206" s="140"/>
      <c r="AN206" s="140"/>
      <c r="AO206" s="140"/>
      <c r="AP206" s="140"/>
      <c r="AQ206" s="140"/>
      <c r="AR206" s="140"/>
      <c r="AS206" s="140"/>
      <c r="AT206" s="140"/>
      <c r="AU206" s="140"/>
      <c r="AV206" s="140"/>
      <c r="AW206" s="140"/>
      <c r="AX206" s="140"/>
      <c r="AY206" s="140"/>
      <c r="AZ206" s="140"/>
      <c r="BA206" s="140"/>
      <c r="BB206" s="140"/>
      <c r="BC206" s="140"/>
      <c r="BD206" s="140"/>
      <c r="BE206" s="140"/>
      <c r="BF206" s="140"/>
      <c r="BG206" s="140"/>
      <c r="BH206" s="140"/>
      <c r="BI206" s="140"/>
      <c r="BJ206" s="140"/>
      <c r="BK206" s="140"/>
      <c r="BL206" s="140"/>
      <c r="BM206" s="140"/>
      <c r="BN206" s="140"/>
      <c r="BO206" s="140"/>
      <c r="BP206" s="140"/>
      <c r="BQ206" s="140"/>
      <c r="BR206" s="140"/>
    </row>
    <row r="207" spans="1:70" ht="15">
      <c r="A207" t="s">
        <v>16</v>
      </c>
      <c r="E207" s="94"/>
      <c r="F207" s="94"/>
      <c r="I207" s="138" t="s">
        <v>218</v>
      </c>
      <c r="J207" s="95"/>
      <c r="K207" s="95"/>
      <c r="L207" s="140"/>
      <c r="M207" s="140"/>
      <c r="N207" s="140"/>
      <c r="O207" s="140"/>
      <c r="P207" s="140"/>
      <c r="Q207" s="140"/>
      <c r="R207" s="140"/>
      <c r="S207" s="140"/>
      <c r="T207" s="140"/>
      <c r="U207" s="140"/>
      <c r="V207" s="140"/>
      <c r="W207" s="140"/>
      <c r="X207" s="140"/>
      <c r="Y207" s="140"/>
      <c r="Z207" s="140"/>
      <c r="AA207" s="140"/>
      <c r="AB207" s="140"/>
      <c r="AC207" s="140"/>
      <c r="AD207" s="140"/>
      <c r="AE207" s="140"/>
      <c r="AF207" s="140"/>
      <c r="AG207" s="140"/>
      <c r="AH207" s="140"/>
      <c r="AI207" s="140"/>
      <c r="AJ207" s="140"/>
      <c r="AK207" s="140"/>
      <c r="AL207" s="140"/>
      <c r="AM207" s="140"/>
      <c r="AN207" s="140"/>
      <c r="AO207" s="140"/>
      <c r="AP207" s="140"/>
      <c r="AQ207" s="140"/>
      <c r="AR207" s="140"/>
      <c r="AS207" s="140"/>
      <c r="AT207" s="140"/>
      <c r="AU207" s="140"/>
      <c r="AV207" s="140"/>
      <c r="AW207" s="140"/>
      <c r="AX207" s="140"/>
      <c r="AY207" s="140"/>
      <c r="AZ207" s="140"/>
      <c r="BA207" s="140"/>
      <c r="BB207" s="140"/>
      <c r="BC207" s="140"/>
      <c r="BD207" s="140"/>
      <c r="BE207" s="140"/>
      <c r="BF207" s="140"/>
      <c r="BG207" s="140"/>
      <c r="BH207" s="140"/>
      <c r="BI207" s="140"/>
      <c r="BJ207" s="140"/>
      <c r="BK207" s="140"/>
      <c r="BL207" s="140"/>
      <c r="BM207" s="140"/>
      <c r="BN207" s="140"/>
      <c r="BO207" s="140"/>
      <c r="BP207" s="140"/>
      <c r="BQ207" s="140"/>
      <c r="BR207" s="140"/>
    </row>
    <row r="208" spans="1:70" ht="15">
      <c r="A208" t="s">
        <v>16</v>
      </c>
      <c r="B208" s="75" t="str">
        <f t="shared" si="221" ref="B208:C216">B197</f>
        <v>CNC</v>
      </c>
      <c r="C208" s="75" t="str">
        <f t="shared" si="221"/>
        <v>Commercial - Cooling</v>
      </c>
      <c r="E208" s="77"/>
      <c r="F208" s="94"/>
      <c r="I208" s="138"/>
      <c r="J208" s="95"/>
      <c r="K208" s="95"/>
      <c r="L208" s="140">
        <f t="shared" si="222" ref="L208:AA216">INDEX(L$49:L$52,MATCH($I$207,$B$49:$B$52,0),1)*INDEX(L$81:L$89,MATCH($B208,$B$81:$B$89,0))*INDEX(L$138:L$146,MATCH($B208,$B$138:$B$146,0))/1000</f>
        <v>0</v>
      </c>
      <c r="M208" s="140">
        <f t="shared" si="222"/>
        <v>0</v>
      </c>
      <c r="N208" s="140">
        <f t="shared" si="222"/>
        <v>0</v>
      </c>
      <c r="O208" s="140">
        <f t="shared" si="222"/>
        <v>0</v>
      </c>
      <c r="P208" s="140">
        <f t="shared" si="222"/>
        <v>0</v>
      </c>
      <c r="Q208" s="140">
        <f t="shared" si="222"/>
        <v>0</v>
      </c>
      <c r="R208" s="140">
        <f t="shared" si="222"/>
        <v>0</v>
      </c>
      <c r="S208" s="140">
        <f t="shared" si="222"/>
        <v>0</v>
      </c>
      <c r="T208" s="140">
        <f t="shared" si="222"/>
        <v>0</v>
      </c>
      <c r="U208" s="140">
        <f t="shared" si="222"/>
        <v>0</v>
      </c>
      <c r="V208" s="140">
        <f t="shared" si="222"/>
        <v>0</v>
      </c>
      <c r="W208" s="140">
        <f t="shared" si="222"/>
        <v>0</v>
      </c>
      <c r="X208" s="140">
        <f t="shared" si="222"/>
        <v>0</v>
      </c>
      <c r="Y208" s="140">
        <f t="shared" si="222"/>
        <v>0</v>
      </c>
      <c r="Z208" s="140">
        <f t="shared" si="222"/>
        <v>0</v>
      </c>
      <c r="AA208" s="140">
        <f t="shared" si="222"/>
        <v>0</v>
      </c>
      <c r="AB208" s="140">
        <f t="shared" si="223" ref="AB208:AQ216">INDEX(AB$49:AB$52,MATCH($I$207,$B$49:$B$52,0),1)*INDEX(AB$81:AB$89,MATCH($B208,$B$81:$B$89,0))*INDEX(AB$138:AB$146,MATCH($B208,$B$138:$B$146,0))/1000</f>
        <v>0</v>
      </c>
      <c r="AC208" s="140">
        <f t="shared" si="223"/>
        <v>0</v>
      </c>
      <c r="AD208" s="140">
        <f t="shared" si="223"/>
        <v>0</v>
      </c>
      <c r="AE208" s="140">
        <f t="shared" si="223"/>
        <v>0</v>
      </c>
      <c r="AF208" s="140">
        <f t="shared" si="223"/>
        <v>0</v>
      </c>
      <c r="AG208" s="140">
        <f t="shared" si="223"/>
        <v>0</v>
      </c>
      <c r="AH208" s="140">
        <f t="shared" si="223"/>
        <v>0</v>
      </c>
      <c r="AI208" s="140">
        <f t="shared" si="223"/>
        <v>0</v>
      </c>
      <c r="AJ208" s="140">
        <f t="shared" si="223"/>
        <v>0</v>
      </c>
      <c r="AK208" s="140">
        <f t="shared" si="223"/>
        <v>0</v>
      </c>
      <c r="AL208" s="140">
        <f t="shared" si="223"/>
        <v>0</v>
      </c>
      <c r="AM208" s="140">
        <f t="shared" si="223"/>
        <v>0</v>
      </c>
      <c r="AN208" s="140">
        <f t="shared" si="223"/>
        <v>0</v>
      </c>
      <c r="AO208" s="140">
        <f t="shared" si="223"/>
        <v>3.2502949040894111</v>
      </c>
      <c r="AP208" s="140">
        <f t="shared" si="223"/>
        <v>6.4567959995787954</v>
      </c>
      <c r="AQ208" s="140">
        <f t="shared" si="223"/>
        <v>9.6218330491098332</v>
      </c>
      <c r="AR208" s="140">
        <f t="shared" si="224" ref="AP208:BE216">INDEX(AR$49:AR$52,MATCH($I$207,$B$49:$B$52,0),1)*INDEX(AR$81:AR$89,MATCH($B208,$B$81:$B$89,0))*INDEX(AR$138:AR$146,MATCH($B208,$B$138:$B$146,0))/1000</f>
        <v>12.74753899040881</v>
      </c>
      <c r="AS208" s="140">
        <f t="shared" si="224"/>
        <v>15.83587232825233</v>
      </c>
      <c r="AT208" s="140">
        <f t="shared" si="224"/>
        <v>18.973165025516206</v>
      </c>
      <c r="AU208" s="140">
        <f t="shared" si="224"/>
        <v>22.073710283138148</v>
      </c>
      <c r="AV208" s="140">
        <f t="shared" si="224"/>
        <v>25.139243192126184</v>
      </c>
      <c r="AW208" s="140">
        <f t="shared" si="224"/>
        <v>28.171368255439084</v>
      </c>
      <c r="AX208" s="140">
        <f t="shared" si="224"/>
        <v>31.171572669481701</v>
      </c>
      <c r="AY208" s="140">
        <f t="shared" si="224"/>
        <v>34.264376776772068</v>
      </c>
      <c r="AZ208" s="140">
        <f t="shared" si="224"/>
        <v>37.324157632132959</v>
      </c>
      <c r="BA208" s="140">
        <f t="shared" si="224"/>
        <v>40.35235020928009</v>
      </c>
      <c r="BB208" s="140">
        <f t="shared" si="224"/>
        <v>43.350289855595328</v>
      </c>
      <c r="BC208" s="140">
        <f t="shared" si="224"/>
        <v>46.319221659777298</v>
      </c>
      <c r="BD208" s="140">
        <f t="shared" si="224"/>
        <v>49.260308720092716</v>
      </c>
      <c r="BE208" s="140">
        <f t="shared" si="224"/>
        <v>52.17463946662</v>
      </c>
      <c r="BF208" s="140">
        <f t="shared" si="225" ref="AY208:BR214">INDEX(BF$49:BF$52,MATCH($I$207,$B$49:$B$52,0),1)*INDEX(BF$81:BF$89,MATCH($B208,$B$81:$B$89,0))*INDEX(BF$138:BF$146,MATCH($B208,$B$138:$B$146,0))/1000</f>
        <v>55.063234166242133</v>
      </c>
      <c r="BG208" s="140">
        <f t="shared" si="225"/>
        <v>57.927050718961411</v>
      </c>
      <c r="BH208" s="140">
        <f t="shared" si="225"/>
        <v>60.766989837487159</v>
      </c>
      <c r="BI208" s="140">
        <f t="shared" si="225"/>
        <v>62.497047954561538</v>
      </c>
      <c r="BJ208" s="140">
        <f t="shared" si="225"/>
        <v>64.22363113460429</v>
      </c>
      <c r="BK208" s="140">
        <f t="shared" si="225"/>
        <v>65.946786995893476</v>
      </c>
      <c r="BL208" s="140">
        <f t="shared" si="225"/>
        <v>67.666562094384801</v>
      </c>
      <c r="BM208" s="140">
        <f t="shared" si="225"/>
        <v>69.383001956395063</v>
      </c>
      <c r="BN208" s="140">
        <f t="shared" si="225"/>
        <v>71.096151110008179</v>
      </c>
      <c r="BO208" s="140">
        <f t="shared" si="225"/>
        <v>72.806053115264987</v>
      </c>
      <c r="BP208" s="140">
        <f t="shared" si="225"/>
        <v>74.512750593192564</v>
      </c>
      <c r="BQ208" s="140">
        <f t="shared" si="225"/>
        <v>76.216285253727605</v>
      </c>
      <c r="BR208" s="140">
        <f t="shared" si="225"/>
        <v>77.916697922585399</v>
      </c>
    </row>
    <row r="209" spans="1:70" ht="15">
      <c r="A209" t="s">
        <v>16</v>
      </c>
      <c r="B209" s="75" t="str">
        <f t="shared" si="221"/>
        <v>CNH</v>
      </c>
      <c r="C209" s="75" t="str">
        <f t="shared" si="221"/>
        <v>Commercial - Space Heating</v>
      </c>
      <c r="E209" s="94"/>
      <c r="F209" s="94"/>
      <c r="I209" s="138"/>
      <c r="J209" s="95"/>
      <c r="K209" s="95"/>
      <c r="L209" s="140">
        <f t="shared" si="222"/>
        <v>0</v>
      </c>
      <c r="M209" s="140">
        <f t="shared" si="222"/>
        <v>0</v>
      </c>
      <c r="N209" s="140">
        <f t="shared" si="222"/>
        <v>0</v>
      </c>
      <c r="O209" s="140">
        <f t="shared" si="222"/>
        <v>0</v>
      </c>
      <c r="P209" s="140">
        <f t="shared" si="222"/>
        <v>0</v>
      </c>
      <c r="Q209" s="140">
        <f t="shared" si="222"/>
        <v>0</v>
      </c>
      <c r="R209" s="140">
        <f t="shared" si="222"/>
        <v>0</v>
      </c>
      <c r="S209" s="140">
        <f t="shared" si="222"/>
        <v>0</v>
      </c>
      <c r="T209" s="140">
        <f t="shared" si="222"/>
        <v>0</v>
      </c>
      <c r="U209" s="140">
        <f t="shared" si="222"/>
        <v>0</v>
      </c>
      <c r="V209" s="140">
        <f t="shared" si="222"/>
        <v>0</v>
      </c>
      <c r="W209" s="140">
        <f t="shared" si="222"/>
        <v>0</v>
      </c>
      <c r="X209" s="140">
        <f t="shared" si="222"/>
        <v>0</v>
      </c>
      <c r="Y209" s="140">
        <f t="shared" si="222"/>
        <v>0</v>
      </c>
      <c r="Z209" s="140">
        <f t="shared" si="222"/>
        <v>0</v>
      </c>
      <c r="AA209" s="140">
        <f t="shared" si="222"/>
        <v>0</v>
      </c>
      <c r="AB209" s="140">
        <f t="shared" si="223"/>
        <v>0</v>
      </c>
      <c r="AC209" s="140">
        <f t="shared" si="223"/>
        <v>0</v>
      </c>
      <c r="AD209" s="140">
        <f t="shared" si="223"/>
        <v>0</v>
      </c>
      <c r="AE209" s="140">
        <f t="shared" si="223"/>
        <v>0</v>
      </c>
      <c r="AF209" s="140">
        <f t="shared" si="223"/>
        <v>0</v>
      </c>
      <c r="AG209" s="140">
        <f t="shared" si="223"/>
        <v>0</v>
      </c>
      <c r="AH209" s="140">
        <f t="shared" si="223"/>
        <v>0</v>
      </c>
      <c r="AI209" s="140">
        <f t="shared" si="223"/>
        <v>0</v>
      </c>
      <c r="AJ209" s="140">
        <f t="shared" si="223"/>
        <v>0</v>
      </c>
      <c r="AK209" s="140">
        <f t="shared" si="223"/>
        <v>0</v>
      </c>
      <c r="AL209" s="140">
        <f t="shared" si="223"/>
        <v>0</v>
      </c>
      <c r="AM209" s="140">
        <f t="shared" si="223"/>
        <v>0</v>
      </c>
      <c r="AN209" s="140">
        <f t="shared" si="223"/>
        <v>0</v>
      </c>
      <c r="AO209" s="140">
        <f t="shared" si="223"/>
        <v>0.30355627221097309</v>
      </c>
      <c r="AP209" s="140">
        <f t="shared" si="224"/>
        <v>0.60302248931100244</v>
      </c>
      <c r="AQ209" s="140">
        <f t="shared" si="224"/>
        <v>0.89861623588349182</v>
      </c>
      <c r="AR209" s="140">
        <f t="shared" si="224"/>
        <v>1.190536714352884</v>
      </c>
      <c r="AS209" s="140">
        <f t="shared" si="224"/>
        <v>1.4789668362477131</v>
      </c>
      <c r="AT209" s="140">
        <f t="shared" si="224"/>
        <v>1.7719694418937186</v>
      </c>
      <c r="AU209" s="140">
        <f t="shared" si="224"/>
        <v>2.0615400771739063</v>
      </c>
      <c r="AV209" s="140">
        <f t="shared" si="224"/>
        <v>2.3478407882329755</v>
      </c>
      <c r="AW209" s="140">
        <f t="shared" si="224"/>
        <v>2.6310214251464705</v>
      </c>
      <c r="AX209" s="140">
        <f t="shared" si="224"/>
        <v>2.9112208823255195</v>
      </c>
      <c r="AY209" s="140">
        <f t="shared" si="225"/>
        <v>3.2000685448273543</v>
      </c>
      <c r="AZ209" s="140">
        <f t="shared" si="225"/>
        <v>3.485832051722451</v>
      </c>
      <c r="BA209" s="140">
        <f t="shared" si="225"/>
        <v>3.7686454201645523</v>
      </c>
      <c r="BB209" s="140">
        <f t="shared" si="225"/>
        <v>4.0486333628598299</v>
      </c>
      <c r="BC209" s="140">
        <f t="shared" si="225"/>
        <v>4.325912162944145</v>
      </c>
      <c r="BD209" s="140">
        <f t="shared" si="225"/>
        <v>4.6005904461836149</v>
      </c>
      <c r="BE209" s="140">
        <f t="shared" si="225"/>
        <v>4.8727698648242415</v>
      </c>
      <c r="BF209" s="140">
        <f t="shared" si="225"/>
        <v>5.14254570511567</v>
      </c>
      <c r="BG209" s="140">
        <f t="shared" si="225"/>
        <v>5.4100074286490578</v>
      </c>
      <c r="BH209" s="140">
        <f t="shared" si="225"/>
        <v>5.6752391560966675</v>
      </c>
      <c r="BI209" s="140">
        <f t="shared" si="225"/>
        <v>5.8368152617191695</v>
      </c>
      <c r="BJ209" s="140">
        <f t="shared" si="225"/>
        <v>5.9980668309649392</v>
      </c>
      <c r="BK209" s="140">
        <f t="shared" si="225"/>
        <v>6.1589983110695048</v>
      </c>
      <c r="BL209" s="140">
        <f t="shared" si="225"/>
        <v>6.3196140500544384</v>
      </c>
      <c r="BM209" s="140">
        <f t="shared" si="225"/>
        <v>6.4799182997797793</v>
      </c>
      <c r="BN209" s="140">
        <f t="shared" si="225"/>
        <v>6.6399152188771478</v>
      </c>
      <c r="BO209" s="140">
        <f t="shared" si="225"/>
        <v>6.799608875569275</v>
      </c>
      <c r="BP209" s="140">
        <f t="shared" si="225"/>
        <v>6.9590032503811523</v>
      </c>
      <c r="BQ209" s="140">
        <f t="shared" si="225"/>
        <v>7.1181022387478938</v>
      </c>
      <c r="BR209" s="140">
        <f t="shared" si="225"/>
        <v>7.2769096535241218</v>
      </c>
    </row>
    <row r="210" spans="1:70" ht="15">
      <c r="A210" t="s">
        <v>16</v>
      </c>
      <c r="B210" s="75" t="str">
        <f t="shared" si="221"/>
        <v>CNK</v>
      </c>
      <c r="C210" s="75" t="str">
        <f t="shared" si="221"/>
        <v>Commercial - Cooking</v>
      </c>
      <c r="E210" s="94"/>
      <c r="F210" s="94"/>
      <c r="I210" s="138"/>
      <c r="J210" s="95"/>
      <c r="K210" s="95"/>
      <c r="L210" s="140">
        <f t="shared" si="222"/>
        <v>0</v>
      </c>
      <c r="M210" s="140">
        <f t="shared" si="222"/>
        <v>0</v>
      </c>
      <c r="N210" s="140">
        <f t="shared" si="222"/>
        <v>0</v>
      </c>
      <c r="O210" s="140">
        <f t="shared" si="222"/>
        <v>0</v>
      </c>
      <c r="P210" s="140">
        <f t="shared" si="222"/>
        <v>0</v>
      </c>
      <c r="Q210" s="140">
        <f t="shared" si="222"/>
        <v>0</v>
      </c>
      <c r="R210" s="140">
        <f t="shared" si="222"/>
        <v>0</v>
      </c>
      <c r="S210" s="140">
        <f t="shared" si="222"/>
        <v>0</v>
      </c>
      <c r="T210" s="140">
        <f t="shared" si="222"/>
        <v>0</v>
      </c>
      <c r="U210" s="140">
        <f t="shared" si="222"/>
        <v>0</v>
      </c>
      <c r="V210" s="140">
        <f t="shared" si="222"/>
        <v>0</v>
      </c>
      <c r="W210" s="140">
        <f t="shared" si="222"/>
        <v>0</v>
      </c>
      <c r="X210" s="140">
        <f t="shared" si="222"/>
        <v>0</v>
      </c>
      <c r="Y210" s="140">
        <f t="shared" si="222"/>
        <v>0</v>
      </c>
      <c r="Z210" s="140">
        <f t="shared" si="222"/>
        <v>0</v>
      </c>
      <c r="AA210" s="140">
        <f t="shared" si="222"/>
        <v>0</v>
      </c>
      <c r="AB210" s="140">
        <f t="shared" si="223"/>
        <v>0</v>
      </c>
      <c r="AC210" s="140">
        <f t="shared" si="223"/>
        <v>0</v>
      </c>
      <c r="AD210" s="140">
        <f t="shared" si="223"/>
        <v>0</v>
      </c>
      <c r="AE210" s="140">
        <f t="shared" si="223"/>
        <v>0</v>
      </c>
      <c r="AF210" s="140">
        <f t="shared" si="223"/>
        <v>0</v>
      </c>
      <c r="AG210" s="140">
        <f t="shared" si="223"/>
        <v>0</v>
      </c>
      <c r="AH210" s="140">
        <f t="shared" si="223"/>
        <v>0</v>
      </c>
      <c r="AI210" s="140">
        <f t="shared" si="223"/>
        <v>0</v>
      </c>
      <c r="AJ210" s="140">
        <f t="shared" si="223"/>
        <v>0</v>
      </c>
      <c r="AK210" s="140">
        <f t="shared" si="223"/>
        <v>0</v>
      </c>
      <c r="AL210" s="140">
        <f t="shared" si="223"/>
        <v>0</v>
      </c>
      <c r="AM210" s="140">
        <f t="shared" si="223"/>
        <v>0</v>
      </c>
      <c r="AN210" s="140">
        <f t="shared" si="223"/>
        <v>0</v>
      </c>
      <c r="AO210" s="140">
        <f t="shared" si="223"/>
        <v>0.22686504887734205</v>
      </c>
      <c r="AP210" s="140">
        <f t="shared" si="224"/>
        <v>0.45067336449762802</v>
      </c>
      <c r="AQ210" s="140">
        <f t="shared" si="224"/>
        <v>0.67158756032553535</v>
      </c>
      <c r="AR210" s="140">
        <f t="shared" si="224"/>
        <v>0.88975651178185045</v>
      </c>
      <c r="AS210" s="140">
        <f t="shared" si="224"/>
        <v>1.1053169191645404</v>
      </c>
      <c r="AT210" s="140">
        <f t="shared" si="224"/>
        <v>1.3242946064543333</v>
      </c>
      <c r="AU210" s="140">
        <f t="shared" si="224"/>
        <v>1.5407073850399968</v>
      </c>
      <c r="AV210" s="140">
        <f t="shared" si="224"/>
        <v>1.7546763613189384</v>
      </c>
      <c r="AW210" s="140">
        <f t="shared" si="224"/>
        <v>1.9663135268651242</v>
      </c>
      <c r="AX210" s="140">
        <f t="shared" si="224"/>
        <v>2.1757226854548377</v>
      </c>
      <c r="AY210" s="140">
        <f t="shared" si="225"/>
        <v>2.3915951449309549</v>
      </c>
      <c r="AZ210" s="140">
        <f t="shared" si="225"/>
        <v>2.6051626376627799</v>
      </c>
      <c r="BA210" s="140">
        <f t="shared" si="225"/>
        <v>2.8165253223718318</v>
      </c>
      <c r="BB210" s="140">
        <f t="shared" si="225"/>
        <v>3.0257764040311965</v>
      </c>
      <c r="BC210" s="140">
        <f t="shared" si="225"/>
        <v>3.233002787711583</v>
      </c>
      <c r="BD210" s="140">
        <f t="shared" si="225"/>
        <v>3.4382856556911903</v>
      </c>
      <c r="BE210" s="140">
        <f t="shared" si="225"/>
        <v>3.6417009785358352</v>
      </c>
      <c r="BF210" s="140">
        <f t="shared" si="225"/>
        <v>3.8433199691363815</v>
      </c>
      <c r="BG210" s="140">
        <f t="shared" si="225"/>
        <v>4.0432094872816329</v>
      </c>
      <c r="BH210" s="140">
        <f t="shared" si="225"/>
        <v>4.2414324011847393</v>
      </c>
      <c r="BI210" s="140">
        <f t="shared" si="225"/>
        <v>4.3621875113739428</v>
      </c>
      <c r="BJ210" s="140">
        <f t="shared" si="225"/>
        <v>4.4827000768763439</v>
      </c>
      <c r="BK210" s="140">
        <f t="shared" si="225"/>
        <v>4.6029734213666549</v>
      </c>
      <c r="BL210" s="140">
        <f t="shared" si="225"/>
        <v>4.723010794371298</v>
      </c>
      <c r="BM210" s="140">
        <f t="shared" si="225"/>
        <v>4.8428153735496497</v>
      </c>
      <c r="BN210" s="140">
        <f t="shared" si="225"/>
        <v>4.9623902668861373</v>
      </c>
      <c r="BO210" s="140">
        <f t="shared" si="225"/>
        <v>5.081738514797423</v>
      </c>
      <c r="BP210" s="140">
        <f t="shared" si="225"/>
        <v>5.2008630921586114</v>
      </c>
      <c r="BQ210" s="140">
        <f t="shared" si="225"/>
        <v>5.3197669102522491</v>
      </c>
      <c r="BR210" s="140">
        <f t="shared" si="225"/>
        <v>5.4384528186437384</v>
      </c>
    </row>
    <row r="211" spans="1:70" ht="15">
      <c r="A211" t="s">
        <v>16</v>
      </c>
      <c r="B211" s="75" t="str">
        <f t="shared" si="221"/>
        <v>CNL</v>
      </c>
      <c r="C211" s="75" t="str">
        <f t="shared" si="221"/>
        <v>Commercial - Lighting</v>
      </c>
      <c r="E211" s="94"/>
      <c r="F211" s="94"/>
      <c r="I211" s="138"/>
      <c r="J211" s="95"/>
      <c r="K211" s="95"/>
      <c r="L211" s="140">
        <f t="shared" si="222"/>
        <v>0</v>
      </c>
      <c r="M211" s="140">
        <f t="shared" si="222"/>
        <v>0</v>
      </c>
      <c r="N211" s="140">
        <f t="shared" si="222"/>
        <v>0</v>
      </c>
      <c r="O211" s="140">
        <f t="shared" si="222"/>
        <v>0</v>
      </c>
      <c r="P211" s="140">
        <f t="shared" si="222"/>
        <v>0</v>
      </c>
      <c r="Q211" s="140">
        <f t="shared" si="222"/>
        <v>0</v>
      </c>
      <c r="R211" s="140">
        <f t="shared" si="222"/>
        <v>0</v>
      </c>
      <c r="S211" s="140">
        <f t="shared" si="222"/>
        <v>0</v>
      </c>
      <c r="T211" s="140">
        <f t="shared" si="222"/>
        <v>0</v>
      </c>
      <c r="U211" s="140">
        <f t="shared" si="222"/>
        <v>0</v>
      </c>
      <c r="V211" s="140">
        <f t="shared" si="222"/>
        <v>0</v>
      </c>
      <c r="W211" s="140">
        <f t="shared" si="222"/>
        <v>0</v>
      </c>
      <c r="X211" s="140">
        <f t="shared" si="222"/>
        <v>0</v>
      </c>
      <c r="Y211" s="140">
        <f t="shared" si="222"/>
        <v>0</v>
      </c>
      <c r="Z211" s="140">
        <f t="shared" si="222"/>
        <v>0</v>
      </c>
      <c r="AA211" s="140">
        <f t="shared" si="222"/>
        <v>0</v>
      </c>
      <c r="AB211" s="140">
        <f t="shared" si="223"/>
        <v>0</v>
      </c>
      <c r="AC211" s="140">
        <f t="shared" si="223"/>
        <v>0</v>
      </c>
      <c r="AD211" s="140">
        <f t="shared" si="223"/>
        <v>0</v>
      </c>
      <c r="AE211" s="140">
        <f t="shared" si="223"/>
        <v>0</v>
      </c>
      <c r="AF211" s="140">
        <f t="shared" si="223"/>
        <v>0</v>
      </c>
      <c r="AG211" s="140">
        <f t="shared" si="223"/>
        <v>0</v>
      </c>
      <c r="AH211" s="140">
        <f t="shared" si="223"/>
        <v>0</v>
      </c>
      <c r="AI211" s="140">
        <f t="shared" si="223"/>
        <v>0</v>
      </c>
      <c r="AJ211" s="140">
        <f t="shared" si="223"/>
        <v>0</v>
      </c>
      <c r="AK211" s="140">
        <f t="shared" si="223"/>
        <v>0</v>
      </c>
      <c r="AL211" s="140">
        <f t="shared" si="223"/>
        <v>0</v>
      </c>
      <c r="AM211" s="140">
        <f t="shared" si="223"/>
        <v>0</v>
      </c>
      <c r="AN211" s="140">
        <f t="shared" si="223"/>
        <v>0</v>
      </c>
      <c r="AO211" s="140">
        <f t="shared" si="223"/>
        <v>2.8285070668458023</v>
      </c>
      <c r="AP211" s="140">
        <f t="shared" si="224"/>
        <v>5.618903408122236</v>
      </c>
      <c r="AQ211" s="140">
        <f t="shared" si="224"/>
        <v>8.373216455274914</v>
      </c>
      <c r="AR211" s="140">
        <f t="shared" si="224"/>
        <v>11.093302356625749</v>
      </c>
      <c r="AS211" s="140">
        <f t="shared" si="224"/>
        <v>13.78086546355347</v>
      </c>
      <c r="AT211" s="140">
        <f t="shared" si="224"/>
        <v>16.511034518001363</v>
      </c>
      <c r="AU211" s="140">
        <f t="shared" si="224"/>
        <v>19.209224814895624</v>
      </c>
      <c r="AV211" s="140">
        <f t="shared" si="224"/>
        <v>21.876946284049584</v>
      </c>
      <c r="AW211" s="140">
        <f t="shared" si="224"/>
        <v>24.515595213520658</v>
      </c>
      <c r="AX211" s="140">
        <f t="shared" si="224"/>
        <v>27.126465807578015</v>
      </c>
      <c r="AY211" s="140">
        <f t="shared" si="225"/>
        <v>29.817919516235055</v>
      </c>
      <c r="AZ211" s="140">
        <f t="shared" si="225"/>
        <v>32.480635370571477</v>
      </c>
      <c r="BA211" s="140">
        <f t="shared" si="225"/>
        <v>35.11586212905857</v>
      </c>
      <c r="BB211" s="140">
        <f t="shared" si="225"/>
        <v>37.724761852253231</v>
      </c>
      <c r="BC211" s="140">
        <f t="shared" si="225"/>
        <v>40.308418054816983</v>
      </c>
      <c r="BD211" s="140">
        <f t="shared" si="225"/>
        <v>42.867842900803836</v>
      </c>
      <c r="BE211" s="140">
        <f t="shared" si="225"/>
        <v>45.403983575702938</v>
      </c>
      <c r="BF211" s="140">
        <f t="shared" si="225"/>
        <v>47.917727947284355</v>
      </c>
      <c r="BG211" s="140">
        <f t="shared" si="225"/>
        <v>50.409909609731322</v>
      </c>
      <c r="BH211" s="140">
        <f t="shared" si="225"/>
        <v>52.881312391077515</v>
      </c>
      <c r="BI211" s="140">
        <f t="shared" si="225"/>
        <v>54.386862427181015</v>
      </c>
      <c r="BJ211" s="140">
        <f t="shared" si="225"/>
        <v>55.889388465696342</v>
      </c>
      <c r="BK211" s="140">
        <f t="shared" si="225"/>
        <v>57.388931945520582</v>
      </c>
      <c r="BL211" s="140">
        <f t="shared" si="225"/>
        <v>58.885533381085068</v>
      </c>
      <c r="BM211" s="140">
        <f t="shared" si="225"/>
        <v>60.379232390797547</v>
      </c>
      <c r="BN211" s="140">
        <f t="shared" si="225"/>
        <v>61.870067724372653</v>
      </c>
      <c r="BO211" s="140">
        <f t="shared" si="225"/>
        <v>63.358077289104031</v>
      </c>
      <c r="BP211" s="140">
        <f t="shared" si="225"/>
        <v>64.84329817512652</v>
      </c>
      <c r="BQ211" s="140">
        <f t="shared" si="225"/>
        <v>66.325766679715969</v>
      </c>
      <c r="BR211" s="140">
        <f t="shared" si="225"/>
        <v>67.805518330671418</v>
      </c>
    </row>
    <row r="212" spans="1:70" ht="15">
      <c r="A212" t="s">
        <v>16</v>
      </c>
      <c r="B212" s="75" t="str">
        <f t="shared" si="221"/>
        <v>CNR</v>
      </c>
      <c r="C212" s="75" t="str">
        <f t="shared" si="221"/>
        <v>Commercial - Refrigeration</v>
      </c>
      <c r="E212" s="94"/>
      <c r="F212" s="94"/>
      <c r="I212" s="138"/>
      <c r="J212" s="95"/>
      <c r="K212" s="95"/>
      <c r="L212" s="140">
        <f t="shared" si="222"/>
        <v>0</v>
      </c>
      <c r="M212" s="140">
        <f t="shared" si="222"/>
        <v>0</v>
      </c>
      <c r="N212" s="140">
        <f t="shared" si="222"/>
        <v>0</v>
      </c>
      <c r="O212" s="140">
        <f t="shared" si="222"/>
        <v>0</v>
      </c>
      <c r="P212" s="140">
        <f t="shared" si="222"/>
        <v>0</v>
      </c>
      <c r="Q212" s="140">
        <f t="shared" si="222"/>
        <v>0</v>
      </c>
      <c r="R212" s="140">
        <f t="shared" si="222"/>
        <v>0</v>
      </c>
      <c r="S212" s="140">
        <f t="shared" si="222"/>
        <v>0</v>
      </c>
      <c r="T212" s="140">
        <f t="shared" si="222"/>
        <v>0</v>
      </c>
      <c r="U212" s="140">
        <f t="shared" si="222"/>
        <v>0</v>
      </c>
      <c r="V212" s="140">
        <f t="shared" si="222"/>
        <v>0</v>
      </c>
      <c r="W212" s="140">
        <f t="shared" si="222"/>
        <v>0</v>
      </c>
      <c r="X212" s="140">
        <f t="shared" si="222"/>
        <v>0</v>
      </c>
      <c r="Y212" s="140">
        <f t="shared" si="222"/>
        <v>0</v>
      </c>
      <c r="Z212" s="140">
        <f t="shared" si="222"/>
        <v>0</v>
      </c>
      <c r="AA212" s="140">
        <f t="shared" si="222"/>
        <v>0</v>
      </c>
      <c r="AB212" s="140">
        <f t="shared" si="223"/>
        <v>0</v>
      </c>
      <c r="AC212" s="140">
        <f t="shared" si="223"/>
        <v>0</v>
      </c>
      <c r="AD212" s="140">
        <f t="shared" si="223"/>
        <v>0</v>
      </c>
      <c r="AE212" s="140">
        <f t="shared" si="223"/>
        <v>0</v>
      </c>
      <c r="AF212" s="140">
        <f t="shared" si="223"/>
        <v>0</v>
      </c>
      <c r="AG212" s="140">
        <f t="shared" si="223"/>
        <v>0</v>
      </c>
      <c r="AH212" s="140">
        <f t="shared" si="223"/>
        <v>0</v>
      </c>
      <c r="AI212" s="140">
        <f t="shared" si="223"/>
        <v>0</v>
      </c>
      <c r="AJ212" s="140">
        <f t="shared" si="223"/>
        <v>0</v>
      </c>
      <c r="AK212" s="140">
        <f t="shared" si="223"/>
        <v>0</v>
      </c>
      <c r="AL212" s="140">
        <f t="shared" si="223"/>
        <v>0</v>
      </c>
      <c r="AM212" s="140">
        <f t="shared" si="223"/>
        <v>0</v>
      </c>
      <c r="AN212" s="140">
        <f t="shared" si="223"/>
        <v>0</v>
      </c>
      <c r="AO212" s="140">
        <f t="shared" si="223"/>
        <v>0.68807435430256891</v>
      </c>
      <c r="AP212" s="140">
        <f t="shared" si="224"/>
        <v>1.3668777355198953</v>
      </c>
      <c r="AQ212" s="140">
        <f t="shared" si="224"/>
        <v>2.0369033450299021</v>
      </c>
      <c r="AR212" s="140">
        <f t="shared" si="224"/>
        <v>2.698602717167808</v>
      </c>
      <c r="AS212" s="140">
        <f t="shared" si="224"/>
        <v>3.3523904595151777</v>
      </c>
      <c r="AT212" s="140">
        <f t="shared" si="224"/>
        <v>4.0165427012739228</v>
      </c>
      <c r="AU212" s="140">
        <f t="shared" si="224"/>
        <v>4.6729156579062368</v>
      </c>
      <c r="AV212" s="140">
        <f t="shared" si="224"/>
        <v>5.3218766411977381</v>
      </c>
      <c r="AW212" s="140">
        <f t="shared" si="224"/>
        <v>5.9637653179694086</v>
      </c>
      <c r="AX212" s="140">
        <f t="shared" si="224"/>
        <v>6.5988965217167301</v>
      </c>
      <c r="AY212" s="140">
        <f t="shared" si="225"/>
        <v>7.2536307079687754</v>
      </c>
      <c r="AZ212" s="140">
        <f t="shared" si="225"/>
        <v>7.9013740046496137</v>
      </c>
      <c r="BA212" s="140">
        <f t="shared" si="225"/>
        <v>8.5424301899215429</v>
      </c>
      <c r="BB212" s="140">
        <f t="shared" si="225"/>
        <v>9.1770819514528039</v>
      </c>
      <c r="BC212" s="140">
        <f t="shared" si="225"/>
        <v>9.8055928695115444</v>
      </c>
      <c r="BD212" s="140">
        <f t="shared" si="225"/>
        <v>10.428209167321333</v>
      </c>
      <c r="BE212" s="140">
        <f t="shared" si="225"/>
        <v>11.0451612611507</v>
      </c>
      <c r="BF212" s="140">
        <f t="shared" si="225"/>
        <v>11.656665137393937</v>
      </c>
      <c r="BG212" s="140">
        <f t="shared" si="225"/>
        <v>12.262923579627619</v>
      </c>
      <c r="BH212" s="140">
        <f t="shared" si="225"/>
        <v>12.864127265108481</v>
      </c>
      <c r="BI212" s="140">
        <f t="shared" si="225"/>
        <v>13.230373607960061</v>
      </c>
      <c r="BJ212" s="140">
        <f t="shared" si="225"/>
        <v>13.595884320622737</v>
      </c>
      <c r="BK212" s="140">
        <f t="shared" si="225"/>
        <v>13.960669483694399</v>
      </c>
      <c r="BL212" s="140">
        <f t="shared" si="225"/>
        <v>14.324738952883557</v>
      </c>
      <c r="BM212" s="140">
        <f t="shared" si="225"/>
        <v>14.688102365928311</v>
      </c>
      <c r="BN212" s="140">
        <f t="shared" si="225"/>
        <v>15.050769149244879</v>
      </c>
      <c r="BO212" s="140">
        <f t="shared" si="225"/>
        <v>15.412748524318651</v>
      </c>
      <c r="BP212" s="140">
        <f t="shared" si="225"/>
        <v>15.77404951384958</v>
      </c>
      <c r="BQ212" s="140">
        <f t="shared" si="225"/>
        <v>16.134680947663455</v>
      </c>
      <c r="BR212" s="140">
        <f t="shared" si="225"/>
        <v>16.494651468399947</v>
      </c>
    </row>
    <row r="213" spans="1:70" ht="15">
      <c r="A213" t="s">
        <v>16</v>
      </c>
      <c r="B213" s="75" t="str">
        <f t="shared" si="221"/>
        <v>CNW</v>
      </c>
      <c r="C213" s="75" t="str">
        <f t="shared" si="221"/>
        <v>Commercial - Water Heating</v>
      </c>
      <c r="E213" s="94"/>
      <c r="F213" s="94"/>
      <c r="I213" s="135"/>
      <c r="L213" s="140">
        <f t="shared" si="222"/>
        <v>0</v>
      </c>
      <c r="M213" s="140">
        <f t="shared" si="222"/>
        <v>0</v>
      </c>
      <c r="N213" s="140">
        <f t="shared" si="222"/>
        <v>0</v>
      </c>
      <c r="O213" s="140">
        <f t="shared" si="222"/>
        <v>0</v>
      </c>
      <c r="P213" s="140">
        <f t="shared" si="222"/>
        <v>0</v>
      </c>
      <c r="Q213" s="140">
        <f t="shared" si="222"/>
        <v>0</v>
      </c>
      <c r="R213" s="140">
        <f t="shared" si="222"/>
        <v>0</v>
      </c>
      <c r="S213" s="140">
        <f t="shared" si="222"/>
        <v>0</v>
      </c>
      <c r="T213" s="140">
        <f t="shared" si="222"/>
        <v>0</v>
      </c>
      <c r="U213" s="140">
        <f t="shared" si="222"/>
        <v>0</v>
      </c>
      <c r="V213" s="140">
        <f t="shared" si="222"/>
        <v>0</v>
      </c>
      <c r="W213" s="140">
        <f t="shared" si="222"/>
        <v>0</v>
      </c>
      <c r="X213" s="140">
        <f t="shared" si="222"/>
        <v>0</v>
      </c>
      <c r="Y213" s="140">
        <f t="shared" si="222"/>
        <v>0</v>
      </c>
      <c r="Z213" s="140">
        <f t="shared" si="222"/>
        <v>0</v>
      </c>
      <c r="AA213" s="140">
        <f t="shared" si="222"/>
        <v>0</v>
      </c>
      <c r="AB213" s="140">
        <f t="shared" si="223"/>
        <v>0</v>
      </c>
      <c r="AC213" s="140">
        <f t="shared" si="223"/>
        <v>0</v>
      </c>
      <c r="AD213" s="140">
        <f t="shared" si="223"/>
        <v>0</v>
      </c>
      <c r="AE213" s="140">
        <f t="shared" si="223"/>
        <v>0</v>
      </c>
      <c r="AF213" s="140">
        <f t="shared" si="223"/>
        <v>0</v>
      </c>
      <c r="AG213" s="140">
        <f t="shared" si="223"/>
        <v>0</v>
      </c>
      <c r="AH213" s="140">
        <f t="shared" si="223"/>
        <v>0</v>
      </c>
      <c r="AI213" s="140">
        <f t="shared" si="223"/>
        <v>0</v>
      </c>
      <c r="AJ213" s="140">
        <f t="shared" si="223"/>
        <v>0</v>
      </c>
      <c r="AK213" s="140">
        <f t="shared" si="223"/>
        <v>0</v>
      </c>
      <c r="AL213" s="140">
        <f t="shared" si="223"/>
        <v>0</v>
      </c>
      <c r="AM213" s="140">
        <f t="shared" si="223"/>
        <v>0</v>
      </c>
      <c r="AN213" s="140">
        <f t="shared" si="223"/>
        <v>0</v>
      </c>
      <c r="AO213" s="140">
        <f t="shared" si="223"/>
        <v>0.36428384526742214</v>
      </c>
      <c r="AP213" s="140">
        <f t="shared" si="224"/>
        <v>0.72365940452804189</v>
      </c>
      <c r="AQ213" s="140">
        <f t="shared" si="224"/>
        <v>1.0783877909788815</v>
      </c>
      <c r="AR213" s="140">
        <f t="shared" si="224"/>
        <v>1.4287080582380198</v>
      </c>
      <c r="AS213" s="140">
        <f t="shared" si="224"/>
        <v>1.774839709972678</v>
      </c>
      <c r="AT213" s="140">
        <f t="shared" si="224"/>
        <v>2.1264585880168743</v>
      </c>
      <c r="AU213" s="140">
        <f t="shared" si="224"/>
        <v>2.4739589171258176</v>
      </c>
      <c r="AV213" s="140">
        <f t="shared" si="224"/>
        <v>2.8175351613844426</v>
      </c>
      <c r="AW213" s="140">
        <f t="shared" si="224"/>
        <v>3.15736714893906</v>
      </c>
      <c r="AX213" s="140">
        <f t="shared" si="224"/>
        <v>3.4936215605497281</v>
      </c>
      <c r="AY213" s="140">
        <f t="shared" si="225"/>
        <v>3.8402542834589903</v>
      </c>
      <c r="AZ213" s="140">
        <f t="shared" si="225"/>
        <v>4.1831858538417634</v>
      </c>
      <c r="BA213" s="140">
        <f t="shared" si="225"/>
        <v>4.5225770994870471</v>
      </c>
      <c r="BB213" s="140">
        <f t="shared" si="225"/>
        <v>4.8585776823465663</v>
      </c>
      <c r="BC213" s="140">
        <f t="shared" si="225"/>
        <v>5.1913271484345236</v>
      </c>
      <c r="BD213" s="140">
        <f t="shared" si="225"/>
        <v>5.5209558545097686</v>
      </c>
      <c r="BE213" s="140">
        <f t="shared" si="225"/>
        <v>5.8475857887321405</v>
      </c>
      <c r="BF213" s="140">
        <f t="shared" si="225"/>
        <v>6.1713312997236249</v>
      </c>
      <c r="BG213" s="140">
        <f t="shared" si="225"/>
        <v>6.4922997462028968</v>
      </c>
      <c r="BH213" s="140">
        <f t="shared" si="225"/>
        <v>6.8105920774988373</v>
      </c>
      <c r="BI213" s="140">
        <f t="shared" si="225"/>
        <v>7.0044920902733807</v>
      </c>
      <c r="BJ213" s="140">
        <f t="shared" si="225"/>
        <v>7.1980026419493788</v>
      </c>
      <c r="BK213" s="140">
        <f t="shared" si="225"/>
        <v>7.3911290694485423</v>
      </c>
      <c r="BL213" s="140">
        <f t="shared" si="225"/>
        <v>7.5838765906304992</v>
      </c>
      <c r="BM213" s="140">
        <f t="shared" si="225"/>
        <v>7.7762503079558662</v>
      </c>
      <c r="BN213" s="140">
        <f t="shared" si="225"/>
        <v>7.9682552120061523</v>
      </c>
      <c r="BO213" s="140">
        <f t="shared" si="225"/>
        <v>8.1598961848673301</v>
      </c>
      <c r="BP213" s="140">
        <f t="shared" si="225"/>
        <v>8.3511780033833798</v>
      </c>
      <c r="BQ213" s="140">
        <f t="shared" si="225"/>
        <v>8.5421053422858453</v>
      </c>
      <c r="BR213" s="140">
        <f t="shared" si="225"/>
        <v>8.7326827772052464</v>
      </c>
    </row>
    <row r="214" spans="1:70" ht="15">
      <c r="A214" t="s">
        <v>16</v>
      </c>
      <c r="B214" s="75" t="str">
        <f t="shared" si="221"/>
        <v>CNG</v>
      </c>
      <c r="C214" s="75" t="str">
        <f t="shared" si="221"/>
        <v>Commercial - Public lights</v>
      </c>
      <c r="E214" s="94"/>
      <c r="F214" s="94"/>
      <c r="I214" s="135"/>
      <c r="L214" s="140">
        <f t="shared" si="222"/>
        <v>0</v>
      </c>
      <c r="M214" s="140">
        <f t="shared" si="222"/>
        <v>0</v>
      </c>
      <c r="N214" s="140">
        <f t="shared" si="222"/>
        <v>0</v>
      </c>
      <c r="O214" s="140">
        <f t="shared" si="222"/>
        <v>0</v>
      </c>
      <c r="P214" s="140">
        <f t="shared" si="222"/>
        <v>0</v>
      </c>
      <c r="Q214" s="140">
        <f t="shared" si="222"/>
        <v>0</v>
      </c>
      <c r="R214" s="140">
        <f t="shared" si="222"/>
        <v>0</v>
      </c>
      <c r="S214" s="140">
        <f t="shared" si="222"/>
        <v>0</v>
      </c>
      <c r="T214" s="140">
        <f t="shared" si="222"/>
        <v>0</v>
      </c>
      <c r="U214" s="140">
        <f t="shared" si="222"/>
        <v>0</v>
      </c>
      <c r="V214" s="140">
        <f t="shared" si="222"/>
        <v>0</v>
      </c>
      <c r="W214" s="140">
        <f t="shared" si="222"/>
        <v>0</v>
      </c>
      <c r="X214" s="140">
        <f t="shared" si="222"/>
        <v>0</v>
      </c>
      <c r="Y214" s="140">
        <f t="shared" si="222"/>
        <v>0</v>
      </c>
      <c r="Z214" s="140">
        <f t="shared" si="222"/>
        <v>0</v>
      </c>
      <c r="AA214" s="140">
        <f t="shared" si="222"/>
        <v>0</v>
      </c>
      <c r="AB214" s="140">
        <f t="shared" si="223"/>
        <v>0</v>
      </c>
      <c r="AC214" s="140">
        <f t="shared" si="223"/>
        <v>0</v>
      </c>
      <c r="AD214" s="140">
        <f t="shared" si="223"/>
        <v>0</v>
      </c>
      <c r="AE214" s="140">
        <f t="shared" si="223"/>
        <v>0</v>
      </c>
      <c r="AF214" s="140">
        <f t="shared" si="223"/>
        <v>0</v>
      </c>
      <c r="AG214" s="140">
        <f t="shared" si="223"/>
        <v>0</v>
      </c>
      <c r="AH214" s="140">
        <f t="shared" si="223"/>
        <v>0</v>
      </c>
      <c r="AI214" s="140">
        <f t="shared" si="223"/>
        <v>0</v>
      </c>
      <c r="AJ214" s="140">
        <f t="shared" si="223"/>
        <v>0</v>
      </c>
      <c r="AK214" s="140">
        <f t="shared" si="223"/>
        <v>0</v>
      </c>
      <c r="AL214" s="140">
        <f t="shared" si="223"/>
        <v>0</v>
      </c>
      <c r="AM214" s="140">
        <f t="shared" si="223"/>
        <v>0</v>
      </c>
      <c r="AN214" s="140">
        <f t="shared" si="223"/>
        <v>0</v>
      </c>
      <c r="AO214" s="140">
        <f t="shared" si="223"/>
        <v>0</v>
      </c>
      <c r="AP214" s="140">
        <f t="shared" si="224"/>
        <v>0</v>
      </c>
      <c r="AQ214" s="140">
        <f t="shared" si="224"/>
        <v>0</v>
      </c>
      <c r="AR214" s="140">
        <f t="shared" si="224"/>
        <v>0</v>
      </c>
      <c r="AS214" s="140">
        <f t="shared" si="224"/>
        <v>0</v>
      </c>
      <c r="AT214" s="140">
        <f t="shared" si="224"/>
        <v>0</v>
      </c>
      <c r="AU214" s="140">
        <f t="shared" si="224"/>
        <v>0</v>
      </c>
      <c r="AV214" s="140">
        <f t="shared" si="224"/>
        <v>0</v>
      </c>
      <c r="AW214" s="140">
        <f t="shared" si="224"/>
        <v>0</v>
      </c>
      <c r="AX214" s="140">
        <f t="shared" si="224"/>
        <v>0</v>
      </c>
      <c r="AY214" s="140">
        <f t="shared" si="225"/>
        <v>0</v>
      </c>
      <c r="AZ214" s="140">
        <f t="shared" si="225"/>
        <v>0</v>
      </c>
      <c r="BA214" s="140">
        <f t="shared" si="225"/>
        <v>0</v>
      </c>
      <c r="BB214" s="140">
        <f t="shared" si="225"/>
        <v>0</v>
      </c>
      <c r="BC214" s="140">
        <f t="shared" si="225"/>
        <v>0</v>
      </c>
      <c r="BD214" s="140">
        <f t="shared" si="225"/>
        <v>0</v>
      </c>
      <c r="BE214" s="140">
        <f t="shared" si="225"/>
        <v>0</v>
      </c>
      <c r="BF214" s="140">
        <f t="shared" si="225"/>
        <v>0</v>
      </c>
      <c r="BG214" s="140">
        <f t="shared" si="225"/>
        <v>0</v>
      </c>
      <c r="BH214" s="140">
        <f t="shared" si="225"/>
        <v>0</v>
      </c>
      <c r="BI214" s="140">
        <f t="shared" si="225"/>
        <v>0</v>
      </c>
      <c r="BJ214" s="140">
        <f t="shared" si="225"/>
        <v>0</v>
      </c>
      <c r="BK214" s="140">
        <f t="shared" si="225"/>
        <v>0</v>
      </c>
      <c r="BL214" s="140">
        <f t="shared" si="225"/>
        <v>0</v>
      </c>
      <c r="BM214" s="140">
        <f t="shared" si="225"/>
        <v>0</v>
      </c>
      <c r="BN214" s="140">
        <f t="shared" si="225"/>
        <v>0</v>
      </c>
      <c r="BO214" s="140">
        <f t="shared" si="225"/>
        <v>0</v>
      </c>
      <c r="BP214" s="140">
        <f t="shared" si="225"/>
        <v>0</v>
      </c>
      <c r="BQ214" s="140">
        <f t="shared" si="225"/>
        <v>0</v>
      </c>
      <c r="BR214" s="140">
        <f t="shared" si="225"/>
        <v>0</v>
      </c>
    </row>
    <row r="215" spans="1:70" ht="15">
      <c r="A215" t="s">
        <v>16</v>
      </c>
      <c r="B215" s="75" t="str">
        <f t="shared" si="221"/>
        <v>CNT</v>
      </c>
      <c r="C215" s="75" t="str">
        <f t="shared" si="221"/>
        <v>Commercial - Public Water</v>
      </c>
      <c r="E215" s="94"/>
      <c r="F215" s="94"/>
      <c r="I215" s="135"/>
      <c r="L215" s="140">
        <f t="shared" si="222"/>
        <v>0</v>
      </c>
      <c r="M215" s="140">
        <f t="shared" si="222"/>
        <v>0</v>
      </c>
      <c r="N215" s="140">
        <f t="shared" si="222"/>
        <v>0</v>
      </c>
      <c r="O215" s="140">
        <f t="shared" si="222"/>
        <v>0</v>
      </c>
      <c r="P215" s="140">
        <f t="shared" si="222"/>
        <v>0</v>
      </c>
      <c r="Q215" s="140">
        <f t="shared" si="222"/>
        <v>0</v>
      </c>
      <c r="R215" s="140">
        <f t="shared" si="222"/>
        <v>0</v>
      </c>
      <c r="S215" s="140">
        <f t="shared" si="222"/>
        <v>0</v>
      </c>
      <c r="T215" s="140">
        <f t="shared" si="222"/>
        <v>0</v>
      </c>
      <c r="U215" s="140">
        <f t="shared" si="222"/>
        <v>0</v>
      </c>
      <c r="V215" s="140">
        <f t="shared" si="222"/>
        <v>0</v>
      </c>
      <c r="W215" s="140">
        <f t="shared" si="222"/>
        <v>0</v>
      </c>
      <c r="X215" s="140">
        <f t="shared" si="222"/>
        <v>0</v>
      </c>
      <c r="Y215" s="140">
        <f t="shared" si="222"/>
        <v>0</v>
      </c>
      <c r="Z215" s="140">
        <f t="shared" si="222"/>
        <v>0</v>
      </c>
      <c r="AA215" s="140">
        <f t="shared" si="222"/>
        <v>0</v>
      </c>
      <c r="AB215" s="140">
        <f t="shared" si="223"/>
        <v>0</v>
      </c>
      <c r="AC215" s="140">
        <f t="shared" si="223"/>
        <v>0</v>
      </c>
      <c r="AD215" s="140">
        <f t="shared" si="223"/>
        <v>0</v>
      </c>
      <c r="AE215" s="140">
        <f t="shared" si="223"/>
        <v>0</v>
      </c>
      <c r="AF215" s="140">
        <f t="shared" si="223"/>
        <v>0</v>
      </c>
      <c r="AG215" s="140">
        <f t="shared" si="223"/>
        <v>0</v>
      </c>
      <c r="AH215" s="140">
        <f t="shared" si="223"/>
        <v>0</v>
      </c>
      <c r="AI215" s="140">
        <f t="shared" si="223"/>
        <v>0</v>
      </c>
      <c r="AJ215" s="140">
        <f t="shared" si="223"/>
        <v>0</v>
      </c>
      <c r="AK215" s="140">
        <f t="shared" si="223"/>
        <v>0</v>
      </c>
      <c r="AL215" s="140">
        <f t="shared" si="223"/>
        <v>0</v>
      </c>
      <c r="AM215" s="140">
        <f t="shared" si="223"/>
        <v>0</v>
      </c>
      <c r="AN215" s="140">
        <f t="shared" si="223"/>
        <v>0</v>
      </c>
      <c r="AO215" s="140">
        <f t="shared" si="223"/>
        <v>0</v>
      </c>
      <c r="AP215" s="140">
        <f t="shared" si="224"/>
        <v>0</v>
      </c>
      <c r="AQ215" s="140">
        <f t="shared" si="224"/>
        <v>0</v>
      </c>
      <c r="AR215" s="140">
        <f t="shared" si="224"/>
        <v>0</v>
      </c>
      <c r="AS215" s="140">
        <f t="shared" si="224"/>
        <v>0</v>
      </c>
      <c r="AT215" s="140">
        <f t="shared" si="224"/>
        <v>0</v>
      </c>
      <c r="AU215" s="140">
        <f t="shared" si="224"/>
        <v>0</v>
      </c>
      <c r="AV215" s="140">
        <f t="shared" si="224"/>
        <v>0</v>
      </c>
      <c r="AW215" s="140">
        <f t="shared" si="224"/>
        <v>0</v>
      </c>
      <c r="AX215" s="140">
        <f t="shared" si="224"/>
        <v>0</v>
      </c>
      <c r="AY215" s="140">
        <f t="shared" si="226" ref="AY215:BR216">INDEX(AY$49:AY$52,MATCH($I$207,$B$49:$B$52,0),1)*INDEX(AY$81:AY$89,MATCH($B215,$B$81:$B$89,0))*INDEX(AY$138:AY$146,MATCH($B215,$B$138:$B$146,0))/1000</f>
        <v>0</v>
      </c>
      <c r="AZ215" s="140">
        <f t="shared" si="226"/>
        <v>0</v>
      </c>
      <c r="BA215" s="140">
        <f t="shared" si="226"/>
        <v>0</v>
      </c>
      <c r="BB215" s="140">
        <f t="shared" si="226"/>
        <v>0</v>
      </c>
      <c r="BC215" s="140">
        <f t="shared" si="226"/>
        <v>0</v>
      </c>
      <c r="BD215" s="140">
        <f t="shared" si="226"/>
        <v>0</v>
      </c>
      <c r="BE215" s="140">
        <f t="shared" si="226"/>
        <v>0</v>
      </c>
      <c r="BF215" s="140">
        <f t="shared" si="226"/>
        <v>0</v>
      </c>
      <c r="BG215" s="140">
        <f t="shared" si="226"/>
        <v>0</v>
      </c>
      <c r="BH215" s="140">
        <f t="shared" si="226"/>
        <v>0</v>
      </c>
      <c r="BI215" s="140">
        <f t="shared" si="226"/>
        <v>0</v>
      </c>
      <c r="BJ215" s="140">
        <f t="shared" si="226"/>
        <v>0</v>
      </c>
      <c r="BK215" s="140">
        <f t="shared" si="226"/>
        <v>0</v>
      </c>
      <c r="BL215" s="140">
        <f t="shared" si="226"/>
        <v>0</v>
      </c>
      <c r="BM215" s="140">
        <f t="shared" si="226"/>
        <v>0</v>
      </c>
      <c r="BN215" s="140">
        <f t="shared" si="226"/>
        <v>0</v>
      </c>
      <c r="BO215" s="140">
        <f t="shared" si="226"/>
        <v>0</v>
      </c>
      <c r="BP215" s="140">
        <f t="shared" si="226"/>
        <v>0</v>
      </c>
      <c r="BQ215" s="140">
        <f t="shared" si="226"/>
        <v>0</v>
      </c>
      <c r="BR215" s="140">
        <f t="shared" si="226"/>
        <v>0</v>
      </c>
    </row>
    <row r="216" spans="1:70" ht="15">
      <c r="A216" t="s">
        <v>16</v>
      </c>
      <c r="B216" s="75" t="str">
        <f t="shared" si="221"/>
        <v>CNO</v>
      </c>
      <c r="C216" s="75" t="str">
        <f t="shared" si="221"/>
        <v>Commercial - Other</v>
      </c>
      <c r="E216" s="94"/>
      <c r="F216" s="94"/>
      <c r="I216" s="135"/>
      <c r="L216" s="140">
        <f t="shared" si="222"/>
        <v>0</v>
      </c>
      <c r="M216" s="140">
        <f t="shared" si="222"/>
        <v>0</v>
      </c>
      <c r="N216" s="140">
        <f t="shared" si="222"/>
        <v>0</v>
      </c>
      <c r="O216" s="140">
        <f t="shared" si="222"/>
        <v>0</v>
      </c>
      <c r="P216" s="140">
        <f t="shared" si="222"/>
        <v>0</v>
      </c>
      <c r="Q216" s="140">
        <f t="shared" si="222"/>
        <v>0</v>
      </c>
      <c r="R216" s="140">
        <f t="shared" si="222"/>
        <v>0</v>
      </c>
      <c r="S216" s="140">
        <f t="shared" si="222"/>
        <v>0</v>
      </c>
      <c r="T216" s="140">
        <f t="shared" si="222"/>
        <v>0</v>
      </c>
      <c r="U216" s="140">
        <f t="shared" si="222"/>
        <v>0</v>
      </c>
      <c r="V216" s="140">
        <f t="shared" si="222"/>
        <v>0</v>
      </c>
      <c r="W216" s="140">
        <f t="shared" si="222"/>
        <v>0</v>
      </c>
      <c r="X216" s="140">
        <f t="shared" si="222"/>
        <v>0</v>
      </c>
      <c r="Y216" s="140">
        <f t="shared" si="222"/>
        <v>0</v>
      </c>
      <c r="Z216" s="140">
        <f t="shared" si="222"/>
        <v>0</v>
      </c>
      <c r="AA216" s="140">
        <f t="shared" si="222"/>
        <v>0</v>
      </c>
      <c r="AB216" s="140">
        <f t="shared" si="223"/>
        <v>0</v>
      </c>
      <c r="AC216" s="140">
        <f t="shared" si="223"/>
        <v>0</v>
      </c>
      <c r="AD216" s="140">
        <f t="shared" si="223"/>
        <v>0</v>
      </c>
      <c r="AE216" s="140">
        <f t="shared" si="223"/>
        <v>0</v>
      </c>
      <c r="AF216" s="140">
        <f t="shared" si="223"/>
        <v>0</v>
      </c>
      <c r="AG216" s="140">
        <f t="shared" si="223"/>
        <v>0</v>
      </c>
      <c r="AH216" s="140">
        <f t="shared" si="223"/>
        <v>0</v>
      </c>
      <c r="AI216" s="140">
        <f t="shared" si="223"/>
        <v>0</v>
      </c>
      <c r="AJ216" s="140">
        <f t="shared" si="223"/>
        <v>0</v>
      </c>
      <c r="AK216" s="140">
        <f t="shared" si="223"/>
        <v>0</v>
      </c>
      <c r="AL216" s="140">
        <f t="shared" si="223"/>
        <v>0</v>
      </c>
      <c r="AM216" s="140">
        <f t="shared" si="223"/>
        <v>0</v>
      </c>
      <c r="AN216" s="140">
        <f t="shared" si="223"/>
        <v>0</v>
      </c>
      <c r="AO216" s="140">
        <f t="shared" si="223"/>
        <v>0.51126227285573689</v>
      </c>
      <c r="AP216" s="140">
        <f t="shared" si="224"/>
        <v>1.0156359024398467</v>
      </c>
      <c r="AQ216" s="140">
        <f t="shared" si="224"/>
        <v>1.5134873538819711</v>
      </c>
      <c r="AR216" s="140">
        <f t="shared" si="224"/>
        <v>2.0051521323045618</v>
      </c>
      <c r="AS216" s="140">
        <f t="shared" si="224"/>
        <v>2.4909383050162877</v>
      </c>
      <c r="AT216" s="140">
        <f t="shared" si="224"/>
        <v>2.9844256476567237</v>
      </c>
      <c r="AU216" s="140">
        <f t="shared" si="224"/>
        <v>3.4721327211008708</v>
      </c>
      <c r="AV216" s="140">
        <f t="shared" si="224"/>
        <v>3.9543324502981716</v>
      </c>
      <c r="AW216" s="140">
        <f t="shared" si="224"/>
        <v>4.4312772190641612</v>
      </c>
      <c r="AX216" s="140">
        <f t="shared" si="224"/>
        <v>4.9032009592224322</v>
      </c>
      <c r="AY216" s="140">
        <f t="shared" si="226"/>
        <v>5.3896903714297295</v>
      </c>
      <c r="AZ216" s="140">
        <f t="shared" si="226"/>
        <v>5.8709853187233012</v>
      </c>
      <c r="BA216" s="140">
        <f t="shared" si="226"/>
        <v>6.3473115184441999</v>
      </c>
      <c r="BB216" s="140">
        <f t="shared" si="226"/>
        <v>6.8188790169905689</v>
      </c>
      <c r="BC216" s="140">
        <f t="shared" si="226"/>
        <v>7.2858836633228101</v>
      </c>
      <c r="BD216" s="140">
        <f t="shared" si="226"/>
        <v>7.7485084095363295</v>
      </c>
      <c r="BE216" s="140">
        <f t="shared" si="226"/>
        <v>8.2069244626299245</v>
      </c>
      <c r="BF216" s="140">
        <f t="shared" si="226"/>
        <v>8.6612923077229187</v>
      </c>
      <c r="BG216" s="140">
        <f t="shared" si="226"/>
        <v>9.1117626197992099</v>
      </c>
      <c r="BH216" s="140">
        <f t="shared" si="226"/>
        <v>9.5584770784419</v>
      </c>
      <c r="BI216" s="140">
        <f t="shared" si="226"/>
        <v>9.8306103682535699</v>
      </c>
      <c r="BJ216" s="140">
        <f t="shared" si="226"/>
        <v>10.102197060215742</v>
      </c>
      <c r="BK216" s="140">
        <f t="shared" si="226"/>
        <v>10.373244644550002</v>
      </c>
      <c r="BL216" s="140">
        <f t="shared" si="226"/>
        <v>10.643760444377619</v>
      </c>
      <c r="BM216" s="140">
        <f t="shared" si="226"/>
        <v>10.913751620860543</v>
      </c>
      <c r="BN216" s="140">
        <f t="shared" si="226"/>
        <v>11.183225178141496</v>
      </c>
      <c r="BO216" s="140">
        <f t="shared" si="226"/>
        <v>11.452187968092733</v>
      </c>
      <c r="BP216" s="140">
        <f t="shared" si="226"/>
        <v>11.720646694882285</v>
      </c>
      <c r="BQ216" s="140">
        <f t="shared" si="226"/>
        <v>11.988607919366212</v>
      </c>
      <c r="BR216" s="140">
        <f t="shared" si="226"/>
        <v>12.256078063315037</v>
      </c>
    </row>
    <row r="217" spans="1:70" ht="15">
      <c r="A217" t="s">
        <v>16</v>
      </c>
      <c r="E217" s="94"/>
      <c r="F217" s="94"/>
      <c r="I217" s="135"/>
      <c r="L217" s="140"/>
      <c r="M217" s="140"/>
      <c r="N217" s="140"/>
      <c r="O217" s="140"/>
      <c r="P217" s="140"/>
      <c r="Q217" s="140"/>
      <c r="R217" s="140"/>
      <c r="S217" s="140"/>
      <c r="T217" s="140"/>
      <c r="U217" s="140"/>
      <c r="V217" s="140"/>
      <c r="W217" s="140"/>
      <c r="X217" s="140"/>
      <c r="Y217" s="140"/>
      <c r="Z217" s="140"/>
      <c r="AA217" s="140"/>
      <c r="AB217" s="140"/>
      <c r="AC217" s="140"/>
      <c r="AD217" s="140"/>
      <c r="AE217" s="140"/>
      <c r="AF217" s="140"/>
      <c r="AG217" s="140"/>
      <c r="AH217" s="140"/>
      <c r="AI217" s="140"/>
      <c r="AJ217" s="140"/>
      <c r="AK217" s="140"/>
      <c r="AL217" s="140"/>
      <c r="AM217" s="140"/>
      <c r="AN217" s="140"/>
      <c r="AO217" s="140"/>
      <c r="AP217" s="140"/>
      <c r="AQ217" s="140"/>
      <c r="AR217" s="140"/>
      <c r="AS217" s="140"/>
      <c r="AT217" s="140"/>
      <c r="AU217" s="140"/>
      <c r="AV217" s="140"/>
      <c r="AW217" s="140"/>
      <c r="AX217" s="140"/>
      <c r="AY217" s="140"/>
      <c r="AZ217" s="140"/>
      <c r="BA217" s="140"/>
      <c r="BB217" s="140"/>
      <c r="BC217" s="140"/>
      <c r="BD217" s="140"/>
      <c r="BE217" s="140"/>
      <c r="BF217" s="140"/>
      <c r="BG217" s="140"/>
      <c r="BH217" s="140"/>
      <c r="BI217" s="140"/>
      <c r="BJ217" s="140"/>
      <c r="BK217" s="140"/>
      <c r="BL217" s="140"/>
      <c r="BM217" s="140"/>
      <c r="BN217" s="140"/>
      <c r="BO217" s="140"/>
      <c r="BP217" s="140"/>
      <c r="BQ217" s="140"/>
      <c r="BR217" s="140"/>
    </row>
    <row r="218" spans="1:70" ht="15.75" thickBot="1">
      <c r="A218" t="s">
        <v>16</v>
      </c>
      <c r="B218" s="73" t="s">
        <v>466</v>
      </c>
      <c r="C218" s="73"/>
      <c r="D218" s="73"/>
      <c r="E218" s="73"/>
      <c r="F218" s="73"/>
      <c r="G218" s="73"/>
      <c r="H218" s="73"/>
      <c r="I218" s="136"/>
      <c r="J218" s="73"/>
      <c r="K218" s="73"/>
      <c r="L218" s="73"/>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row>
    <row r="219" spans="1:70" ht="15">
      <c r="A219" t="s">
        <v>16</v>
      </c>
      <c r="E219" s="94"/>
      <c r="F219" s="94"/>
      <c r="I219" s="135"/>
      <c r="L219" s="140"/>
      <c r="M219" s="140"/>
      <c r="N219" s="140"/>
      <c r="O219" s="140"/>
      <c r="P219" s="140"/>
      <c r="Q219" s="140"/>
      <c r="R219" s="140"/>
      <c r="S219" s="140"/>
      <c r="T219" s="140"/>
      <c r="U219" s="140"/>
      <c r="V219" s="140"/>
      <c r="W219" s="140"/>
      <c r="X219" s="140"/>
      <c r="Y219" s="140"/>
      <c r="Z219" s="140"/>
      <c r="AA219" s="140"/>
      <c r="AB219" s="140"/>
      <c r="AC219" s="140"/>
      <c r="AD219" s="140"/>
      <c r="AE219" s="140"/>
      <c r="AF219" s="140"/>
      <c r="AG219" s="140"/>
      <c r="AH219" s="140"/>
      <c r="AI219" s="140"/>
      <c r="AJ219" s="140"/>
      <c r="AK219" s="140"/>
      <c r="AL219" s="140"/>
      <c r="AM219" s="140"/>
      <c r="AN219" s="140"/>
      <c r="AO219" s="140"/>
      <c r="AP219" s="140"/>
      <c r="AQ219" s="140"/>
      <c r="AR219" s="140"/>
      <c r="AS219" s="140"/>
      <c r="AT219" s="140"/>
      <c r="AU219" s="140"/>
      <c r="AV219" s="140"/>
      <c r="AW219" s="140"/>
      <c r="AX219" s="140"/>
      <c r="AY219" s="140"/>
      <c r="AZ219" s="140"/>
      <c r="BA219" s="140"/>
      <c r="BB219" s="140"/>
      <c r="BC219" s="140"/>
      <c r="BD219" s="140"/>
      <c r="BE219" s="140"/>
      <c r="BF219" s="140"/>
      <c r="BG219" s="140"/>
      <c r="BH219" s="140"/>
      <c r="BI219" s="140"/>
      <c r="BJ219" s="140"/>
      <c r="BK219" s="140"/>
      <c r="BL219" s="140"/>
      <c r="BM219" s="140"/>
      <c r="BN219" s="140"/>
      <c r="BO219" s="140"/>
      <c r="BP219" s="140"/>
      <c r="BQ219" s="140"/>
      <c r="BR219" s="140"/>
    </row>
    <row r="220" spans="1:70" ht="15">
      <c r="A220" t="s">
        <v>16</v>
      </c>
      <c r="B220" s="75" t="str">
        <f t="shared" si="227" ref="B220:C228">B208</f>
        <v>CNC</v>
      </c>
      <c r="C220" s="75" t="str">
        <f t="shared" si="227"/>
        <v>Commercial - Cooling</v>
      </c>
      <c r="E220" s="94"/>
      <c r="F220" s="94"/>
      <c r="I220" s="135"/>
      <c r="L220" s="140">
        <f t="shared" si="228" ref="L220:AX226">L186+L197+L208</f>
        <v>0</v>
      </c>
      <c r="M220" s="140">
        <f t="shared" si="228"/>
        <v>0</v>
      </c>
      <c r="N220" s="140">
        <f t="shared" si="228"/>
        <v>0</v>
      </c>
      <c r="O220" s="140">
        <f t="shared" si="228"/>
        <v>0</v>
      </c>
      <c r="P220" s="140">
        <f t="shared" si="228"/>
        <v>0</v>
      </c>
      <c r="Q220" s="140">
        <f t="shared" si="228"/>
        <v>0</v>
      </c>
      <c r="R220" s="140">
        <f t="shared" si="228"/>
        <v>1.7663141176431716</v>
      </c>
      <c r="S220" s="140">
        <f t="shared" si="228"/>
        <v>3.4029475996970713</v>
      </c>
      <c r="T220" s="140">
        <f t="shared" si="228"/>
        <v>4.4302493543804173</v>
      </c>
      <c r="U220" s="140">
        <f t="shared" si="228"/>
        <v>7.0824812787310929</v>
      </c>
      <c r="V220" s="140">
        <f t="shared" si="228"/>
        <v>9.8753004697098028</v>
      </c>
      <c r="W220" s="140">
        <f t="shared" si="228"/>
        <v>11.462102376625817</v>
      </c>
      <c r="X220" s="140">
        <f t="shared" si="228"/>
        <v>13.284291633415222</v>
      </c>
      <c r="Y220" s="140">
        <f t="shared" si="228"/>
        <v>15.108591528641714</v>
      </c>
      <c r="Z220" s="140">
        <f t="shared" si="228"/>
        <v>17.074662781123269</v>
      </c>
      <c r="AA220" s="140">
        <f t="shared" si="228"/>
        <v>19.334395385990558</v>
      </c>
      <c r="AB220" s="140">
        <f t="shared" si="228"/>
        <v>21.742880748819449</v>
      </c>
      <c r="AC220" s="140">
        <f t="shared" si="228"/>
        <v>24.353171166162053</v>
      </c>
      <c r="AD220" s="140">
        <f t="shared" si="228"/>
        <v>27.134755985702849</v>
      </c>
      <c r="AE220" s="140">
        <f t="shared" si="228"/>
        <v>30.04176430678552</v>
      </c>
      <c r="AF220" s="140">
        <f t="shared" si="228"/>
        <v>33.016383435804478</v>
      </c>
      <c r="AG220" s="140">
        <f t="shared" si="228"/>
        <v>36.048008315466085</v>
      </c>
      <c r="AH220" s="140">
        <f t="shared" si="228"/>
        <v>39.086738331341422</v>
      </c>
      <c r="AI220" s="140">
        <f t="shared" si="228"/>
        <v>42.112295015020457</v>
      </c>
      <c r="AJ220" s="140">
        <f t="shared" si="228"/>
        <v>45.113082209379286</v>
      </c>
      <c r="AK220" s="140">
        <f t="shared" si="228"/>
        <v>48.159122262198579</v>
      </c>
      <c r="AL220" s="140">
        <f t="shared" si="228"/>
        <v>51.252511338765309</v>
      </c>
      <c r="AM220" s="140">
        <f t="shared" si="228"/>
        <v>54.435414544115531</v>
      </c>
      <c r="AN220" s="140">
        <f t="shared" si="228"/>
        <v>57.655537105486317</v>
      </c>
      <c r="AO220" s="140">
        <f t="shared" si="228"/>
        <v>60.905832009575725</v>
      </c>
      <c r="AP220" s="140">
        <f t="shared" si="228"/>
        <v>64.112333105065119</v>
      </c>
      <c r="AQ220" s="140">
        <f t="shared" si="228"/>
        <v>67.277370154596156</v>
      </c>
      <c r="AR220" s="140">
        <f t="shared" si="228"/>
        <v>70.40307609589513</v>
      </c>
      <c r="AS220" s="140">
        <f t="shared" si="228"/>
        <v>73.491409433738653</v>
      </c>
      <c r="AT220" s="140">
        <f t="shared" si="228"/>
        <v>76.628702131002527</v>
      </c>
      <c r="AU220" s="140">
        <f t="shared" si="228"/>
        <v>79.729247388624458</v>
      </c>
      <c r="AV220" s="140">
        <f t="shared" si="228"/>
        <v>82.794780297612505</v>
      </c>
      <c r="AW220" s="140">
        <f t="shared" si="228"/>
        <v>85.826905360925394</v>
      </c>
      <c r="AX220" s="140">
        <f t="shared" si="228"/>
        <v>88.827109774968022</v>
      </c>
      <c r="AY220" s="140">
        <f t="shared" si="229" ref="AY220:BR225">AY186+AY197+AY208</f>
        <v>91.919913882258385</v>
      </c>
      <c r="AZ220" s="140">
        <f t="shared" si="229"/>
        <v>94.979694737619269</v>
      </c>
      <c r="BA220" s="140">
        <f t="shared" si="229"/>
        <v>98.007887314766407</v>
      </c>
      <c r="BB220" s="140">
        <f t="shared" si="229"/>
        <v>101.00582696108165</v>
      </c>
      <c r="BC220" s="140">
        <f t="shared" si="229"/>
        <v>103.97475876526362</v>
      </c>
      <c r="BD220" s="140">
        <f t="shared" si="229"/>
        <v>106.91584582557903</v>
      </c>
      <c r="BE220" s="140">
        <f t="shared" si="229"/>
        <v>109.83017657210632</v>
      </c>
      <c r="BF220" s="140">
        <f t="shared" si="229"/>
        <v>112.71877127172846</v>
      </c>
      <c r="BG220" s="140">
        <f t="shared" si="229"/>
        <v>115.58258782444773</v>
      </c>
      <c r="BH220" s="140">
        <f t="shared" si="229"/>
        <v>118.42252694297348</v>
      </c>
      <c r="BI220" s="140">
        <f t="shared" si="229"/>
        <v>120.15258506004785</v>
      </c>
      <c r="BJ220" s="140">
        <f t="shared" si="229"/>
        <v>121.87916824009061</v>
      </c>
      <c r="BK220" s="140">
        <f t="shared" si="229"/>
        <v>123.60232410137979</v>
      </c>
      <c r="BL220" s="140">
        <f t="shared" si="229"/>
        <v>125.32209919987112</v>
      </c>
      <c r="BM220" s="140">
        <f t="shared" si="229"/>
        <v>127.03853906188138</v>
      </c>
      <c r="BN220" s="140">
        <f t="shared" si="229"/>
        <v>128.75168821549448</v>
      </c>
      <c r="BO220" s="140">
        <f t="shared" si="229"/>
        <v>130.4615902207513</v>
      </c>
      <c r="BP220" s="140">
        <f t="shared" si="229"/>
        <v>132.16828769867888</v>
      </c>
      <c r="BQ220" s="140">
        <f t="shared" si="229"/>
        <v>133.87182235921392</v>
      </c>
      <c r="BR220" s="140">
        <f t="shared" si="229"/>
        <v>135.5722350280717</v>
      </c>
    </row>
    <row r="221" spans="1:70" ht="15">
      <c r="A221" t="s">
        <v>16</v>
      </c>
      <c r="B221" s="75" t="str">
        <f t="shared" si="227"/>
        <v>CNH</v>
      </c>
      <c r="C221" s="75" t="str">
        <f t="shared" si="227"/>
        <v>Commercial - Space Heating</v>
      </c>
      <c r="E221" s="94"/>
      <c r="F221" s="94"/>
      <c r="I221" s="135"/>
      <c r="L221" s="140">
        <f t="shared" si="228"/>
        <v>0</v>
      </c>
      <c r="M221" s="140">
        <f t="shared" si="228"/>
        <v>0</v>
      </c>
      <c r="N221" s="140">
        <f t="shared" si="228"/>
        <v>0</v>
      </c>
      <c r="O221" s="140">
        <f t="shared" si="228"/>
        <v>0</v>
      </c>
      <c r="P221" s="140">
        <f t="shared" si="228"/>
        <v>0</v>
      </c>
      <c r="Q221" s="140">
        <f t="shared" si="228"/>
        <v>0</v>
      </c>
      <c r="R221" s="140">
        <f t="shared" si="228"/>
        <v>0.16496217879515399</v>
      </c>
      <c r="S221" s="140">
        <f t="shared" si="228"/>
        <v>0.31781303493220059</v>
      </c>
      <c r="T221" s="140">
        <f t="shared" si="228"/>
        <v>0.4137562955560648</v>
      </c>
      <c r="U221" s="140">
        <f t="shared" si="228"/>
        <v>0.66145739953339155</v>
      </c>
      <c r="V221" s="140">
        <f t="shared" si="228"/>
        <v>0.92228843412847317</v>
      </c>
      <c r="W221" s="140">
        <f t="shared" si="228"/>
        <v>1.0704853472746159</v>
      </c>
      <c r="X221" s="140">
        <f t="shared" si="228"/>
        <v>1.2406658983864356</v>
      </c>
      <c r="Y221" s="140">
        <f t="shared" si="228"/>
        <v>1.4110435693150272</v>
      </c>
      <c r="Z221" s="140">
        <f t="shared" si="228"/>
        <v>1.5946617571765558</v>
      </c>
      <c r="AA221" s="140">
        <f t="shared" si="228"/>
        <v>1.8057059934592574</v>
      </c>
      <c r="AB221" s="140">
        <f t="shared" si="228"/>
        <v>2.0306427638105173</v>
      </c>
      <c r="AC221" s="140">
        <f t="shared" si="228"/>
        <v>2.2744268055230439</v>
      </c>
      <c r="AD221" s="140">
        <f t="shared" si="228"/>
        <v>2.5342086233501222</v>
      </c>
      <c r="AE221" s="140">
        <f t="shared" si="228"/>
        <v>2.805704175376456</v>
      </c>
      <c r="AF221" s="140">
        <f t="shared" si="228"/>
        <v>3.0835141343793659</v>
      </c>
      <c r="AG221" s="140">
        <f t="shared" si="228"/>
        <v>3.3666480574133244</v>
      </c>
      <c r="AH221" s="140">
        <f t="shared" si="228"/>
        <v>3.6504455536694769</v>
      </c>
      <c r="AI221" s="140">
        <f t="shared" si="228"/>
        <v>3.9330127469124871</v>
      </c>
      <c r="AJ221" s="140">
        <f t="shared" si="228"/>
        <v>4.2132666319590149</v>
      </c>
      <c r="AK221" s="140">
        <f t="shared" si="228"/>
        <v>4.4977468378245771</v>
      </c>
      <c r="AL221" s="140">
        <f t="shared" si="228"/>
        <v>4.7866491326284422</v>
      </c>
      <c r="AM221" s="140">
        <f t="shared" si="228"/>
        <v>5.0839114612278689</v>
      </c>
      <c r="AN221" s="140">
        <f t="shared" si="228"/>
        <v>5.3846498340943825</v>
      </c>
      <c r="AO221" s="140">
        <f t="shared" si="228"/>
        <v>5.6882061063053557</v>
      </c>
      <c r="AP221" s="140">
        <f t="shared" si="228"/>
        <v>5.987672323405385</v>
      </c>
      <c r="AQ221" s="140">
        <f t="shared" si="228"/>
        <v>6.2832660699778744</v>
      </c>
      <c r="AR221" s="140">
        <f t="shared" si="228"/>
        <v>6.5751865484472667</v>
      </c>
      <c r="AS221" s="140">
        <f t="shared" si="228"/>
        <v>6.8636166703420951</v>
      </c>
      <c r="AT221" s="140">
        <f t="shared" si="228"/>
        <v>7.1566192759881009</v>
      </c>
      <c r="AU221" s="140">
        <f t="shared" si="228"/>
        <v>7.4461899112682888</v>
      </c>
      <c r="AV221" s="140">
        <f t="shared" si="228"/>
        <v>7.732490622327358</v>
      </c>
      <c r="AW221" s="140">
        <f t="shared" si="228"/>
        <v>8.0156712592408539</v>
      </c>
      <c r="AX221" s="140">
        <f t="shared" si="228"/>
        <v>8.2958707164199019</v>
      </c>
      <c r="AY221" s="140">
        <f t="shared" si="229"/>
        <v>8.5847183789217372</v>
      </c>
      <c r="AZ221" s="140">
        <f t="shared" si="229"/>
        <v>8.8704818858168331</v>
      </c>
      <c r="BA221" s="140">
        <f t="shared" si="229"/>
        <v>9.1532952542589356</v>
      </c>
      <c r="BB221" s="140">
        <f t="shared" si="229"/>
        <v>9.4332831969542124</v>
      </c>
      <c r="BC221" s="140">
        <f t="shared" si="229"/>
        <v>9.7105619970385284</v>
      </c>
      <c r="BD221" s="140">
        <f t="shared" si="229"/>
        <v>9.9852402802779974</v>
      </c>
      <c r="BE221" s="140">
        <f t="shared" si="229"/>
        <v>10.257419698918625</v>
      </c>
      <c r="BF221" s="140">
        <f t="shared" si="229"/>
        <v>10.527195539210052</v>
      </c>
      <c r="BG221" s="140">
        <f t="shared" si="229"/>
        <v>10.79465726274344</v>
      </c>
      <c r="BH221" s="140">
        <f t="shared" si="229"/>
        <v>11.05988899019105</v>
      </c>
      <c r="BI221" s="140">
        <f t="shared" si="229"/>
        <v>11.221465095813553</v>
      </c>
      <c r="BJ221" s="140">
        <f t="shared" si="229"/>
        <v>11.382716665059322</v>
      </c>
      <c r="BK221" s="140">
        <f t="shared" si="229"/>
        <v>11.543648145163887</v>
      </c>
      <c r="BL221" s="140">
        <f t="shared" si="229"/>
        <v>11.704263884148821</v>
      </c>
      <c r="BM221" s="140">
        <f t="shared" si="229"/>
        <v>11.864568133874162</v>
      </c>
      <c r="BN221" s="140">
        <f t="shared" si="229"/>
        <v>12.02456505297153</v>
      </c>
      <c r="BO221" s="140">
        <f t="shared" si="229"/>
        <v>12.184258709663657</v>
      </c>
      <c r="BP221" s="140">
        <f t="shared" si="229"/>
        <v>12.343653084475534</v>
      </c>
      <c r="BQ221" s="140">
        <f t="shared" si="229"/>
        <v>12.502752072842277</v>
      </c>
      <c r="BR221" s="140">
        <f t="shared" si="229"/>
        <v>12.661559487618504</v>
      </c>
    </row>
    <row r="222" spans="1:70" ht="15">
      <c r="A222" t="s">
        <v>16</v>
      </c>
      <c r="B222" s="75" t="str">
        <f t="shared" si="227"/>
        <v>CNK</v>
      </c>
      <c r="C222" s="75" t="str">
        <f t="shared" si="227"/>
        <v>Commercial - Cooking</v>
      </c>
      <c r="E222" s="94"/>
      <c r="F222" s="94"/>
      <c r="I222" s="135"/>
      <c r="L222" s="140">
        <f t="shared" si="228"/>
        <v>0</v>
      </c>
      <c r="M222" s="140">
        <f t="shared" si="228"/>
        <v>0</v>
      </c>
      <c r="N222" s="140">
        <f t="shared" si="228"/>
        <v>0</v>
      </c>
      <c r="O222" s="140">
        <f t="shared" si="228"/>
        <v>0</v>
      </c>
      <c r="P222" s="140">
        <f t="shared" si="228"/>
        <v>0</v>
      </c>
      <c r="Q222" s="140">
        <f t="shared" si="228"/>
        <v>0</v>
      </c>
      <c r="R222" s="140">
        <f t="shared" si="228"/>
        <v>0.12328571728297376</v>
      </c>
      <c r="S222" s="140">
        <f t="shared" si="228"/>
        <v>0.23751994705495594</v>
      </c>
      <c r="T222" s="140">
        <f t="shared" si="228"/>
        <v>0.3092238599813768</v>
      </c>
      <c r="U222" s="140">
        <f t="shared" si="228"/>
        <v>0.49434513140657144</v>
      </c>
      <c r="V222" s="140">
        <f t="shared" si="228"/>
        <v>0.68927915461468048</v>
      </c>
      <c r="W222" s="140">
        <f t="shared" si="228"/>
        <v>0.80003522530790716</v>
      </c>
      <c r="X222" s="140">
        <f t="shared" si="228"/>
        <v>0.92722093214490253</v>
      </c>
      <c r="Y222" s="140">
        <f t="shared" si="228"/>
        <v>1.0545539579502752</v>
      </c>
      <c r="Z222" s="140">
        <f t="shared" si="228"/>
        <v>1.1917823830477585</v>
      </c>
      <c r="AA222" s="140">
        <f t="shared" si="228"/>
        <v>1.3495078704205923</v>
      </c>
      <c r="AB222" s="140">
        <f t="shared" si="228"/>
        <v>1.5176160469651503</v>
      </c>
      <c r="AC222" s="140">
        <f t="shared" si="228"/>
        <v>1.6998098726298376</v>
      </c>
      <c r="AD222" s="140">
        <f t="shared" si="228"/>
        <v>1.8939597558443226</v>
      </c>
      <c r="AE222" s="140">
        <f t="shared" si="228"/>
        <v>2.0968639858634206</v>
      </c>
      <c r="AF222" s="140">
        <f t="shared" si="228"/>
        <v>2.3044873351316073</v>
      </c>
      <c r="AG222" s="140">
        <f t="shared" si="228"/>
        <v>2.5160895887107726</v>
      </c>
      <c r="AH222" s="140">
        <f t="shared" si="228"/>
        <v>2.7281877686972251</v>
      </c>
      <c r="AI222" s="140">
        <f t="shared" si="228"/>
        <v>2.9393664725312734</v>
      </c>
      <c r="AJ222" s="140">
        <f t="shared" si="228"/>
        <v>3.1488163081945508</v>
      </c>
      <c r="AK222" s="140">
        <f t="shared" si="228"/>
        <v>3.3614247163103039</v>
      </c>
      <c r="AL222" s="140">
        <f t="shared" si="228"/>
        <v>3.5773380056456769</v>
      </c>
      <c r="AM222" s="140">
        <f t="shared" si="228"/>
        <v>3.7994992287227327</v>
      </c>
      <c r="AN222" s="140">
        <f t="shared" si="228"/>
        <v>4.0242582994634475</v>
      </c>
      <c r="AO222" s="140">
        <f t="shared" si="228"/>
        <v>4.2511233483407898</v>
      </c>
      <c r="AP222" s="140">
        <f t="shared" si="228"/>
        <v>4.4749316639610752</v>
      </c>
      <c r="AQ222" s="140">
        <f t="shared" si="228"/>
        <v>4.6958458597889825</v>
      </c>
      <c r="AR222" s="140">
        <f t="shared" si="228"/>
        <v>4.9140148112452984</v>
      </c>
      <c r="AS222" s="140">
        <f t="shared" si="228"/>
        <v>5.1295752186279877</v>
      </c>
      <c r="AT222" s="140">
        <f t="shared" si="228"/>
        <v>5.3485529059177805</v>
      </c>
      <c r="AU222" s="140">
        <f t="shared" si="228"/>
        <v>5.5649656845034441</v>
      </c>
      <c r="AV222" s="140">
        <f t="shared" si="228"/>
        <v>5.7789346607823857</v>
      </c>
      <c r="AW222" s="140">
        <f t="shared" si="228"/>
        <v>5.9905718263285719</v>
      </c>
      <c r="AX222" s="140">
        <f t="shared" si="228"/>
        <v>6.1999809849182856</v>
      </c>
      <c r="AY222" s="140">
        <f t="shared" si="229"/>
        <v>6.4158534443944024</v>
      </c>
      <c r="AZ222" s="140">
        <f t="shared" si="229"/>
        <v>6.6294209371262269</v>
      </c>
      <c r="BA222" s="140">
        <f t="shared" si="229"/>
        <v>6.8407836218352793</v>
      </c>
      <c r="BB222" s="140">
        <f t="shared" si="229"/>
        <v>7.050034703494644</v>
      </c>
      <c r="BC222" s="140">
        <f t="shared" si="229"/>
        <v>7.2572610871750305</v>
      </c>
      <c r="BD222" s="140">
        <f t="shared" si="229"/>
        <v>7.4625439551546382</v>
      </c>
      <c r="BE222" s="140">
        <f t="shared" si="229"/>
        <v>7.6659592779992831</v>
      </c>
      <c r="BF222" s="140">
        <f t="shared" si="229"/>
        <v>7.8675782685998286</v>
      </c>
      <c r="BG222" s="140">
        <f t="shared" si="229"/>
        <v>8.0674677867450804</v>
      </c>
      <c r="BH222" s="140">
        <f t="shared" si="229"/>
        <v>8.2656907006481859</v>
      </c>
      <c r="BI222" s="140">
        <f t="shared" si="229"/>
        <v>8.3864458108373903</v>
      </c>
      <c r="BJ222" s="140">
        <f t="shared" si="229"/>
        <v>8.5069583763397922</v>
      </c>
      <c r="BK222" s="140">
        <f t="shared" si="229"/>
        <v>8.6272317208301033</v>
      </c>
      <c r="BL222" s="140">
        <f t="shared" si="229"/>
        <v>8.7472690938347455</v>
      </c>
      <c r="BM222" s="140">
        <f t="shared" si="229"/>
        <v>8.8670736730130972</v>
      </c>
      <c r="BN222" s="140">
        <f t="shared" si="229"/>
        <v>8.9866485663495848</v>
      </c>
      <c r="BO222" s="140">
        <f t="shared" si="229"/>
        <v>9.1059968142608696</v>
      </c>
      <c r="BP222" s="140">
        <f t="shared" si="229"/>
        <v>9.2251213916220589</v>
      </c>
      <c r="BQ222" s="140">
        <f t="shared" si="229"/>
        <v>9.3440252097156957</v>
      </c>
      <c r="BR222" s="140">
        <f t="shared" si="229"/>
        <v>9.4627111181071868</v>
      </c>
    </row>
    <row r="223" spans="1:70" ht="15">
      <c r="A223" t="s">
        <v>16</v>
      </c>
      <c r="B223" s="75" t="str">
        <f t="shared" si="227"/>
        <v>CNL</v>
      </c>
      <c r="C223" s="75" t="str">
        <f t="shared" si="227"/>
        <v>Commercial - Lighting</v>
      </c>
      <c r="E223" s="94"/>
      <c r="F223" s="94"/>
      <c r="I223" s="135"/>
      <c r="L223" s="140">
        <f t="shared" si="228"/>
        <v>0</v>
      </c>
      <c r="M223" s="140">
        <f t="shared" si="228"/>
        <v>0</v>
      </c>
      <c r="N223" s="140">
        <f t="shared" si="228"/>
        <v>0</v>
      </c>
      <c r="O223" s="140">
        <f t="shared" si="228"/>
        <v>0</v>
      </c>
      <c r="P223" s="140">
        <f t="shared" si="228"/>
        <v>0</v>
      </c>
      <c r="Q223" s="140">
        <f t="shared" si="228"/>
        <v>0</v>
      </c>
      <c r="R223" s="140">
        <f t="shared" si="228"/>
        <v>1.5371011281891316</v>
      </c>
      <c r="S223" s="140">
        <f t="shared" si="228"/>
        <v>2.9613501598697858</v>
      </c>
      <c r="T223" s="140">
        <f t="shared" si="228"/>
        <v>3.8553398926934275</v>
      </c>
      <c r="U223" s="140">
        <f t="shared" si="228"/>
        <v>6.1633940731006716</v>
      </c>
      <c r="V223" s="140">
        <f t="shared" si="228"/>
        <v>8.5937916373853636</v>
      </c>
      <c r="W223" s="140">
        <f t="shared" si="228"/>
        <v>9.9746756924750546</v>
      </c>
      <c r="X223" s="140">
        <f t="shared" si="228"/>
        <v>11.560401093414718</v>
      </c>
      <c r="Y223" s="140">
        <f t="shared" si="228"/>
        <v>13.147963237145738</v>
      </c>
      <c r="Z223" s="140">
        <f t="shared" si="228"/>
        <v>14.858899197008869</v>
      </c>
      <c r="AA223" s="140">
        <f t="shared" si="228"/>
        <v>16.825388340503885</v>
      </c>
      <c r="AB223" s="140">
        <f t="shared" si="228"/>
        <v>18.921326730766577</v>
      </c>
      <c r="AC223" s="140">
        <f t="shared" si="228"/>
        <v>21.19288211568999</v>
      </c>
      <c r="AD223" s="140">
        <f t="shared" si="228"/>
        <v>23.613503182782466</v>
      </c>
      <c r="AE223" s="140">
        <f t="shared" si="228"/>
        <v>26.143271656780509</v>
      </c>
      <c r="AF223" s="140">
        <f t="shared" si="228"/>
        <v>28.731877145168333</v>
      </c>
      <c r="AG223" s="140">
        <f t="shared" si="228"/>
        <v>31.370090799369272</v>
      </c>
      <c r="AH223" s="140">
        <f t="shared" si="228"/>
        <v>34.014487562667831</v>
      </c>
      <c r="AI223" s="140">
        <f t="shared" si="228"/>
        <v>36.647420485204051</v>
      </c>
      <c r="AJ223" s="140">
        <f t="shared" si="228"/>
        <v>39.258798232701764</v>
      </c>
      <c r="AK223" s="140">
        <f t="shared" si="228"/>
        <v>41.909556416045291</v>
      </c>
      <c r="AL223" s="140">
        <f t="shared" si="228"/>
        <v>44.601519183043465</v>
      </c>
      <c r="AM223" s="140">
        <f t="shared" si="228"/>
        <v>47.371379911093754</v>
      </c>
      <c r="AN223" s="140">
        <f t="shared" si="228"/>
        <v>50.173630072913639</v>
      </c>
      <c r="AO223" s="140">
        <f t="shared" si="228"/>
        <v>53.002137139759441</v>
      </c>
      <c r="AP223" s="140">
        <f t="shared" si="228"/>
        <v>55.792533481035875</v>
      </c>
      <c r="AQ223" s="140">
        <f t="shared" si="228"/>
        <v>58.546846528188553</v>
      </c>
      <c r="AR223" s="140">
        <f t="shared" si="228"/>
        <v>61.266932429539388</v>
      </c>
      <c r="AS223" s="140">
        <f t="shared" si="228"/>
        <v>63.954495536467107</v>
      </c>
      <c r="AT223" s="140">
        <f t="shared" si="228"/>
        <v>66.684664590915006</v>
      </c>
      <c r="AU223" s="140">
        <f t="shared" si="228"/>
        <v>69.382854887809259</v>
      </c>
      <c r="AV223" s="140">
        <f t="shared" si="228"/>
        <v>72.050576356963219</v>
      </c>
      <c r="AW223" s="140">
        <f t="shared" si="228"/>
        <v>74.689225286434294</v>
      </c>
      <c r="AX223" s="140">
        <f t="shared" si="228"/>
        <v>77.300095880491654</v>
      </c>
      <c r="AY223" s="140">
        <f t="shared" si="229"/>
        <v>79.99154958914869</v>
      </c>
      <c r="AZ223" s="140">
        <f t="shared" si="229"/>
        <v>82.654265443485116</v>
      </c>
      <c r="BA223" s="140">
        <f t="shared" si="229"/>
        <v>85.289492201972209</v>
      </c>
      <c r="BB223" s="140">
        <f t="shared" si="229"/>
        <v>87.898391925166862</v>
      </c>
      <c r="BC223" s="140">
        <f t="shared" si="229"/>
        <v>90.482048127730621</v>
      </c>
      <c r="BD223" s="140">
        <f t="shared" si="229"/>
        <v>93.041472973717475</v>
      </c>
      <c r="BE223" s="140">
        <f t="shared" si="229"/>
        <v>95.577613648616577</v>
      </c>
      <c r="BF223" s="140">
        <f t="shared" si="229"/>
        <v>98.091358020197987</v>
      </c>
      <c r="BG223" s="140">
        <f t="shared" si="229"/>
        <v>100.58353968264495</v>
      </c>
      <c r="BH223" s="140">
        <f t="shared" si="229"/>
        <v>103.05494246399115</v>
      </c>
      <c r="BI223" s="140">
        <f t="shared" si="229"/>
        <v>104.56049250009465</v>
      </c>
      <c r="BJ223" s="140">
        <f t="shared" si="229"/>
        <v>106.06301853860998</v>
      </c>
      <c r="BK223" s="140">
        <f t="shared" si="229"/>
        <v>107.56256201843422</v>
      </c>
      <c r="BL223" s="140">
        <f t="shared" si="229"/>
        <v>109.05916345399871</v>
      </c>
      <c r="BM223" s="140">
        <f t="shared" si="229"/>
        <v>110.55286246371119</v>
      </c>
      <c r="BN223" s="140">
        <f t="shared" si="229"/>
        <v>112.04369779728628</v>
      </c>
      <c r="BO223" s="140">
        <f t="shared" si="229"/>
        <v>113.53170736201767</v>
      </c>
      <c r="BP223" s="140">
        <f t="shared" si="229"/>
        <v>115.01692824804016</v>
      </c>
      <c r="BQ223" s="140">
        <f t="shared" si="229"/>
        <v>116.49939675262961</v>
      </c>
      <c r="BR223" s="140">
        <f t="shared" si="229"/>
        <v>117.97914840358506</v>
      </c>
    </row>
    <row r="224" spans="1:70" ht="15">
      <c r="A224" t="s">
        <v>16</v>
      </c>
      <c r="B224" s="75" t="str">
        <f t="shared" si="227"/>
        <v>CNR</v>
      </c>
      <c r="C224" s="75" t="str">
        <f t="shared" si="227"/>
        <v>Commercial - Refrigeration</v>
      </c>
      <c r="E224" s="94"/>
      <c r="F224" s="94"/>
      <c r="I224" s="135"/>
      <c r="L224" s="140">
        <f t="shared" si="228"/>
        <v>0</v>
      </c>
      <c r="M224" s="140">
        <f t="shared" si="228"/>
        <v>0</v>
      </c>
      <c r="N224" s="140">
        <f t="shared" si="228"/>
        <v>0</v>
      </c>
      <c r="O224" s="140">
        <f t="shared" si="228"/>
        <v>0</v>
      </c>
      <c r="P224" s="140">
        <f t="shared" si="228"/>
        <v>0</v>
      </c>
      <c r="Q224" s="140">
        <f t="shared" si="228"/>
        <v>0</v>
      </c>
      <c r="R224" s="140">
        <f t="shared" si="228"/>
        <v>0.37392159230343008</v>
      </c>
      <c r="S224" s="140">
        <f t="shared" si="228"/>
        <v>0.72039031579598123</v>
      </c>
      <c r="T224" s="140">
        <f t="shared" si="228"/>
        <v>0.93786596412508894</v>
      </c>
      <c r="U224" s="140">
        <f t="shared" si="228"/>
        <v>1.4993327918003814</v>
      </c>
      <c r="V224" s="140">
        <f t="shared" si="228"/>
        <v>2.0905613781968713</v>
      </c>
      <c r="W224" s="140">
        <f t="shared" si="228"/>
        <v>2.4264809577198276</v>
      </c>
      <c r="X224" s="140">
        <f t="shared" si="228"/>
        <v>2.8122310921783833</v>
      </c>
      <c r="Y224" s="140">
        <f t="shared" si="228"/>
        <v>3.1984280403023502</v>
      </c>
      <c r="Z224" s="140">
        <f t="shared" si="228"/>
        <v>3.6146374143693114</v>
      </c>
      <c r="AA224" s="140">
        <f t="shared" si="228"/>
        <v>4.0930137152502706</v>
      </c>
      <c r="AB224" s="140">
        <f t="shared" si="228"/>
        <v>4.602880376515567</v>
      </c>
      <c r="AC224" s="140">
        <f t="shared" si="228"/>
        <v>5.1554683559002807</v>
      </c>
      <c r="AD224" s="140">
        <f t="shared" si="228"/>
        <v>5.7443186710625467</v>
      </c>
      <c r="AE224" s="140">
        <f t="shared" si="228"/>
        <v>6.3597206368855623</v>
      </c>
      <c r="AF224" s="140">
        <f t="shared" si="228"/>
        <v>6.9894355387305076</v>
      </c>
      <c r="AG224" s="140">
        <f t="shared" si="228"/>
        <v>7.6312183286355877</v>
      </c>
      <c r="AH224" s="140">
        <f t="shared" si="228"/>
        <v>8.2745052472910565</v>
      </c>
      <c r="AI224" s="140">
        <f t="shared" si="228"/>
        <v>8.9150034245207657</v>
      </c>
      <c r="AJ224" s="140">
        <f t="shared" si="228"/>
        <v>9.5502580005163296</v>
      </c>
      <c r="AK224" s="140">
        <f t="shared" si="228"/>
        <v>10.195092424582409</v>
      </c>
      <c r="AL224" s="140">
        <f t="shared" si="228"/>
        <v>10.849950446476758</v>
      </c>
      <c r="AM224" s="140">
        <f t="shared" si="228"/>
        <v>11.523758249292879</v>
      </c>
      <c r="AN224" s="140">
        <f t="shared" si="228"/>
        <v>12.205445240034134</v>
      </c>
      <c r="AO224" s="140">
        <f t="shared" si="228"/>
        <v>12.893519594336702</v>
      </c>
      <c r="AP224" s="140">
        <f t="shared" si="228"/>
        <v>13.57232297555403</v>
      </c>
      <c r="AQ224" s="140">
        <f t="shared" si="228"/>
        <v>14.242348585064036</v>
      </c>
      <c r="AR224" s="140">
        <f t="shared" si="228"/>
        <v>14.904047957201943</v>
      </c>
      <c r="AS224" s="140">
        <f t="shared" si="228"/>
        <v>15.557835699549312</v>
      </c>
      <c r="AT224" s="140">
        <f t="shared" si="228"/>
        <v>16.221987941308058</v>
      </c>
      <c r="AU224" s="140">
        <f t="shared" si="228"/>
        <v>16.878360897940372</v>
      </c>
      <c r="AV224" s="140">
        <f t="shared" si="228"/>
        <v>17.52732188123187</v>
      </c>
      <c r="AW224" s="140">
        <f t="shared" si="228"/>
        <v>18.169210558003542</v>
      </c>
      <c r="AX224" s="140">
        <f t="shared" si="228"/>
        <v>18.804341761750862</v>
      </c>
      <c r="AY224" s="140">
        <f t="shared" si="229"/>
        <v>19.459075948002909</v>
      </c>
      <c r="AZ224" s="140">
        <f t="shared" si="229"/>
        <v>20.106819244683749</v>
      </c>
      <c r="BA224" s="140">
        <f t="shared" si="229"/>
        <v>20.747875429955677</v>
      </c>
      <c r="BB224" s="140">
        <f t="shared" si="229"/>
        <v>21.382527191486936</v>
      </c>
      <c r="BC224" s="140">
        <f t="shared" si="229"/>
        <v>22.01103810954568</v>
      </c>
      <c r="BD224" s="140">
        <f t="shared" si="229"/>
        <v>22.633654407355465</v>
      </c>
      <c r="BE224" s="140">
        <f t="shared" si="229"/>
        <v>23.250606501184834</v>
      </c>
      <c r="BF224" s="140">
        <f t="shared" si="229"/>
        <v>23.862110377428071</v>
      </c>
      <c r="BG224" s="140">
        <f t="shared" si="229"/>
        <v>24.468368819661755</v>
      </c>
      <c r="BH224" s="140">
        <f t="shared" si="229"/>
        <v>25.069572505142617</v>
      </c>
      <c r="BI224" s="140">
        <f t="shared" si="229"/>
        <v>25.435818847994195</v>
      </c>
      <c r="BJ224" s="140">
        <f t="shared" si="229"/>
        <v>25.801329560656871</v>
      </c>
      <c r="BK224" s="140">
        <f t="shared" si="229"/>
        <v>26.166114723728533</v>
      </c>
      <c r="BL224" s="140">
        <f t="shared" si="229"/>
        <v>26.530184192917691</v>
      </c>
      <c r="BM224" s="140">
        <f t="shared" si="229"/>
        <v>26.893547605962446</v>
      </c>
      <c r="BN224" s="140">
        <f t="shared" si="229"/>
        <v>27.256214389279013</v>
      </c>
      <c r="BO224" s="140">
        <f t="shared" si="229"/>
        <v>27.618193764352785</v>
      </c>
      <c r="BP224" s="140">
        <f t="shared" si="229"/>
        <v>27.979494753883714</v>
      </c>
      <c r="BQ224" s="140">
        <f t="shared" si="229"/>
        <v>28.340126187697589</v>
      </c>
      <c r="BR224" s="140">
        <f t="shared" si="229"/>
        <v>28.700096708434081</v>
      </c>
    </row>
    <row r="225" spans="1:70" ht="15">
      <c r="A225" t="s">
        <v>16</v>
      </c>
      <c r="B225" s="75" t="str">
        <f t="shared" si="227"/>
        <v>CNW</v>
      </c>
      <c r="C225" s="75" t="str">
        <f t="shared" si="227"/>
        <v>Commercial - Water Heating</v>
      </c>
      <c r="E225" s="94"/>
      <c r="F225" s="94"/>
      <c r="I225" s="135"/>
      <c r="L225" s="140">
        <f t="shared" si="228"/>
        <v>0</v>
      </c>
      <c r="M225" s="140">
        <f t="shared" si="228"/>
        <v>0</v>
      </c>
      <c r="N225" s="140">
        <f t="shared" si="228"/>
        <v>0</v>
      </c>
      <c r="O225" s="140">
        <f t="shared" si="228"/>
        <v>0</v>
      </c>
      <c r="P225" s="140">
        <f t="shared" si="228"/>
        <v>0</v>
      </c>
      <c r="Q225" s="140">
        <f t="shared" si="228"/>
        <v>0</v>
      </c>
      <c r="R225" s="140">
        <f t="shared" si="228"/>
        <v>0.19796348261065</v>
      </c>
      <c r="S225" s="140">
        <f t="shared" si="228"/>
        <v>0.38139272694964443</v>
      </c>
      <c r="T225" s="140">
        <f t="shared" si="228"/>
        <v>0.49652979742751913</v>
      </c>
      <c r="U225" s="140">
        <f t="shared" si="228"/>
        <v>0.79378443814577593</v>
      </c>
      <c r="V225" s="140">
        <f t="shared" si="228"/>
        <v>1.106795701445713</v>
      </c>
      <c r="W225" s="140">
        <f t="shared" si="228"/>
        <v>1.2846399640084012</v>
      </c>
      <c r="X225" s="140">
        <f t="shared" si="228"/>
        <v>1.4888657739289308</v>
      </c>
      <c r="Y225" s="140">
        <f t="shared" si="228"/>
        <v>1.6933281382263772</v>
      </c>
      <c r="Z225" s="140">
        <f t="shared" si="228"/>
        <v>1.9136798346286354</v>
      </c>
      <c r="AA225" s="140">
        <f t="shared" si="228"/>
        <v>2.1669442635090799</v>
      </c>
      <c r="AB225" s="140">
        <f t="shared" si="228"/>
        <v>2.4368804801082971</v>
      </c>
      <c r="AC225" s="140">
        <f t="shared" si="228"/>
        <v>2.7294344355348938</v>
      </c>
      <c r="AD225" s="140">
        <f t="shared" si="228"/>
        <v>3.0411865823093072</v>
      </c>
      <c r="AE225" s="140">
        <f t="shared" si="228"/>
        <v>3.3669958398311461</v>
      </c>
      <c r="AF225" s="140">
        <f t="shared" si="228"/>
        <v>3.700382725175519</v>
      </c>
      <c r="AG225" s="140">
        <f t="shared" si="228"/>
        <v>4.0401586535634433</v>
      </c>
      <c r="AH225" s="140">
        <f t="shared" si="228"/>
        <v>4.3807309054904486</v>
      </c>
      <c r="AI225" s="140">
        <f t="shared" si="228"/>
        <v>4.7198267276629062</v>
      </c>
      <c r="AJ225" s="140">
        <f t="shared" si="228"/>
        <v>5.0561464556404889</v>
      </c>
      <c r="AK225" s="140">
        <f t="shared" si="228"/>
        <v>5.3975379957999694</v>
      </c>
      <c r="AL225" s="140">
        <f t="shared" si="228"/>
        <v>5.7442362804085985</v>
      </c>
      <c r="AM225" s="140">
        <f t="shared" si="228"/>
        <v>6.1009670549915942</v>
      </c>
      <c r="AN225" s="140">
        <f t="shared" si="228"/>
        <v>6.4618692695606956</v>
      </c>
      <c r="AO225" s="140">
        <f t="shared" si="228"/>
        <v>6.8261531148281174</v>
      </c>
      <c r="AP225" s="140">
        <f t="shared" si="228"/>
        <v>7.1855286740887374</v>
      </c>
      <c r="AQ225" s="140">
        <f t="shared" si="228"/>
        <v>7.5402570605395773</v>
      </c>
      <c r="AR225" s="140">
        <f t="shared" si="228"/>
        <v>7.8905773277987157</v>
      </c>
      <c r="AS225" s="140">
        <f t="shared" si="228"/>
        <v>8.2367089795333737</v>
      </c>
      <c r="AT225" s="140">
        <f t="shared" si="228"/>
        <v>8.5883278575775694</v>
      </c>
      <c r="AU225" s="140">
        <f t="shared" si="228"/>
        <v>8.9358281866865141</v>
      </c>
      <c r="AV225" s="140">
        <f t="shared" si="228"/>
        <v>9.2794044309451387</v>
      </c>
      <c r="AW225" s="140">
        <f t="shared" si="228"/>
        <v>9.6192364184997565</v>
      </c>
      <c r="AX225" s="140">
        <f t="shared" si="228"/>
        <v>9.9554908301104241</v>
      </c>
      <c r="AY225" s="140">
        <f t="shared" si="229"/>
        <v>10.302123553019687</v>
      </c>
      <c r="AZ225" s="140">
        <f t="shared" si="229"/>
        <v>10.645055123402459</v>
      </c>
      <c r="BA225" s="140">
        <f t="shared" si="229"/>
        <v>10.984446369047742</v>
      </c>
      <c r="BB225" s="140">
        <f t="shared" si="229"/>
        <v>11.320446951907261</v>
      </c>
      <c r="BC225" s="140">
        <f t="shared" si="229"/>
        <v>11.653196417995218</v>
      </c>
      <c r="BD225" s="140">
        <f t="shared" si="229"/>
        <v>11.982825124070464</v>
      </c>
      <c r="BE225" s="140">
        <f t="shared" si="229"/>
        <v>12.309455058292837</v>
      </c>
      <c r="BF225" s="140">
        <f t="shared" si="229"/>
        <v>12.63320056928432</v>
      </c>
      <c r="BG225" s="140">
        <f t="shared" si="229"/>
        <v>12.954169015763593</v>
      </c>
      <c r="BH225" s="140">
        <f t="shared" si="229"/>
        <v>13.272461347059533</v>
      </c>
      <c r="BI225" s="140">
        <f t="shared" si="229"/>
        <v>13.466361359834076</v>
      </c>
      <c r="BJ225" s="140">
        <f t="shared" si="229"/>
        <v>13.659871911510074</v>
      </c>
      <c r="BK225" s="140">
        <f t="shared" si="229"/>
        <v>13.852998339009238</v>
      </c>
      <c r="BL225" s="140">
        <f t="shared" si="229"/>
        <v>14.045745860191195</v>
      </c>
      <c r="BM225" s="140">
        <f t="shared" si="229"/>
        <v>14.238119577516562</v>
      </c>
      <c r="BN225" s="140">
        <f t="shared" si="229"/>
        <v>14.430124481566848</v>
      </c>
      <c r="BO225" s="140">
        <f t="shared" si="229"/>
        <v>14.621765454428026</v>
      </c>
      <c r="BP225" s="140">
        <f t="shared" si="229"/>
        <v>14.813047272944075</v>
      </c>
      <c r="BQ225" s="140">
        <f t="shared" si="229"/>
        <v>15.003974611846541</v>
      </c>
      <c r="BR225" s="140">
        <f t="shared" si="229"/>
        <v>15.194552046765942</v>
      </c>
    </row>
    <row r="226" spans="1:70" ht="15">
      <c r="A226" t="s">
        <v>16</v>
      </c>
      <c r="B226" s="75" t="str">
        <f t="shared" si="227"/>
        <v>CNG</v>
      </c>
      <c r="C226" s="75" t="str">
        <f t="shared" si="227"/>
        <v>Commercial - Public lights</v>
      </c>
      <c r="E226" s="94"/>
      <c r="F226" s="94"/>
      <c r="I226" s="135"/>
      <c r="L226" s="140">
        <f t="shared" si="228"/>
        <v>0</v>
      </c>
      <c r="M226" s="140">
        <f t="shared" si="228"/>
        <v>0</v>
      </c>
      <c r="N226" s="140">
        <f t="shared" si="228"/>
        <v>0</v>
      </c>
      <c r="O226" s="140">
        <f t="shared" si="228"/>
        <v>0</v>
      </c>
      <c r="P226" s="140">
        <f t="shared" si="228"/>
        <v>0</v>
      </c>
      <c r="Q226" s="140">
        <f t="shared" si="228"/>
        <v>0</v>
      </c>
      <c r="R226" s="140">
        <f t="shared" si="228"/>
        <v>0</v>
      </c>
      <c r="S226" s="140">
        <f t="shared" si="228"/>
        <v>0</v>
      </c>
      <c r="T226" s="140">
        <f t="shared" si="228"/>
        <v>0</v>
      </c>
      <c r="U226" s="140">
        <f t="shared" si="228"/>
        <v>0</v>
      </c>
      <c r="V226" s="140">
        <f t="shared" si="228"/>
        <v>0</v>
      </c>
      <c r="W226" s="140">
        <f t="shared" si="228"/>
        <v>0</v>
      </c>
      <c r="X226" s="140">
        <f t="shared" si="228"/>
        <v>0</v>
      </c>
      <c r="Y226" s="140">
        <f t="shared" si="228"/>
        <v>0</v>
      </c>
      <c r="Z226" s="140">
        <f t="shared" si="228"/>
        <v>0</v>
      </c>
      <c r="AA226" s="140">
        <f t="shared" si="228"/>
        <v>0</v>
      </c>
      <c r="AB226" s="140">
        <f t="shared" si="228"/>
        <v>0</v>
      </c>
      <c r="AC226" s="140">
        <f t="shared" si="228"/>
        <v>0</v>
      </c>
      <c r="AD226" s="140">
        <f t="shared" si="228"/>
        <v>0</v>
      </c>
      <c r="AE226" s="140">
        <f t="shared" si="228"/>
        <v>0</v>
      </c>
      <c r="AF226" s="140">
        <f t="shared" si="228"/>
        <v>0</v>
      </c>
      <c r="AG226" s="140">
        <f t="shared" si="230" ref="AG226:AX228">AG192+AG203+AG214</f>
        <v>0</v>
      </c>
      <c r="AH226" s="140">
        <f t="shared" si="230"/>
        <v>0</v>
      </c>
      <c r="AI226" s="140">
        <f t="shared" si="230"/>
        <v>0</v>
      </c>
      <c r="AJ226" s="140">
        <f t="shared" si="230"/>
        <v>0</v>
      </c>
      <c r="AK226" s="140">
        <f t="shared" si="230"/>
        <v>0</v>
      </c>
      <c r="AL226" s="140">
        <f t="shared" si="230"/>
        <v>0</v>
      </c>
      <c r="AM226" s="140">
        <f t="shared" si="230"/>
        <v>0</v>
      </c>
      <c r="AN226" s="140">
        <f t="shared" si="230"/>
        <v>0</v>
      </c>
      <c r="AO226" s="140">
        <f t="shared" si="230"/>
        <v>0</v>
      </c>
      <c r="AP226" s="140">
        <f t="shared" si="230"/>
        <v>0</v>
      </c>
      <c r="AQ226" s="140">
        <f t="shared" si="230"/>
        <v>0</v>
      </c>
      <c r="AR226" s="140">
        <f t="shared" si="230"/>
        <v>0</v>
      </c>
      <c r="AS226" s="140">
        <f t="shared" si="230"/>
        <v>0</v>
      </c>
      <c r="AT226" s="140">
        <f t="shared" si="230"/>
        <v>0</v>
      </c>
      <c r="AU226" s="140">
        <f t="shared" si="230"/>
        <v>0</v>
      </c>
      <c r="AV226" s="140">
        <f t="shared" si="230"/>
        <v>0</v>
      </c>
      <c r="AW226" s="140">
        <f t="shared" si="230"/>
        <v>0</v>
      </c>
      <c r="AX226" s="140">
        <f t="shared" si="230"/>
        <v>0</v>
      </c>
      <c r="AY226" s="140">
        <f t="shared" si="231" ref="AY226:BR226">AY192+AY203+AY214</f>
        <v>0</v>
      </c>
      <c r="AZ226" s="140">
        <f t="shared" si="231"/>
        <v>0</v>
      </c>
      <c r="BA226" s="140">
        <f t="shared" si="231"/>
        <v>0</v>
      </c>
      <c r="BB226" s="140">
        <f t="shared" si="231"/>
        <v>0</v>
      </c>
      <c r="BC226" s="140">
        <f t="shared" si="231"/>
        <v>0</v>
      </c>
      <c r="BD226" s="140">
        <f t="shared" si="231"/>
        <v>0</v>
      </c>
      <c r="BE226" s="140">
        <f t="shared" si="231"/>
        <v>0</v>
      </c>
      <c r="BF226" s="140">
        <f t="shared" si="231"/>
        <v>0</v>
      </c>
      <c r="BG226" s="140">
        <f t="shared" si="231"/>
        <v>0</v>
      </c>
      <c r="BH226" s="140">
        <f t="shared" si="231"/>
        <v>0</v>
      </c>
      <c r="BI226" s="140">
        <f t="shared" si="231"/>
        <v>0</v>
      </c>
      <c r="BJ226" s="140">
        <f t="shared" si="231"/>
        <v>0</v>
      </c>
      <c r="BK226" s="140">
        <f t="shared" si="231"/>
        <v>0</v>
      </c>
      <c r="BL226" s="140">
        <f t="shared" si="231"/>
        <v>0</v>
      </c>
      <c r="BM226" s="140">
        <f t="shared" si="231"/>
        <v>0</v>
      </c>
      <c r="BN226" s="140">
        <f t="shared" si="231"/>
        <v>0</v>
      </c>
      <c r="BO226" s="140">
        <f t="shared" si="231"/>
        <v>0</v>
      </c>
      <c r="BP226" s="140">
        <f t="shared" si="231"/>
        <v>0</v>
      </c>
      <c r="BQ226" s="140">
        <f t="shared" si="231"/>
        <v>0</v>
      </c>
      <c r="BR226" s="140">
        <f t="shared" si="231"/>
        <v>0</v>
      </c>
    </row>
    <row r="227" spans="1:70" ht="15">
      <c r="A227" t="s">
        <v>16</v>
      </c>
      <c r="B227" s="75" t="str">
        <f t="shared" si="227"/>
        <v>CNT</v>
      </c>
      <c r="C227" s="75" t="str">
        <f t="shared" si="227"/>
        <v>Commercial - Public Water</v>
      </c>
      <c r="E227" s="94"/>
      <c r="F227" s="94"/>
      <c r="I227" s="135"/>
      <c r="L227" s="140">
        <f t="shared" si="232" ref="L227:AX228">L193+L204+L215</f>
        <v>0</v>
      </c>
      <c r="M227" s="140">
        <f t="shared" si="232"/>
        <v>0</v>
      </c>
      <c r="N227" s="140">
        <f t="shared" si="232"/>
        <v>0</v>
      </c>
      <c r="O227" s="140">
        <f t="shared" si="232"/>
        <v>0</v>
      </c>
      <c r="P227" s="140">
        <f t="shared" si="232"/>
        <v>0</v>
      </c>
      <c r="Q227" s="140">
        <f t="shared" si="232"/>
        <v>0</v>
      </c>
      <c r="R227" s="140">
        <f t="shared" si="232"/>
        <v>0</v>
      </c>
      <c r="S227" s="140">
        <f t="shared" si="232"/>
        <v>0</v>
      </c>
      <c r="T227" s="140">
        <f t="shared" si="232"/>
        <v>0</v>
      </c>
      <c r="U227" s="140">
        <f t="shared" si="232"/>
        <v>0</v>
      </c>
      <c r="V227" s="140">
        <f t="shared" si="232"/>
        <v>0</v>
      </c>
      <c r="W227" s="140">
        <f t="shared" si="232"/>
        <v>0</v>
      </c>
      <c r="X227" s="140">
        <f t="shared" si="232"/>
        <v>0</v>
      </c>
      <c r="Y227" s="140">
        <f t="shared" si="232"/>
        <v>0</v>
      </c>
      <c r="Z227" s="140">
        <f t="shared" si="232"/>
        <v>0</v>
      </c>
      <c r="AA227" s="140">
        <f t="shared" si="232"/>
        <v>0</v>
      </c>
      <c r="AB227" s="140">
        <f t="shared" si="232"/>
        <v>0</v>
      </c>
      <c r="AC227" s="140">
        <f t="shared" si="232"/>
        <v>0</v>
      </c>
      <c r="AD227" s="140">
        <f t="shared" si="232"/>
        <v>0</v>
      </c>
      <c r="AE227" s="140">
        <f t="shared" si="232"/>
        <v>0</v>
      </c>
      <c r="AF227" s="140">
        <f t="shared" si="232"/>
        <v>0</v>
      </c>
      <c r="AG227" s="140">
        <f t="shared" si="232"/>
        <v>0</v>
      </c>
      <c r="AH227" s="140">
        <f t="shared" si="232"/>
        <v>0</v>
      </c>
      <c r="AI227" s="140">
        <f t="shared" si="232"/>
        <v>0</v>
      </c>
      <c r="AJ227" s="140">
        <f t="shared" si="232"/>
        <v>0</v>
      </c>
      <c r="AK227" s="140">
        <f t="shared" si="230"/>
        <v>0</v>
      </c>
      <c r="AL227" s="140">
        <f t="shared" si="230"/>
        <v>0</v>
      </c>
      <c r="AM227" s="140">
        <f t="shared" si="230"/>
        <v>0</v>
      </c>
      <c r="AN227" s="140">
        <f t="shared" si="230"/>
        <v>0</v>
      </c>
      <c r="AO227" s="140">
        <f t="shared" si="230"/>
        <v>0</v>
      </c>
      <c r="AP227" s="140">
        <f t="shared" si="230"/>
        <v>0</v>
      </c>
      <c r="AQ227" s="140">
        <f t="shared" si="230"/>
        <v>0</v>
      </c>
      <c r="AR227" s="140">
        <f t="shared" si="230"/>
        <v>0</v>
      </c>
      <c r="AS227" s="140">
        <f t="shared" si="230"/>
        <v>0</v>
      </c>
      <c r="AT227" s="140">
        <f t="shared" si="230"/>
        <v>0</v>
      </c>
      <c r="AU227" s="140">
        <f t="shared" si="232"/>
        <v>0</v>
      </c>
      <c r="AV227" s="140">
        <f t="shared" si="232"/>
        <v>0</v>
      </c>
      <c r="AW227" s="140">
        <f t="shared" si="232"/>
        <v>0</v>
      </c>
      <c r="AX227" s="140">
        <f t="shared" si="232"/>
        <v>0</v>
      </c>
      <c r="AY227" s="140">
        <f t="shared" si="233" ref="AY227:BR227">AY193+AY204+AY215</f>
        <v>0</v>
      </c>
      <c r="AZ227" s="140">
        <f t="shared" si="233"/>
        <v>0</v>
      </c>
      <c r="BA227" s="140">
        <f t="shared" si="233"/>
        <v>0</v>
      </c>
      <c r="BB227" s="140">
        <f t="shared" si="233"/>
        <v>0</v>
      </c>
      <c r="BC227" s="140">
        <f t="shared" si="233"/>
        <v>0</v>
      </c>
      <c r="BD227" s="140">
        <f t="shared" si="233"/>
        <v>0</v>
      </c>
      <c r="BE227" s="140">
        <f t="shared" si="233"/>
        <v>0</v>
      </c>
      <c r="BF227" s="140">
        <f t="shared" si="233"/>
        <v>0</v>
      </c>
      <c r="BG227" s="140">
        <f t="shared" si="233"/>
        <v>0</v>
      </c>
      <c r="BH227" s="140">
        <f t="shared" si="233"/>
        <v>0</v>
      </c>
      <c r="BI227" s="140">
        <f t="shared" si="233"/>
        <v>0</v>
      </c>
      <c r="BJ227" s="140">
        <f t="shared" si="233"/>
        <v>0</v>
      </c>
      <c r="BK227" s="140">
        <f t="shared" si="233"/>
        <v>0</v>
      </c>
      <c r="BL227" s="140">
        <f t="shared" si="233"/>
        <v>0</v>
      </c>
      <c r="BM227" s="140">
        <f t="shared" si="233"/>
        <v>0</v>
      </c>
      <c r="BN227" s="140">
        <f t="shared" si="233"/>
        <v>0</v>
      </c>
      <c r="BO227" s="140">
        <f t="shared" si="233"/>
        <v>0</v>
      </c>
      <c r="BP227" s="140">
        <f t="shared" si="233"/>
        <v>0</v>
      </c>
      <c r="BQ227" s="140">
        <f t="shared" si="233"/>
        <v>0</v>
      </c>
      <c r="BR227" s="140">
        <f t="shared" si="233"/>
        <v>0</v>
      </c>
    </row>
    <row r="228" spans="1:70" ht="15">
      <c r="A228" t="s">
        <v>16</v>
      </c>
      <c r="B228" s="75" t="str">
        <f t="shared" si="227"/>
        <v>CNO</v>
      </c>
      <c r="C228" s="75" t="str">
        <f t="shared" si="227"/>
        <v>Commercial - Other</v>
      </c>
      <c r="E228" s="94"/>
      <c r="F228" s="94"/>
      <c r="I228" s="135"/>
      <c r="L228" s="140">
        <f t="shared" si="232"/>
        <v>0</v>
      </c>
      <c r="M228" s="140">
        <f t="shared" si="232"/>
        <v>0</v>
      </c>
      <c r="N228" s="140">
        <f t="shared" si="232"/>
        <v>0</v>
      </c>
      <c r="O228" s="140">
        <f t="shared" si="232"/>
        <v>0</v>
      </c>
      <c r="P228" s="140">
        <f t="shared" si="232"/>
        <v>0</v>
      </c>
      <c r="Q228" s="140">
        <f t="shared" si="232"/>
        <v>0</v>
      </c>
      <c r="R228" s="140">
        <f t="shared" si="232"/>
        <v>0.27783625702001274</v>
      </c>
      <c r="S228" s="140">
        <f t="shared" si="232"/>
        <v>0.53527411375538358</v>
      </c>
      <c r="T228" s="140">
        <f t="shared" si="232"/>
        <v>0.69686579866596787</v>
      </c>
      <c r="U228" s="140">
        <f t="shared" si="232"/>
        <v>1.1140544420958349</v>
      </c>
      <c r="V228" s="140">
        <f t="shared" si="232"/>
        <v>1.5533570682847404</v>
      </c>
      <c r="W228" s="140">
        <f t="shared" si="232"/>
        <v>1.8029565580051912</v>
      </c>
      <c r="X228" s="140">
        <f t="shared" si="232"/>
        <v>2.0895818177092655</v>
      </c>
      <c r="Y228" s="140">
        <f t="shared" si="232"/>
        <v>2.37653907492014</v>
      </c>
      <c r="Z228" s="140">
        <f t="shared" si="232"/>
        <v>2.685796569024864</v>
      </c>
      <c r="AA228" s="140">
        <f t="shared" si="232"/>
        <v>3.0412461702770721</v>
      </c>
      <c r="AB228" s="140">
        <f t="shared" si="232"/>
        <v>3.4200941631747033</v>
      </c>
      <c r="AC228" s="140">
        <f t="shared" si="232"/>
        <v>3.8306855251785183</v>
      </c>
      <c r="AD228" s="140">
        <f t="shared" si="232"/>
        <v>4.2682210162473995</v>
      </c>
      <c r="AE228" s="140">
        <f t="shared" si="232"/>
        <v>4.7254852723545371</v>
      </c>
      <c r="AF228" s="140">
        <f t="shared" si="232"/>
        <v>5.1933845189333478</v>
      </c>
      <c r="AG228" s="140">
        <f t="shared" si="232"/>
        <v>5.6702506102137713</v>
      </c>
      <c r="AH228" s="140">
        <f t="shared" si="232"/>
        <v>6.1482343194940281</v>
      </c>
      <c r="AI228" s="140">
        <f t="shared" si="232"/>
        <v>6.6241459005648444</v>
      </c>
      <c r="AJ228" s="140">
        <f t="shared" si="232"/>
        <v>7.0961613104324286</v>
      </c>
      <c r="AK228" s="140">
        <f t="shared" si="230"/>
        <v>7.575294868022735</v>
      </c>
      <c r="AL228" s="140">
        <f t="shared" si="230"/>
        <v>8.0618762942566384</v>
      </c>
      <c r="AM228" s="140">
        <f t="shared" si="230"/>
        <v>8.562538041902906</v>
      </c>
      <c r="AN228" s="140">
        <f t="shared" si="230"/>
        <v>9.0690542898683191</v>
      </c>
      <c r="AO228" s="140">
        <f t="shared" si="230"/>
        <v>9.5803165627240556</v>
      </c>
      <c r="AP228" s="140">
        <f t="shared" si="230"/>
        <v>10.084690192308166</v>
      </c>
      <c r="AQ228" s="140">
        <f t="shared" si="230"/>
        <v>10.582541643750289</v>
      </c>
      <c r="AR228" s="140">
        <f t="shared" si="230"/>
        <v>11.074206422172882</v>
      </c>
      <c r="AS228" s="140">
        <f t="shared" si="230"/>
        <v>11.559992594884607</v>
      </c>
      <c r="AT228" s="140">
        <f t="shared" si="230"/>
        <v>12.053479937525044</v>
      </c>
      <c r="AU228" s="140">
        <f t="shared" si="232"/>
        <v>12.541187010969189</v>
      </c>
      <c r="AV228" s="140">
        <f t="shared" si="232"/>
        <v>13.02338674016649</v>
      </c>
      <c r="AW228" s="140">
        <f t="shared" si="232"/>
        <v>13.500331508932479</v>
      </c>
      <c r="AX228" s="140">
        <f t="shared" si="232"/>
        <v>13.97225524909075</v>
      </c>
      <c r="AY228" s="140">
        <f t="shared" si="234" ref="AY228:BR228">AY194+AY205+AY216</f>
        <v>14.458744661298049</v>
      </c>
      <c r="AZ228" s="140">
        <f t="shared" si="234"/>
        <v>14.94003960859162</v>
      </c>
      <c r="BA228" s="140">
        <f t="shared" si="234"/>
        <v>15.41636580831252</v>
      </c>
      <c r="BB228" s="140">
        <f t="shared" si="234"/>
        <v>15.887933306858887</v>
      </c>
      <c r="BC228" s="140">
        <f t="shared" si="234"/>
        <v>16.354937953191129</v>
      </c>
      <c r="BD228" s="140">
        <f t="shared" si="234"/>
        <v>16.817562699404647</v>
      </c>
      <c r="BE228" s="140">
        <f t="shared" si="234"/>
        <v>17.275978752498244</v>
      </c>
      <c r="BF228" s="140">
        <f t="shared" si="234"/>
        <v>17.730346597591236</v>
      </c>
      <c r="BG228" s="140">
        <f t="shared" si="234"/>
        <v>18.180816909667527</v>
      </c>
      <c r="BH228" s="140">
        <f t="shared" si="234"/>
        <v>18.627531368310219</v>
      </c>
      <c r="BI228" s="140">
        <f t="shared" si="234"/>
        <v>18.899664658121889</v>
      </c>
      <c r="BJ228" s="140">
        <f t="shared" si="234"/>
        <v>19.171251350084063</v>
      </c>
      <c r="BK228" s="140">
        <f t="shared" si="234"/>
        <v>19.442298934418321</v>
      </c>
      <c r="BL228" s="140">
        <f t="shared" si="234"/>
        <v>19.712814734245939</v>
      </c>
      <c r="BM228" s="140">
        <f t="shared" si="234"/>
        <v>19.982805910728864</v>
      </c>
      <c r="BN228" s="140">
        <f t="shared" si="234"/>
        <v>20.252279468009817</v>
      </c>
      <c r="BO228" s="140">
        <f t="shared" si="234"/>
        <v>20.521242257961053</v>
      </c>
      <c r="BP228" s="140">
        <f t="shared" si="234"/>
        <v>20.789700984750603</v>
      </c>
      <c r="BQ228" s="140">
        <f t="shared" si="234"/>
        <v>21.057662209234529</v>
      </c>
      <c r="BR228" s="140">
        <f t="shared" si="234"/>
        <v>21.325132353183356</v>
      </c>
    </row>
    <row r="229" spans="1:70" ht="15.75" thickBot="1">
      <c r="A229" t="s">
        <v>16</v>
      </c>
      <c r="B229" s="73"/>
      <c r="C229" s="73"/>
      <c r="D229" s="73"/>
      <c r="E229" s="73"/>
      <c r="F229" s="73"/>
      <c r="G229" s="73"/>
      <c r="H229" s="73"/>
      <c r="I229" s="136"/>
      <c r="J229" s="73"/>
      <c r="K229" s="73"/>
      <c r="L229" s="73"/>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c r="BF229" s="73"/>
      <c r="BG229" s="73"/>
      <c r="BH229" s="73"/>
      <c r="BI229" s="73"/>
      <c r="BJ229" s="73"/>
      <c r="BK229" s="73"/>
      <c r="BL229" s="73"/>
      <c r="BM229" s="73"/>
      <c r="BN229" s="73"/>
      <c r="BO229" s="73"/>
      <c r="BP229" s="73"/>
      <c r="BQ229" s="73"/>
      <c r="BR229" s="73"/>
    </row>
    <row r="230" spans="1:70" ht="15">
      <c r="A230" t="s">
        <v>16</v>
      </c>
      <c r="E230" s="94"/>
      <c r="F230" s="94"/>
      <c r="I230" s="135"/>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c r="BH230" s="82"/>
      <c r="BI230" s="82"/>
      <c r="BJ230" s="82"/>
      <c r="BK230" s="82"/>
      <c r="BL230" s="82"/>
      <c r="BM230" s="82"/>
      <c r="BN230" s="82"/>
      <c r="BO230" s="82"/>
      <c r="BP230" s="82"/>
      <c r="BQ230" s="82"/>
      <c r="BR230" s="82"/>
    </row>
    <row r="231" spans="1:70" ht="15.75" thickBot="1">
      <c r="A231" t="s">
        <v>16</v>
      </c>
      <c r="B231" s="73" t="s">
        <v>483</v>
      </c>
      <c r="C231" s="73"/>
      <c r="E231" s="94"/>
      <c r="F231" s="94"/>
      <c r="I231" s="135"/>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c r="BH231" s="82"/>
      <c r="BI231" s="82"/>
      <c r="BJ231" s="82"/>
      <c r="BK231" s="82"/>
      <c r="BL231" s="82"/>
      <c r="BM231" s="82"/>
      <c r="BN231" s="82"/>
      <c r="BO231" s="82"/>
      <c r="BP231" s="82"/>
      <c r="BQ231" s="82"/>
      <c r="BR231" s="82"/>
    </row>
    <row r="232" spans="1:70" ht="15">
      <c r="A232" t="s">
        <v>16</v>
      </c>
      <c r="E232" s="94"/>
      <c r="F232" s="94"/>
      <c r="I232" s="135"/>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c r="BH232" s="82"/>
      <c r="BI232" s="82"/>
      <c r="BJ232" s="82"/>
      <c r="BK232" s="82"/>
      <c r="BL232" s="82"/>
      <c r="BM232" s="82"/>
      <c r="BN232" s="82"/>
      <c r="BO232" s="82"/>
      <c r="BP232" s="82"/>
      <c r="BQ232" s="82"/>
      <c r="BR232" s="82"/>
    </row>
    <row r="233" spans="1:70" ht="15">
      <c r="A233" t="s">
        <v>16</v>
      </c>
      <c r="B233" s="75" t="str">
        <f t="shared" si="235" ref="B233:C241">B162</f>
        <v>CEC</v>
      </c>
      <c r="C233" s="75" t="str">
        <f t="shared" si="235"/>
        <v>Commercial - Cooling</v>
      </c>
      <c r="E233" s="94"/>
      <c r="F233" s="94"/>
      <c r="I233" s="135"/>
      <c r="L233" s="82">
        <f t="shared" si="236" ref="L233:AX239">L162+L174+L151</f>
        <v>139.66439435388401</v>
      </c>
      <c r="M233" s="82">
        <f t="shared" si="236"/>
        <v>137.45465286071149</v>
      </c>
      <c r="N233" s="82">
        <f t="shared" si="236"/>
        <v>135.58181469226156</v>
      </c>
      <c r="O233" s="82">
        <f t="shared" si="236"/>
        <v>133.436204088712</v>
      </c>
      <c r="P233" s="82">
        <f t="shared" si="236"/>
        <v>131.16029709988757</v>
      </c>
      <c r="Q233" s="82">
        <f t="shared" si="236"/>
        <v>128.41271933541799</v>
      </c>
      <c r="R233" s="82">
        <f t="shared" si="236"/>
        <v>127.5701706714746</v>
      </c>
      <c r="S233" s="82">
        <f t="shared" si="236"/>
        <v>126.6952018486339</v>
      </c>
      <c r="T233" s="82">
        <f t="shared" si="236"/>
        <v>125.66790009395055</v>
      </c>
      <c r="U233" s="82">
        <f t="shared" si="236"/>
        <v>125.04683088168406</v>
      </c>
      <c r="V233" s="82">
        <f t="shared" si="236"/>
        <v>124.46090848607453</v>
      </c>
      <c r="W233" s="82">
        <f t="shared" si="236"/>
        <v>123.57348176944934</v>
      </c>
      <c r="X233" s="82">
        <f t="shared" si="236"/>
        <v>122.74490189029254</v>
      </c>
      <c r="Y233" s="82">
        <f t="shared" si="236"/>
        <v>121.91684967074497</v>
      </c>
      <c r="Z233" s="82">
        <f t="shared" si="236"/>
        <v>121.1242402905112</v>
      </c>
      <c r="AA233" s="82">
        <f t="shared" si="236"/>
        <v>120.40504624837382</v>
      </c>
      <c r="AB233" s="82">
        <f t="shared" si="236"/>
        <v>119.72304039572687</v>
      </c>
      <c r="AC233" s="82">
        <f t="shared" si="236"/>
        <v>119.09148580670833</v>
      </c>
      <c r="AD233" s="82">
        <f t="shared" si="236"/>
        <v>118.50275481823935</v>
      </c>
      <c r="AE233" s="82">
        <f t="shared" si="236"/>
        <v>117.94537970515583</v>
      </c>
      <c r="AF233" s="82">
        <f t="shared" si="236"/>
        <v>117.4049072940564</v>
      </c>
      <c r="AG233" s="82">
        <f t="shared" si="236"/>
        <v>116.8786863206176</v>
      </c>
      <c r="AH233" s="82">
        <f t="shared" si="236"/>
        <v>116.35424163123227</v>
      </c>
      <c r="AI233" s="82">
        <f t="shared" si="236"/>
        <v>115.82650360879785</v>
      </c>
      <c r="AJ233" s="82">
        <f t="shared" si="236"/>
        <v>115.29257321403338</v>
      </c>
      <c r="AK233" s="82">
        <f t="shared" si="236"/>
        <v>114.76995603388403</v>
      </c>
      <c r="AL233" s="82">
        <f t="shared" si="236"/>
        <v>114.2591761096715</v>
      </c>
      <c r="AM233" s="82">
        <f t="shared" si="236"/>
        <v>113.77077471765489</v>
      </c>
      <c r="AN233" s="82">
        <f t="shared" si="236"/>
        <v>113.2916781646434</v>
      </c>
      <c r="AO233" s="82">
        <f t="shared" si="236"/>
        <v>112.8201246973116</v>
      </c>
      <c r="AP233" s="82">
        <f t="shared" si="236"/>
        <v>112.33762277782975</v>
      </c>
      <c r="AQ233" s="82">
        <f t="shared" si="236"/>
        <v>111.84475484685834</v>
      </c>
      <c r="AR233" s="82">
        <f t="shared" si="236"/>
        <v>111.3420541388289</v>
      </c>
      <c r="AS233" s="82">
        <f t="shared" si="236"/>
        <v>110.83001027993558</v>
      </c>
      <c r="AT233" s="82">
        <f t="shared" si="236"/>
        <v>110.33020626089738</v>
      </c>
      <c r="AU233" s="82">
        <f t="shared" si="236"/>
        <v>109.82121538194869</v>
      </c>
      <c r="AV233" s="82">
        <f t="shared" si="236"/>
        <v>109.30347141584153</v>
      </c>
      <c r="AW233" s="82">
        <f t="shared" si="236"/>
        <v>108.77737548831554</v>
      </c>
      <c r="AX233" s="82">
        <f t="shared" si="236"/>
        <v>108.24329939847203</v>
      </c>
      <c r="AY233" s="82">
        <f t="shared" si="237" ref="AY233:BR238">AY162+AY174+AY151</f>
        <v>107.73237323194044</v>
      </c>
      <c r="AZ233" s="82">
        <f t="shared" si="237"/>
        <v>107.21319125242647</v>
      </c>
      <c r="BA233" s="82">
        <f t="shared" si="237"/>
        <v>106.68611220335907</v>
      </c>
      <c r="BB233" s="82">
        <f t="shared" si="237"/>
        <v>106.15146992158373</v>
      </c>
      <c r="BC233" s="82">
        <f t="shared" si="237"/>
        <v>105.60957567927503</v>
      </c>
      <c r="BD233" s="82">
        <f t="shared" si="237"/>
        <v>105.06072025099971</v>
      </c>
      <c r="BE233" s="82">
        <f t="shared" si="237"/>
        <v>104.50517574427735</v>
      </c>
      <c r="BF233" s="82">
        <f t="shared" si="237"/>
        <v>103.94319722582868</v>
      </c>
      <c r="BG233" s="82">
        <f t="shared" si="237"/>
        <v>103.37502417065433</v>
      </c>
      <c r="BH233" s="82">
        <f t="shared" si="237"/>
        <v>102.80088175693157</v>
      </c>
      <c r="BI233" s="82">
        <f t="shared" si="237"/>
        <v>101.94926909284598</v>
      </c>
      <c r="BJ233" s="82">
        <f t="shared" si="237"/>
        <v>101.0967876945025</v>
      </c>
      <c r="BK233" s="82">
        <f t="shared" si="237"/>
        <v>100.24344946647062</v>
      </c>
      <c r="BL233" s="82">
        <f t="shared" si="237"/>
        <v>99.389266047739255</v>
      </c>
      <c r="BM233" s="82">
        <f t="shared" si="237"/>
        <v>98.534248819887651</v>
      </c>
      <c r="BN233" s="82">
        <f t="shared" si="237"/>
        <v>97.678408914936767</v>
      </c>
      <c r="BO233" s="82">
        <f t="shared" si="237"/>
        <v>96.821757222896792</v>
      </c>
      <c r="BP233" s="82">
        <f t="shared" si="237"/>
        <v>95.964304399024471</v>
      </c>
      <c r="BQ233" s="82">
        <f t="shared" si="237"/>
        <v>95.106060870804072</v>
      </c>
      <c r="BR233" s="82">
        <f t="shared" si="237"/>
        <v>94.247036844664308</v>
      </c>
    </row>
    <row r="234" spans="1:70" ht="15">
      <c r="A234" t="s">
        <v>16</v>
      </c>
      <c r="B234" s="75" t="str">
        <f t="shared" si="235"/>
        <v>CEH</v>
      </c>
      <c r="C234" s="75" t="str">
        <f t="shared" si="235"/>
        <v>Commercial - Space Heating</v>
      </c>
      <c r="E234" s="94"/>
      <c r="F234" s="94"/>
      <c r="I234" s="135"/>
      <c r="L234" s="82">
        <f t="shared" si="236"/>
        <v>7.8517549075019</v>
      </c>
      <c r="M234" s="82">
        <f t="shared" si="236"/>
        <v>8.6464867087259769</v>
      </c>
      <c r="N234" s="82">
        <f t="shared" si="236"/>
        <v>9.4819790623114137</v>
      </c>
      <c r="O234" s="82">
        <f t="shared" si="236"/>
        <v>10.319932556631571</v>
      </c>
      <c r="P234" s="82">
        <f t="shared" si="236"/>
        <v>11.168015722760602</v>
      </c>
      <c r="Q234" s="82">
        <f t="shared" si="236"/>
        <v>11.992907577983001</v>
      </c>
      <c r="R234" s="82">
        <f t="shared" si="236"/>
        <v>11.914219046901959</v>
      </c>
      <c r="S234" s="82">
        <f t="shared" si="236"/>
        <v>11.832502685156392</v>
      </c>
      <c r="T234" s="82">
        <f t="shared" si="236"/>
        <v>11.736559424532528</v>
      </c>
      <c r="U234" s="82">
        <f t="shared" si="236"/>
        <v>11.678555624747027</v>
      </c>
      <c r="V234" s="82">
        <f t="shared" si="236"/>
        <v>11.623834307615967</v>
      </c>
      <c r="W234" s="82">
        <f t="shared" si="236"/>
        <v>11.540954460122673</v>
      </c>
      <c r="X234" s="82">
        <f t="shared" si="236"/>
        <v>11.463570522120801</v>
      </c>
      <c r="Y234" s="82">
        <f t="shared" si="236"/>
        <v>11.386235864073116</v>
      </c>
      <c r="Z234" s="82">
        <f t="shared" si="236"/>
        <v>11.312211335258668</v>
      </c>
      <c r="AA234" s="82">
        <f t="shared" si="236"/>
        <v>11.245043318549513</v>
      </c>
      <c r="AB234" s="82">
        <f t="shared" si="236"/>
        <v>11.181348435357499</v>
      </c>
      <c r="AC234" s="82">
        <f t="shared" si="236"/>
        <v>11.122365370005801</v>
      </c>
      <c r="AD234" s="82">
        <f t="shared" si="236"/>
        <v>11.06738174868274</v>
      </c>
      <c r="AE234" s="82">
        <f t="shared" si="236"/>
        <v>11.015326560909493</v>
      </c>
      <c r="AF234" s="82">
        <f t="shared" si="236"/>
        <v>10.964849974880389</v>
      </c>
      <c r="AG234" s="82">
        <f t="shared" si="236"/>
        <v>10.915704379859049</v>
      </c>
      <c r="AH234" s="82">
        <f t="shared" si="236"/>
        <v>10.866724678143257</v>
      </c>
      <c r="AI234" s="82">
        <f t="shared" si="236"/>
        <v>10.817437400674182</v>
      </c>
      <c r="AJ234" s="82">
        <f t="shared" si="236"/>
        <v>10.767571796155982</v>
      </c>
      <c r="AK234" s="82">
        <f t="shared" si="236"/>
        <v>10.718762771842544</v>
      </c>
      <c r="AL234" s="82">
        <f t="shared" si="236"/>
        <v>10.671059269763678</v>
      </c>
      <c r="AM234" s="82">
        <f t="shared" si="236"/>
        <v>10.625445776133706</v>
      </c>
      <c r="AN234" s="82">
        <f t="shared" si="236"/>
        <v>10.580701293570504</v>
      </c>
      <c r="AO234" s="82">
        <f t="shared" si="236"/>
        <v>10.536661285843417</v>
      </c>
      <c r="AP234" s="82">
        <f t="shared" si="236"/>
        <v>10.491598764338594</v>
      </c>
      <c r="AQ234" s="82">
        <f t="shared" si="236"/>
        <v>10.445568125201886</v>
      </c>
      <c r="AR234" s="82">
        <f t="shared" si="236"/>
        <v>10.398619169039407</v>
      </c>
      <c r="AS234" s="82">
        <f t="shared" si="236"/>
        <v>10.35079762373328</v>
      </c>
      <c r="AT234" s="82">
        <f t="shared" si="236"/>
        <v>10.304119199364955</v>
      </c>
      <c r="AU234" s="82">
        <f t="shared" si="236"/>
        <v>10.25658278240517</v>
      </c>
      <c r="AV234" s="82">
        <f t="shared" si="236"/>
        <v>10.208228884390108</v>
      </c>
      <c r="AW234" s="82">
        <f t="shared" si="236"/>
        <v>10.15909496783865</v>
      </c>
      <c r="AX234" s="82">
        <f t="shared" si="236"/>
        <v>10.109215756353581</v>
      </c>
      <c r="AY234" s="82">
        <f t="shared" si="237"/>
        <v>10.061498596199211</v>
      </c>
      <c r="AZ234" s="82">
        <f t="shared" si="237"/>
        <v>10.013010397143155</v>
      </c>
      <c r="BA234" s="82">
        <f t="shared" si="237"/>
        <v>9.9637846634738487</v>
      </c>
      <c r="BB234" s="82">
        <f t="shared" si="237"/>
        <v>9.9138525733678406</v>
      </c>
      <c r="BC234" s="82">
        <f t="shared" si="237"/>
        <v>9.8632431976090871</v>
      </c>
      <c r="BD234" s="82">
        <f t="shared" si="237"/>
        <v>9.8119836926391262</v>
      </c>
      <c r="BE234" s="82">
        <f t="shared" si="237"/>
        <v>9.7600994715194531</v>
      </c>
      <c r="BF234" s="82">
        <f t="shared" si="237"/>
        <v>9.7076143558124794</v>
      </c>
      <c r="BG234" s="82">
        <f t="shared" si="237"/>
        <v>9.6545507109159967</v>
      </c>
      <c r="BH234" s="82">
        <f t="shared" si="237"/>
        <v>9.6009295669980652</v>
      </c>
      <c r="BI234" s="82">
        <f t="shared" si="237"/>
        <v>9.5213945176238646</v>
      </c>
      <c r="BJ234" s="82">
        <f t="shared" si="237"/>
        <v>9.441778334155476</v>
      </c>
      <c r="BK234" s="82">
        <f t="shared" si="237"/>
        <v>9.3620821284017861</v>
      </c>
      <c r="BL234" s="82">
        <f t="shared" si="237"/>
        <v>9.2823069873681909</v>
      </c>
      <c r="BM234" s="82">
        <f t="shared" si="237"/>
        <v>9.2024539740196936</v>
      </c>
      <c r="BN234" s="82">
        <f t="shared" si="237"/>
        <v>9.1225241280142093</v>
      </c>
      <c r="BO234" s="82">
        <f t="shared" si="237"/>
        <v>9.0425184664074116</v>
      </c>
      <c r="BP234" s="82">
        <f t="shared" si="237"/>
        <v>8.9624379843305491</v>
      </c>
      <c r="BQ234" s="82">
        <f t="shared" si="237"/>
        <v>8.8822836556424036</v>
      </c>
      <c r="BR234" s="82">
        <f t="shared" si="237"/>
        <v>8.8020564335566309</v>
      </c>
    </row>
    <row r="235" spans="1:70" ht="15">
      <c r="A235" t="s">
        <v>16</v>
      </c>
      <c r="B235" s="75" t="str">
        <f t="shared" si="235"/>
        <v>CEK</v>
      </c>
      <c r="C235" s="75" t="str">
        <f t="shared" si="235"/>
        <v>Commercial - Cooking</v>
      </c>
      <c r="E235" s="94"/>
      <c r="F235" s="94"/>
      <c r="I235" s="135"/>
      <c r="L235" s="82">
        <f t="shared" si="236"/>
        <v>9.8944997565297594</v>
      </c>
      <c r="M235" s="82">
        <f t="shared" si="236"/>
        <v>9.7120807580170059</v>
      </c>
      <c r="N235" s="82">
        <f t="shared" si="236"/>
        <v>9.5529153405684184</v>
      </c>
      <c r="O235" s="82">
        <f t="shared" si="236"/>
        <v>9.3739244191123756</v>
      </c>
      <c r="P235" s="82">
        <f t="shared" si="236"/>
        <v>9.1852112925639382</v>
      </c>
      <c r="Q235" s="82">
        <f t="shared" si="236"/>
        <v>8.9629891158025892</v>
      </c>
      <c r="R235" s="82">
        <f t="shared" si="236"/>
        <v>8.904180653965307</v>
      </c>
      <c r="S235" s="82">
        <f t="shared" si="236"/>
        <v>8.8431093202502762</v>
      </c>
      <c r="T235" s="82">
        <f t="shared" si="236"/>
        <v>8.7714054073238561</v>
      </c>
      <c r="U235" s="82">
        <f t="shared" si="236"/>
        <v>8.7280558340221273</v>
      </c>
      <c r="V235" s="82">
        <f t="shared" si="236"/>
        <v>8.6871594486661294</v>
      </c>
      <c r="W235" s="82">
        <f t="shared" si="236"/>
        <v>8.6252185751814103</v>
      </c>
      <c r="X235" s="82">
        <f t="shared" si="236"/>
        <v>8.5673851107326335</v>
      </c>
      <c r="Y235" s="82">
        <f t="shared" si="236"/>
        <v>8.5095884760259484</v>
      </c>
      <c r="Z235" s="82">
        <f t="shared" si="236"/>
        <v>8.4542656911422949</v>
      </c>
      <c r="AA235" s="82">
        <f t="shared" si="236"/>
        <v>8.404067171827478</v>
      </c>
      <c r="AB235" s="82">
        <f t="shared" si="236"/>
        <v>8.3564643248055894</v>
      </c>
      <c r="AC235" s="82">
        <f t="shared" si="236"/>
        <v>8.3123828900637378</v>
      </c>
      <c r="AD235" s="82">
        <f t="shared" si="236"/>
        <v>8.2712904697093315</v>
      </c>
      <c r="AE235" s="82">
        <f t="shared" si="236"/>
        <v>8.2323866360560807</v>
      </c>
      <c r="AF235" s="82">
        <f t="shared" si="236"/>
        <v>8.1946625822151002</v>
      </c>
      <c r="AG235" s="82">
        <f t="shared" si="236"/>
        <v>8.1579332544518657</v>
      </c>
      <c r="AH235" s="82">
        <f t="shared" si="236"/>
        <v>8.1213279082904535</v>
      </c>
      <c r="AI235" s="82">
        <f t="shared" si="236"/>
        <v>8.0844926930909402</v>
      </c>
      <c r="AJ235" s="82">
        <f t="shared" si="236"/>
        <v>8.0472252608487338</v>
      </c>
      <c r="AK235" s="82">
        <f t="shared" si="236"/>
        <v>8.0107474717196467</v>
      </c>
      <c r="AL235" s="82">
        <f t="shared" si="236"/>
        <v>7.9750959028954629</v>
      </c>
      <c r="AM235" s="82">
        <f t="shared" si="236"/>
        <v>7.9410063175067007</v>
      </c>
      <c r="AN235" s="82">
        <f t="shared" si="236"/>
        <v>7.9075661940338549</v>
      </c>
      <c r="AO235" s="82">
        <f t="shared" si="236"/>
        <v>7.8746525650951629</v>
      </c>
      <c r="AP235" s="82">
        <f t="shared" si="236"/>
        <v>7.8409747528422074</v>
      </c>
      <c r="AQ235" s="82">
        <f t="shared" si="236"/>
        <v>7.8065734106411586</v>
      </c>
      <c r="AR235" s="82">
        <f t="shared" si="236"/>
        <v>7.7714857573472127</v>
      </c>
      <c r="AS235" s="82">
        <f t="shared" si="236"/>
        <v>7.7357459680348581</v>
      </c>
      <c r="AT235" s="82">
        <f t="shared" si="236"/>
        <v>7.7008604986992815</v>
      </c>
      <c r="AU235" s="82">
        <f t="shared" si="236"/>
        <v>7.6653338021876714</v>
      </c>
      <c r="AV235" s="82">
        <f t="shared" si="236"/>
        <v>7.6291961550993808</v>
      </c>
      <c r="AW235" s="82">
        <f t="shared" si="236"/>
        <v>7.5924755553279013</v>
      </c>
      <c r="AX235" s="82">
        <f t="shared" si="236"/>
        <v>7.555197953817304</v>
      </c>
      <c r="AY235" s="82">
        <f t="shared" si="237"/>
        <v>7.5195361775283072</v>
      </c>
      <c r="AZ235" s="82">
        <f t="shared" si="237"/>
        <v>7.4832981595532377</v>
      </c>
      <c r="BA235" s="82">
        <f t="shared" si="237"/>
        <v>7.4465089395724746</v>
      </c>
      <c r="BB235" s="82">
        <f t="shared" si="237"/>
        <v>7.4091918188292905</v>
      </c>
      <c r="BC235" s="82">
        <f t="shared" si="237"/>
        <v>7.3713685235913591</v>
      </c>
      <c r="BD235" s="82">
        <f t="shared" si="237"/>
        <v>7.3330593494282361</v>
      </c>
      <c r="BE235" s="82">
        <f t="shared" si="237"/>
        <v>7.2942832889813722</v>
      </c>
      <c r="BF235" s="82">
        <f t="shared" si="237"/>
        <v>7.2550581454734813</v>
      </c>
      <c r="BG235" s="82">
        <f t="shared" si="237"/>
        <v>7.2154006338517691</v>
      </c>
      <c r="BH235" s="82">
        <f t="shared" si="237"/>
        <v>7.1753264711695177</v>
      </c>
      <c r="BI235" s="82">
        <f t="shared" si="237"/>
        <v>7.1158853575587937</v>
      </c>
      <c r="BJ235" s="82">
        <f t="shared" si="237"/>
        <v>7.0563836077763682</v>
      </c>
      <c r="BK235" s="82">
        <f t="shared" si="237"/>
        <v>6.99682205274092</v>
      </c>
      <c r="BL235" s="82">
        <f t="shared" si="237"/>
        <v>6.9372015048340554</v>
      </c>
      <c r="BM235" s="82">
        <f t="shared" si="237"/>
        <v>6.8775227584706169</v>
      </c>
      <c r="BN235" s="82">
        <f t="shared" si="237"/>
        <v>6.8177865906467137</v>
      </c>
      <c r="BO235" s="82">
        <f t="shared" si="237"/>
        <v>6.7579937614665102</v>
      </c>
      <c r="BP235" s="82">
        <f t="shared" si="237"/>
        <v>6.6981450146487784</v>
      </c>
      <c r="BQ235" s="82">
        <f t="shared" si="237"/>
        <v>6.638241078014163</v>
      </c>
      <c r="BR235" s="82">
        <f t="shared" si="237"/>
        <v>6.578282663954008</v>
      </c>
    </row>
    <row r="236" spans="1:70" ht="15">
      <c r="A236" t="s">
        <v>16</v>
      </c>
      <c r="B236" s="75" t="str">
        <f t="shared" si="235"/>
        <v>CEL</v>
      </c>
      <c r="C236" s="75" t="str">
        <f t="shared" si="235"/>
        <v>Commercial - Lighting</v>
      </c>
      <c r="E236" s="94"/>
      <c r="F236" s="94"/>
      <c r="I236" s="135"/>
      <c r="L236" s="82">
        <f t="shared" si="236"/>
        <v>121.540271905689</v>
      </c>
      <c r="M236" s="82">
        <f t="shared" si="236"/>
        <v>119.61728657242662</v>
      </c>
      <c r="N236" s="82">
        <f t="shared" si="236"/>
        <v>117.98748492339635</v>
      </c>
      <c r="O236" s="82">
        <f t="shared" si="236"/>
        <v>116.12030827207035</v>
      </c>
      <c r="P236" s="82">
        <f t="shared" si="236"/>
        <v>114.13974367983143</v>
      </c>
      <c r="Q236" s="82">
        <f t="shared" si="236"/>
        <v>111.748716602955</v>
      </c>
      <c r="R236" s="82">
        <f t="shared" si="236"/>
        <v>111.01550471897272</v>
      </c>
      <c r="S236" s="82">
        <f t="shared" si="236"/>
        <v>110.25407981086335</v>
      </c>
      <c r="T236" s="82">
        <f t="shared" si="236"/>
        <v>109.3600900780397</v>
      </c>
      <c r="U236" s="82">
        <f t="shared" si="236"/>
        <v>108.81961645711196</v>
      </c>
      <c r="V236" s="82">
        <f t="shared" si="236"/>
        <v>108.30972868215358</v>
      </c>
      <c r="W236" s="82">
        <f t="shared" si="236"/>
        <v>107.53746252989646</v>
      </c>
      <c r="X236" s="82">
        <f t="shared" si="236"/>
        <v>106.81640671410182</v>
      </c>
      <c r="Y236" s="82">
        <f t="shared" si="236"/>
        <v>106.09581008400501</v>
      </c>
      <c r="Z236" s="82">
        <f t="shared" si="236"/>
        <v>105.40605690794125</v>
      </c>
      <c r="AA236" s="82">
        <f t="shared" si="236"/>
        <v>104.78019202778546</v>
      </c>
      <c r="AB236" s="82">
        <f t="shared" si="236"/>
        <v>104.1866894593216</v>
      </c>
      <c r="AC236" s="82">
        <f t="shared" si="236"/>
        <v>103.63709113952289</v>
      </c>
      <c r="AD236" s="82">
        <f t="shared" si="236"/>
        <v>103.12475924026646</v>
      </c>
      <c r="AE236" s="82">
        <f t="shared" si="236"/>
        <v>102.63971419273642</v>
      </c>
      <c r="AF236" s="82">
        <f t="shared" si="236"/>
        <v>102.16937839880381</v>
      </c>
      <c r="AG236" s="82">
        <f t="shared" si="236"/>
        <v>101.71144464632449</v>
      </c>
      <c r="AH236" s="82">
        <f t="shared" si="236"/>
        <v>101.25505667111958</v>
      </c>
      <c r="AI236" s="82">
        <f t="shared" si="236"/>
        <v>100.7958027357241</v>
      </c>
      <c r="AJ236" s="82">
        <f t="shared" si="236"/>
        <v>100.33116000656898</v>
      </c>
      <c r="AK236" s="82">
        <f t="shared" si="236"/>
        <v>99.876362386375305</v>
      </c>
      <c r="AL236" s="82">
        <f t="shared" si="236"/>
        <v>99.43186591209529</v>
      </c>
      <c r="AM236" s="82">
        <f t="shared" si="236"/>
        <v>99.006843928078297</v>
      </c>
      <c r="AN236" s="82">
        <f t="shared" si="236"/>
        <v>98.589919302503731</v>
      </c>
      <c r="AO236" s="82">
        <f t="shared" si="236"/>
        <v>98.179558903185622</v>
      </c>
      <c r="AP236" s="82">
        <f t="shared" si="236"/>
        <v>97.759670822475186</v>
      </c>
      <c r="AQ236" s="82">
        <f t="shared" si="236"/>
        <v>97.330761918233804</v>
      </c>
      <c r="AR236" s="82">
        <f t="shared" si="236"/>
        <v>96.893296227541967</v>
      </c>
      <c r="AS236" s="82">
        <f t="shared" si="236"/>
        <v>96.447699838244347</v>
      </c>
      <c r="AT236" s="82">
        <f t="shared" si="236"/>
        <v>96.012754935826791</v>
      </c>
      <c r="AU236" s="82">
        <f t="shared" si="236"/>
        <v>95.569815344020782</v>
      </c>
      <c r="AV236" s="82">
        <f t="shared" si="236"/>
        <v>95.119258545279735</v>
      </c>
      <c r="AW236" s="82">
        <f t="shared" si="236"/>
        <v>94.661433611617937</v>
      </c>
      <c r="AX236" s="82">
        <f t="shared" si="236"/>
        <v>94.196664094102729</v>
      </c>
      <c r="AY236" s="82">
        <f t="shared" si="237"/>
        <v>93.752040355237455</v>
      </c>
      <c r="AZ236" s="82">
        <f t="shared" si="237"/>
        <v>93.300232152791992</v>
      </c>
      <c r="BA236" s="82">
        <f t="shared" si="237"/>
        <v>92.841551676384213</v>
      </c>
      <c r="BB236" s="82">
        <f t="shared" si="237"/>
        <v>92.376289441153347</v>
      </c>
      <c r="BC236" s="82">
        <f t="shared" si="237"/>
        <v>91.90471632576471</v>
      </c>
      <c r="BD236" s="82">
        <f t="shared" si="237"/>
        <v>91.427085371231883</v>
      </c>
      <c r="BE236" s="82">
        <f t="shared" si="237"/>
        <v>90.943633373927113</v>
      </c>
      <c r="BF236" s="82">
        <f t="shared" si="237"/>
        <v>90.454582300792907</v>
      </c>
      <c r="BG236" s="82">
        <f t="shared" si="237"/>
        <v>89.960140550375115</v>
      </c>
      <c r="BH236" s="82">
        <f t="shared" si="237"/>
        <v>89.460504079682096</v>
      </c>
      <c r="BI236" s="82">
        <f t="shared" si="237"/>
        <v>88.719404422678423</v>
      </c>
      <c r="BJ236" s="82">
        <f t="shared" si="237"/>
        <v>87.977548766277692</v>
      </c>
      <c r="BK236" s="82">
        <f t="shared" si="237"/>
        <v>87.234947470204204</v>
      </c>
      <c r="BL236" s="82">
        <f t="shared" si="237"/>
        <v>86.491610663065771</v>
      </c>
      <c r="BM236" s="82">
        <f t="shared" si="237"/>
        <v>85.74754824946433</v>
      </c>
      <c r="BN236" s="82">
        <f t="shared" si="237"/>
        <v>85.002769916828584</v>
      </c>
      <c r="BO236" s="82">
        <f t="shared" si="237"/>
        <v>84.257285141981896</v>
      </c>
      <c r="BP236" s="82">
        <f t="shared" si="237"/>
        <v>83.511103197457942</v>
      </c>
      <c r="BQ236" s="82">
        <f t="shared" si="237"/>
        <v>82.764233157575745</v>
      </c>
      <c r="BR236" s="82">
        <f t="shared" si="237"/>
        <v>82.016683904285046</v>
      </c>
    </row>
    <row r="237" spans="1:70" ht="15">
      <c r="A237" t="s">
        <v>16</v>
      </c>
      <c r="B237" s="75" t="str">
        <f t="shared" si="235"/>
        <v>CER</v>
      </c>
      <c r="C237" s="75" t="str">
        <f t="shared" si="235"/>
        <v>Commercial - Refrigeration</v>
      </c>
      <c r="E237" s="94"/>
      <c r="F237" s="94"/>
      <c r="I237" s="135"/>
      <c r="L237" s="82">
        <f t="shared" si="236"/>
        <v>29.566390373747101</v>
      </c>
      <c r="M237" s="82">
        <f t="shared" si="236"/>
        <v>29.098596990082953</v>
      </c>
      <c r="N237" s="82">
        <f t="shared" si="236"/>
        <v>28.702124684801319</v>
      </c>
      <c r="O237" s="82">
        <f t="shared" si="236"/>
        <v>28.247907552452908</v>
      </c>
      <c r="P237" s="82">
        <f t="shared" si="236"/>
        <v>27.766107199562512</v>
      </c>
      <c r="Q237" s="82">
        <f t="shared" si="236"/>
        <v>27.184456041138404</v>
      </c>
      <c r="R237" s="82">
        <f t="shared" si="236"/>
        <v>27.006091878802874</v>
      </c>
      <c r="S237" s="82">
        <f t="shared" si="236"/>
        <v>26.82086449926463</v>
      </c>
      <c r="T237" s="82">
        <f t="shared" si="236"/>
        <v>26.603388850935517</v>
      </c>
      <c r="U237" s="82">
        <f t="shared" si="236"/>
        <v>26.471910997442958</v>
      </c>
      <c r="V237" s="82">
        <f t="shared" si="236"/>
        <v>26.347873583630694</v>
      </c>
      <c r="W237" s="82">
        <f t="shared" si="236"/>
        <v>26.160008918100051</v>
      </c>
      <c r="X237" s="82">
        <f t="shared" si="236"/>
        <v>25.984601891303306</v>
      </c>
      <c r="Y237" s="82">
        <f t="shared" si="236"/>
        <v>25.809306567922913</v>
      </c>
      <c r="Z237" s="82">
        <f t="shared" si="236"/>
        <v>25.64151435102827</v>
      </c>
      <c r="AA237" s="82">
        <f t="shared" si="236"/>
        <v>25.489263865837124</v>
      </c>
      <c r="AB237" s="82">
        <f t="shared" si="236"/>
        <v>25.344885970742066</v>
      </c>
      <c r="AC237" s="82">
        <f t="shared" si="236"/>
        <v>25.211188405176859</v>
      </c>
      <c r="AD237" s="82">
        <f t="shared" si="236"/>
        <v>25.08655642355604</v>
      </c>
      <c r="AE237" s="82">
        <f t="shared" si="236"/>
        <v>24.968562354600408</v>
      </c>
      <c r="AF237" s="82">
        <f t="shared" si="236"/>
        <v>24.854146519650264</v>
      </c>
      <c r="AG237" s="82">
        <f t="shared" si="236"/>
        <v>24.742747656715149</v>
      </c>
      <c r="AH237" s="82">
        <f t="shared" si="236"/>
        <v>24.63172482596763</v>
      </c>
      <c r="AI237" s="82">
        <f t="shared" si="236"/>
        <v>24.520004809863678</v>
      </c>
      <c r="AJ237" s="82">
        <f t="shared" si="236"/>
        <v>24.40697389345118</v>
      </c>
      <c r="AK237" s="82">
        <f t="shared" si="236"/>
        <v>24.296337939056318</v>
      </c>
      <c r="AL237" s="82">
        <f t="shared" si="236"/>
        <v>24.188207884118519</v>
      </c>
      <c r="AM237" s="82">
        <f t="shared" si="236"/>
        <v>24.084815274411163</v>
      </c>
      <c r="AN237" s="82">
        <f t="shared" si="236"/>
        <v>23.983392461685096</v>
      </c>
      <c r="AO237" s="82">
        <f t="shared" si="236"/>
        <v>23.883566489849354</v>
      </c>
      <c r="AP237" s="82">
        <f t="shared" si="236"/>
        <v>23.7814227747423</v>
      </c>
      <c r="AQ237" s="82">
        <f t="shared" si="236"/>
        <v>23.67708461670842</v>
      </c>
      <c r="AR237" s="82">
        <f t="shared" si="236"/>
        <v>23.570664899331511</v>
      </c>
      <c r="AS237" s="82">
        <f t="shared" si="236"/>
        <v>23.462267274506967</v>
      </c>
      <c r="AT237" s="82">
        <f t="shared" si="236"/>
        <v>23.356460774535272</v>
      </c>
      <c r="AU237" s="82">
        <f t="shared" si="236"/>
        <v>23.248709453281961</v>
      </c>
      <c r="AV237" s="82">
        <f t="shared" si="236"/>
        <v>23.139105138693459</v>
      </c>
      <c r="AW237" s="82">
        <f t="shared" si="236"/>
        <v>23.027732747474992</v>
      </c>
      <c r="AX237" s="82">
        <f t="shared" si="236"/>
        <v>22.914670988000438</v>
      </c>
      <c r="AY237" s="82">
        <f t="shared" si="237"/>
        <v>22.806509974152064</v>
      </c>
      <c r="AZ237" s="82">
        <f t="shared" si="237"/>
        <v>22.69660123791089</v>
      </c>
      <c r="BA237" s="82">
        <f t="shared" si="237"/>
        <v>22.585020723817486</v>
      </c>
      <c r="BB237" s="82">
        <f t="shared" si="237"/>
        <v>22.471839103788923</v>
      </c>
      <c r="BC237" s="82">
        <f t="shared" si="237"/>
        <v>22.357122272892219</v>
      </c>
      <c r="BD237" s="82">
        <f t="shared" si="237"/>
        <v>22.240931786933281</v>
      </c>
      <c r="BE237" s="82">
        <f t="shared" si="237"/>
        <v>22.123325249979242</v>
      </c>
      <c r="BF237" s="82">
        <f t="shared" si="237"/>
        <v>22.004356658628666</v>
      </c>
      <c r="BG237" s="82">
        <f t="shared" si="237"/>
        <v>21.884076708775702</v>
      </c>
      <c r="BH237" s="82">
        <f t="shared" si="237"/>
        <v>21.76253306973453</v>
      </c>
      <c r="BI237" s="82">
        <f t="shared" si="237"/>
        <v>21.582250095036041</v>
      </c>
      <c r="BJ237" s="82">
        <f t="shared" si="237"/>
        <v>21.401783212790328</v>
      </c>
      <c r="BK237" s="82">
        <f t="shared" si="237"/>
        <v>21.221134943146858</v>
      </c>
      <c r="BL237" s="82">
        <f t="shared" si="237"/>
        <v>21.040307750032767</v>
      </c>
      <c r="BM237" s="82">
        <f t="shared" si="237"/>
        <v>20.859304042882567</v>
      </c>
      <c r="BN237" s="82">
        <f t="shared" si="237"/>
        <v>20.678126178300325</v>
      </c>
      <c r="BO237" s="82">
        <f t="shared" si="237"/>
        <v>20.49677646165739</v>
      </c>
      <c r="BP237" s="82">
        <f t="shared" si="237"/>
        <v>20.315257148628731</v>
      </c>
      <c r="BQ237" s="82">
        <f t="shared" si="237"/>
        <v>20.133570446670817</v>
      </c>
      <c r="BR237" s="82">
        <f t="shared" si="237"/>
        <v>19.951718516443556</v>
      </c>
    </row>
    <row r="238" spans="1:70" ht="15">
      <c r="A238" t="s">
        <v>16</v>
      </c>
      <c r="B238" s="75" t="str">
        <f t="shared" si="235"/>
        <v>CEW</v>
      </c>
      <c r="C238" s="75" t="str">
        <f t="shared" si="235"/>
        <v>Commercial - Water Heating</v>
      </c>
      <c r="E238" s="94"/>
      <c r="F238" s="94"/>
      <c r="I238" s="135"/>
      <c r="L238" s="82">
        <f t="shared" si="236"/>
        <v>9.6831090230750299</v>
      </c>
      <c r="M238" s="82">
        <f t="shared" si="236"/>
        <v>10.586585246419229</v>
      </c>
      <c r="N238" s="82">
        <f t="shared" si="236"/>
        <v>11.538509766671879</v>
      </c>
      <c r="O238" s="82">
        <f t="shared" si="236"/>
        <v>12.491985690523343</v>
      </c>
      <c r="P238" s="82">
        <f t="shared" si="236"/>
        <v>13.456498623549582</v>
      </c>
      <c r="Q238" s="82">
        <f t="shared" si="236"/>
        <v>14.3921338097343</v>
      </c>
      <c r="R238" s="82">
        <f t="shared" si="236"/>
        <v>14.297703342289619</v>
      </c>
      <c r="S238" s="82">
        <f t="shared" si="236"/>
        <v>14.199639315277025</v>
      </c>
      <c r="T238" s="82">
        <f t="shared" si="236"/>
        <v>14.08450224479915</v>
      </c>
      <c r="U238" s="82">
        <f t="shared" si="236"/>
        <v>14.014894566881372</v>
      </c>
      <c r="V238" s="82">
        <f t="shared" si="236"/>
        <v>13.949226044609013</v>
      </c>
      <c r="W238" s="82">
        <f t="shared" si="236"/>
        <v>13.849765772152342</v>
      </c>
      <c r="X238" s="82">
        <f t="shared" si="236"/>
        <v>13.756900886535131</v>
      </c>
      <c r="Y238" s="82">
        <f t="shared" si="236"/>
        <v>13.664095139512147</v>
      </c>
      <c r="Z238" s="82">
        <f t="shared" si="236"/>
        <v>13.575261725515372</v>
      </c>
      <c r="AA238" s="82">
        <f t="shared" si="236"/>
        <v>13.494656494638139</v>
      </c>
      <c r="AB238" s="82">
        <f t="shared" si="236"/>
        <v>13.418219210690602</v>
      </c>
      <c r="AC238" s="82">
        <f t="shared" si="236"/>
        <v>13.347436361449907</v>
      </c>
      <c r="AD238" s="82">
        <f t="shared" si="236"/>
        <v>13.281453060046166</v>
      </c>
      <c r="AE238" s="82">
        <f t="shared" si="236"/>
        <v>13.218984036329282</v>
      </c>
      <c r="AF238" s="82">
        <f t="shared" si="236"/>
        <v>13.158409419568033</v>
      </c>
      <c r="AG238" s="82">
        <f t="shared" si="236"/>
        <v>13.099432063567672</v>
      </c>
      <c r="AH238" s="82">
        <f t="shared" si="236"/>
        <v>13.040653788452079</v>
      </c>
      <c r="AI238" s="82">
        <f t="shared" si="236"/>
        <v>12.981506405897852</v>
      </c>
      <c r="AJ238" s="82">
        <f t="shared" si="236"/>
        <v>12.921664999794904</v>
      </c>
      <c r="AK238" s="82">
        <f t="shared" si="236"/>
        <v>12.863091546737431</v>
      </c>
      <c r="AL238" s="82">
        <f t="shared" si="236"/>
        <v>12.805844779792244</v>
      </c>
      <c r="AM238" s="82">
        <f t="shared" si="236"/>
        <v>12.751106135340649</v>
      </c>
      <c r="AN238" s="82">
        <f t="shared" si="236"/>
        <v>12.697410350885583</v>
      </c>
      <c r="AO238" s="82">
        <f t="shared" si="236"/>
        <v>12.644559974105096</v>
      </c>
      <c r="AP238" s="82">
        <f t="shared" si="236"/>
        <v>12.590482525822907</v>
      </c>
      <c r="AQ238" s="82">
        <f t="shared" si="236"/>
        <v>12.535243284338272</v>
      </c>
      <c r="AR238" s="82">
        <f t="shared" si="236"/>
        <v>12.478902013055716</v>
      </c>
      <c r="AS238" s="82">
        <f t="shared" si="236"/>
        <v>12.421513587892035</v>
      </c>
      <c r="AT238" s="82">
        <f t="shared" si="236"/>
        <v>12.365496969305742</v>
      </c>
      <c r="AU238" s="82">
        <f t="shared" si="236"/>
        <v>12.308450713485634</v>
      </c>
      <c r="AV238" s="82">
        <f t="shared" si="236"/>
        <v>12.250423436452948</v>
      </c>
      <c r="AW238" s="82">
        <f t="shared" si="236"/>
        <v>12.19146009524426</v>
      </c>
      <c r="AX238" s="82">
        <f t="shared" si="236"/>
        <v>12.131602360049584</v>
      </c>
      <c r="AY238" s="82">
        <f t="shared" si="237"/>
        <v>12.074339202679555</v>
      </c>
      <c r="AZ238" s="82">
        <f t="shared" si="237"/>
        <v>12.016150757177904</v>
      </c>
      <c r="BA238" s="82">
        <f t="shared" si="237"/>
        <v>11.957077230491883</v>
      </c>
      <c r="BB238" s="82">
        <f t="shared" si="237"/>
        <v>11.897156038109422</v>
      </c>
      <c r="BC238" s="82">
        <f t="shared" si="237"/>
        <v>11.836422066534066</v>
      </c>
      <c r="BD238" s="82">
        <f t="shared" si="237"/>
        <v>11.774907904955535</v>
      </c>
      <c r="BE238" s="82">
        <f t="shared" si="237"/>
        <v>11.712644050413786</v>
      </c>
      <c r="BF238" s="82">
        <f t="shared" si="237"/>
        <v>11.649659090064313</v>
      </c>
      <c r="BG238" s="82">
        <f t="shared" si="237"/>
        <v>11.585979863586788</v>
      </c>
      <c r="BH238" s="82">
        <f t="shared" si="237"/>
        <v>11.521631608313427</v>
      </c>
      <c r="BI238" s="82">
        <f t="shared" si="237"/>
        <v>11.426185273409722</v>
      </c>
      <c r="BJ238" s="82">
        <f t="shared" si="237"/>
        <v>11.330641573231379</v>
      </c>
      <c r="BK238" s="82">
        <f t="shared" si="237"/>
        <v>11.235001842008826</v>
      </c>
      <c r="BL238" s="82">
        <f t="shared" si="237"/>
        <v>11.13926738420697</v>
      </c>
      <c r="BM238" s="82">
        <f t="shared" si="237"/>
        <v>11.043439475440969</v>
      </c>
      <c r="BN238" s="82">
        <f t="shared" si="237"/>
        <v>10.9475193633562</v>
      </c>
      <c r="BO238" s="82">
        <f t="shared" si="237"/>
        <v>10.851508268474152</v>
      </c>
      <c r="BP238" s="82">
        <f t="shared" si="237"/>
        <v>10.755407385005817</v>
      </c>
      <c r="BQ238" s="82">
        <f t="shared" si="237"/>
        <v>10.659217881634094</v>
      </c>
      <c r="BR238" s="82">
        <f t="shared" si="237"/>
        <v>10.562940902266599</v>
      </c>
    </row>
    <row r="239" spans="1:70" ht="15">
      <c r="A239" t="s">
        <v>16</v>
      </c>
      <c r="B239" s="75" t="str">
        <f t="shared" si="235"/>
        <v>CEG</v>
      </c>
      <c r="C239" s="75" t="str">
        <f t="shared" si="235"/>
        <v>Commercial - Public lights</v>
      </c>
      <c r="E239" s="94"/>
      <c r="F239" s="94"/>
      <c r="I239" s="135"/>
      <c r="L239" s="82">
        <f t="shared" si="236"/>
        <v>10.300552873773198</v>
      </c>
      <c r="M239" s="82">
        <f t="shared" si="236"/>
        <v>10.137579632145695</v>
      </c>
      <c r="N239" s="82">
        <f t="shared" si="236"/>
        <v>9.9994537435297381</v>
      </c>
      <c r="O239" s="82">
        <f t="shared" si="236"/>
        <v>9.8412102945058528</v>
      </c>
      <c r="P239" s="82">
        <f t="shared" si="236"/>
        <v>9.6733572036545361</v>
      </c>
      <c r="Q239" s="82">
        <f t="shared" si="236"/>
        <v>9.4707173671475111</v>
      </c>
      <c r="R239" s="82">
        <f t="shared" si="236"/>
        <v>9.5388470786807869</v>
      </c>
      <c r="S239" s="82">
        <f t="shared" si="236"/>
        <v>9.5950215040281002</v>
      </c>
      <c r="T239" s="82">
        <f t="shared" si="236"/>
        <v>9.5950215040281002</v>
      </c>
      <c r="U239" s="82">
        <f t="shared" si="236"/>
        <v>9.7448241721157629</v>
      </c>
      <c r="V239" s="82">
        <f t="shared" si="236"/>
        <v>9.9075876110926409</v>
      </c>
      <c r="W239" s="82">
        <f t="shared" si="236"/>
        <v>9.959168052618363</v>
      </c>
      <c r="X239" s="82">
        <f t="shared" si="236"/>
        <v>10.032448905462278</v>
      </c>
      <c r="Y239" s="82">
        <f t="shared" si="236"/>
        <v>10.105924338525785</v>
      </c>
      <c r="Z239" s="82">
        <f t="shared" si="236"/>
        <v>10.19246970405265</v>
      </c>
      <c r="AA239" s="82">
        <f t="shared" si="236"/>
        <v>10.306087773947247</v>
      </c>
      <c r="AB239" s="82">
        <f t="shared" si="236"/>
        <v>10.433419393164771</v>
      </c>
      <c r="AC239" s="82">
        <f t="shared" si="236"/>
        <v>10.579355464539107</v>
      </c>
      <c r="AD239" s="82">
        <f t="shared" si="236"/>
        <v>10.741083204353581</v>
      </c>
      <c r="AE239" s="82">
        <f t="shared" si="236"/>
        <v>10.914373764234176</v>
      </c>
      <c r="AF239" s="82">
        <f t="shared" si="236"/>
        <v>11.093897379300451</v>
      </c>
      <c r="AG239" s="82">
        <f t="shared" si="238" ref="M239:AX241">AG168+AG180+AG157</f>
        <v>11.278676366998749</v>
      </c>
      <c r="AH239" s="82">
        <f t="shared" si="238"/>
        <v>11.464110378760111</v>
      </c>
      <c r="AI239" s="82">
        <f t="shared" si="238"/>
        <v>11.648329938142265</v>
      </c>
      <c r="AJ239" s="82">
        <f t="shared" si="238"/>
        <v>11.830265992881198</v>
      </c>
      <c r="AK239" s="82">
        <f t="shared" si="238"/>
        <v>12.016373918548817</v>
      </c>
      <c r="AL239" s="82">
        <f t="shared" si="238"/>
        <v>12.20684696108183</v>
      </c>
      <c r="AM239" s="82">
        <f t="shared" si="238"/>
        <v>12.405572330744729</v>
      </c>
      <c r="AN239" s="82">
        <f t="shared" si="238"/>
        <v>12.6077289609876</v>
      </c>
      <c r="AO239" s="82">
        <f t="shared" si="238"/>
        <v>12.812667186111332</v>
      </c>
      <c r="AP239" s="82">
        <f t="shared" si="238"/>
        <v>13.013568050432445</v>
      </c>
      <c r="AQ239" s="82">
        <f t="shared" si="238"/>
        <v>13.210646335278934</v>
      </c>
      <c r="AR239" s="82">
        <f t="shared" si="238"/>
        <v>13.404098676646752</v>
      </c>
      <c r="AS239" s="82">
        <f t="shared" si="238"/>
        <v>13.594105629520019</v>
      </c>
      <c r="AT239" s="82">
        <f t="shared" si="238"/>
        <v>13.788626156456928</v>
      </c>
      <c r="AU239" s="82">
        <f t="shared" si="238"/>
        <v>13.979758928888128</v>
      </c>
      <c r="AV239" s="82">
        <f t="shared" si="238"/>
        <v>14.167663905233514</v>
      </c>
      <c r="AW239" s="82">
        <f t="shared" si="238"/>
        <v>14.352489004972126</v>
      </c>
      <c r="AX239" s="82">
        <f t="shared" si="238"/>
        <v>14.534371333066121</v>
      </c>
      <c r="AY239" s="82">
        <f t="shared" si="239" ref="AY239:BR239">AY168+AY180+AY157</f>
        <v>14.724790447153485</v>
      </c>
      <c r="AZ239" s="82">
        <f t="shared" si="239"/>
        <v>14.912165140415683</v>
      </c>
      <c r="BA239" s="82">
        <f t="shared" si="239"/>
        <v>15.096627703393731</v>
      </c>
      <c r="BB239" s="82">
        <f t="shared" si="239"/>
        <v>15.278301242055116</v>
      </c>
      <c r="BC239" s="82">
        <f t="shared" si="239"/>
        <v>15.457300541399546</v>
      </c>
      <c r="BD239" s="82">
        <f t="shared" si="239"/>
        <v>15.633732827710865</v>
      </c>
      <c r="BE239" s="82">
        <f t="shared" si="239"/>
        <v>15.807698443596301</v>
      </c>
      <c r="BF239" s="82">
        <f t="shared" si="239"/>
        <v>15.979291447683149</v>
      </c>
      <c r="BG239" s="82">
        <f t="shared" si="239"/>
        <v>16.148600148982347</v>
      </c>
      <c r="BH239" s="82">
        <f t="shared" si="239"/>
        <v>16.315707584395749</v>
      </c>
      <c r="BI239" s="82">
        <f t="shared" si="239"/>
        <v>16.380494847299062</v>
      </c>
      <c r="BJ239" s="82">
        <f t="shared" si="239"/>
        <v>16.444961754996658</v>
      </c>
      <c r="BK239" s="82">
        <f t="shared" si="239"/>
        <v>16.509112697428019</v>
      </c>
      <c r="BL239" s="82">
        <f t="shared" si="239"/>
        <v>16.572951966596897</v>
      </c>
      <c r="BM239" s="82">
        <f t="shared" si="239"/>
        <v>16.636483759584401</v>
      </c>
      <c r="BN239" s="82">
        <f t="shared" si="239"/>
        <v>16.69971218144434</v>
      </c>
      <c r="BO239" s="82">
        <f t="shared" si="239"/>
        <v>16.762641247986416</v>
      </c>
      <c r="BP239" s="82">
        <f t="shared" si="239"/>
        <v>16.82527488845243</v>
      </c>
      <c r="BQ239" s="82">
        <f t="shared" si="239"/>
        <v>16.887616948090599</v>
      </c>
      <c r="BR239" s="82">
        <f t="shared" si="239"/>
        <v>16.949671190632543</v>
      </c>
    </row>
    <row r="240" spans="1:70" ht="15">
      <c r="A240" t="s">
        <v>16</v>
      </c>
      <c r="B240" s="75" t="str">
        <f t="shared" si="235"/>
        <v>CET</v>
      </c>
      <c r="C240" s="75" t="str">
        <f t="shared" si="235"/>
        <v>Commercial - Public Water</v>
      </c>
      <c r="E240" s="94"/>
      <c r="F240" s="94"/>
      <c r="I240" s="135"/>
      <c r="L240" s="82">
        <f t="shared" si="240" ref="L240:L241">L169+L181+L158</f>
        <v>3.5593512487513506</v>
      </c>
      <c r="M240" s="82">
        <f t="shared" si="238"/>
        <v>3.5030359210006532</v>
      </c>
      <c r="N240" s="82">
        <f t="shared" si="238"/>
        <v>3.4553065845121336</v>
      </c>
      <c r="O240" s="82">
        <f t="shared" si="238"/>
        <v>3.400625634393037</v>
      </c>
      <c r="P240" s="82">
        <f t="shared" si="238"/>
        <v>3.3426240770155089</v>
      </c>
      <c r="Q240" s="82">
        <f t="shared" si="238"/>
        <v>3.2726019758762099</v>
      </c>
      <c r="R240" s="82">
        <f t="shared" si="238"/>
        <v>3.2961441659697601</v>
      </c>
      <c r="S240" s="82">
        <f t="shared" si="238"/>
        <v>3.3155552124891114</v>
      </c>
      <c r="T240" s="82">
        <f t="shared" si="238"/>
        <v>3.3155552124891114</v>
      </c>
      <c r="U240" s="82">
        <f t="shared" si="238"/>
        <v>3.3673194546864127</v>
      </c>
      <c r="V240" s="82">
        <f t="shared" si="238"/>
        <v>3.4235622852288867</v>
      </c>
      <c r="W240" s="82">
        <f t="shared" si="238"/>
        <v>3.4413858827780222</v>
      </c>
      <c r="X240" s="82">
        <f t="shared" si="238"/>
        <v>3.4667080473526704</v>
      </c>
      <c r="Y240" s="82">
        <f t="shared" si="238"/>
        <v>3.4920974490315868</v>
      </c>
      <c r="Z240" s="82">
        <f t="shared" si="238"/>
        <v>3.5220031597867845</v>
      </c>
      <c r="AA240" s="82">
        <f t="shared" si="238"/>
        <v>3.561263830928985</v>
      </c>
      <c r="AB240" s="82">
        <f t="shared" si="238"/>
        <v>3.6052632126535706</v>
      </c>
      <c r="AC240" s="82">
        <f t="shared" si="238"/>
        <v>3.6556913541571854</v>
      </c>
      <c r="AD240" s="82">
        <f t="shared" si="238"/>
        <v>3.711576299336397</v>
      </c>
      <c r="AE240" s="82">
        <f t="shared" si="238"/>
        <v>3.7714567716048601</v>
      </c>
      <c r="AF240" s="82">
        <f t="shared" si="238"/>
        <v>3.8334910731901144</v>
      </c>
      <c r="AG240" s="82">
        <f t="shared" si="238"/>
        <v>3.8973413663410317</v>
      </c>
      <c r="AH240" s="82">
        <f t="shared" si="238"/>
        <v>3.9614180027519086</v>
      </c>
      <c r="AI240" s="82">
        <f t="shared" si="238"/>
        <v>4.0250749857086978</v>
      </c>
      <c r="AJ240" s="82">
        <f t="shared" si="238"/>
        <v>4.0879429046994105</v>
      </c>
      <c r="AK240" s="82">
        <f t="shared" si="238"/>
        <v>4.1522524117467636</v>
      </c>
      <c r="AL240" s="82">
        <f t="shared" si="238"/>
        <v>4.2180702828941996</v>
      </c>
      <c r="AM240" s="82">
        <f t="shared" si="238"/>
        <v>4.2867397418384074</v>
      </c>
      <c r="AN240" s="82">
        <f t="shared" si="238"/>
        <v>4.3565948712781486</v>
      </c>
      <c r="AO240" s="82">
        <f t="shared" si="238"/>
        <v>4.4274111795336326</v>
      </c>
      <c r="AP240" s="82">
        <f t="shared" si="238"/>
        <v>4.496832379643898</v>
      </c>
      <c r="AQ240" s="82">
        <f t="shared" si="238"/>
        <v>4.5649326891968141</v>
      </c>
      <c r="AR240" s="82">
        <f t="shared" si="238"/>
        <v>4.6317800556692097</v>
      </c>
      <c r="AS240" s="82">
        <f t="shared" si="238"/>
        <v>4.697436869751769</v>
      </c>
      <c r="AT240" s="82">
        <f t="shared" si="238"/>
        <v>4.7646533472501318</v>
      </c>
      <c r="AU240" s="82">
        <f t="shared" si="238"/>
        <v>4.8306991877566601</v>
      </c>
      <c r="AV240" s="82">
        <f t="shared" si="238"/>
        <v>4.8956296648288626</v>
      </c>
      <c r="AW240" s="82">
        <f t="shared" si="238"/>
        <v>4.9594958919738366</v>
      </c>
      <c r="AX240" s="82">
        <f t="shared" si="238"/>
        <v>5.0223452457474096</v>
      </c>
      <c r="AY240" s="82">
        <f t="shared" si="241" ref="AY240:BR240">AY169+AY181+AY158</f>
        <v>5.088144481945565</v>
      </c>
      <c r="AZ240" s="82">
        <f t="shared" si="241"/>
        <v>5.1528917199453144</v>
      </c>
      <c r="BA240" s="82">
        <f t="shared" si="241"/>
        <v>5.216632672681504</v>
      </c>
      <c r="BB240" s="82">
        <f t="shared" si="241"/>
        <v>5.2794098793638673</v>
      </c>
      <c r="BC240" s="82">
        <f t="shared" si="241"/>
        <v>5.3412630038956026</v>
      </c>
      <c r="BD240" s="82">
        <f t="shared" si="241"/>
        <v>5.4022290982691574</v>
      </c>
      <c r="BE240" s="82">
        <f t="shared" si="241"/>
        <v>5.4623428358257318</v>
      </c>
      <c r="BF240" s="82">
        <f t="shared" si="241"/>
        <v>5.5216367184801864</v>
      </c>
      <c r="BG240" s="82">
        <f t="shared" si="241"/>
        <v>5.5801412613701276</v>
      </c>
      <c r="BH240" s="82">
        <f t="shared" si="241"/>
        <v>5.6378851578583218</v>
      </c>
      <c r="BI240" s="82">
        <f t="shared" si="241"/>
        <v>5.660272366384306</v>
      </c>
      <c r="BJ240" s="82">
        <f t="shared" si="241"/>
        <v>5.6825488763181395</v>
      </c>
      <c r="BK240" s="82">
        <f t="shared" si="241"/>
        <v>5.7047162046013637</v>
      </c>
      <c r="BL240" s="82">
        <f t="shared" si="241"/>
        <v>5.7267758343338775</v>
      </c>
      <c r="BM240" s="82">
        <f t="shared" si="241"/>
        <v>5.7487292158151027</v>
      </c>
      <c r="BN240" s="82">
        <f t="shared" si="241"/>
        <v>5.7705777675444754</v>
      </c>
      <c r="BO240" s="82">
        <f t="shared" si="241"/>
        <v>5.7923228771831612</v>
      </c>
      <c r="BP240" s="82">
        <f t="shared" si="241"/>
        <v>5.8139659024788397</v>
      </c>
      <c r="BQ240" s="82">
        <f t="shared" si="241"/>
        <v>5.8355081721552402</v>
      </c>
      <c r="BR240" s="82">
        <f t="shared" si="241"/>
        <v>5.856950986768072</v>
      </c>
    </row>
    <row r="241" spans="1:70" ht="15">
      <c r="A241" t="s">
        <v>16</v>
      </c>
      <c r="B241" s="75" t="str">
        <f t="shared" si="235"/>
        <v>CEO</v>
      </c>
      <c r="C241" s="75" t="str">
        <f t="shared" si="235"/>
        <v>Commercial - Other</v>
      </c>
      <c r="E241" s="94"/>
      <c r="F241" s="94"/>
      <c r="I241" s="135"/>
      <c r="L241" s="82">
        <f t="shared" si="240"/>
        <v>18.760184357078899</v>
      </c>
      <c r="M241" s="82">
        <f t="shared" si="238"/>
        <v>19.031279794352393</v>
      </c>
      <c r="N241" s="82">
        <f t="shared" si="238"/>
        <v>19.361114074755577</v>
      </c>
      <c r="O241" s="82">
        <f t="shared" si="238"/>
        <v>19.665306575633906</v>
      </c>
      <c r="P241" s="82">
        <f t="shared" si="238"/>
        <v>19.962784234968577</v>
      </c>
      <c r="Q241" s="82">
        <f t="shared" si="238"/>
        <v>20.198960613823004</v>
      </c>
      <c r="R241" s="82">
        <f t="shared" si="238"/>
        <v>20.066430071939777</v>
      </c>
      <c r="S241" s="82">
        <f t="shared" si="238"/>
        <v>19.928799929985388</v>
      </c>
      <c r="T241" s="82">
        <f t="shared" si="238"/>
        <v>19.767208245074805</v>
      </c>
      <c r="U241" s="82">
        <f t="shared" si="238"/>
        <v>19.669515799794041</v>
      </c>
      <c r="V241" s="82">
        <f t="shared" si="238"/>
        <v>19.577351850203037</v>
      </c>
      <c r="W241" s="82">
        <f t="shared" si="238"/>
        <v>19.43776211649492</v>
      </c>
      <c r="X241" s="82">
        <f t="shared" si="238"/>
        <v>19.30742882528271</v>
      </c>
      <c r="Y241" s="82">
        <f t="shared" si="238"/>
        <v>19.177178533447194</v>
      </c>
      <c r="Z241" s="82">
        <f t="shared" si="238"/>
        <v>19.052503300835149</v>
      </c>
      <c r="AA241" s="82">
        <f t="shared" si="238"/>
        <v>18.939376095009969</v>
      </c>
      <c r="AB241" s="82">
        <f t="shared" si="238"/>
        <v>18.832098487096147</v>
      </c>
      <c r="AC241" s="82">
        <f t="shared" si="238"/>
        <v>18.73275672145887</v>
      </c>
      <c r="AD241" s="82">
        <f t="shared" si="238"/>
        <v>18.640150988087861</v>
      </c>
      <c r="AE241" s="82">
        <f t="shared" si="238"/>
        <v>18.552477445976415</v>
      </c>
      <c r="AF241" s="82">
        <f t="shared" si="238"/>
        <v>18.467462651482887</v>
      </c>
      <c r="AG241" s="82">
        <f t="shared" si="238"/>
        <v>18.384689568164763</v>
      </c>
      <c r="AH241" s="82">
        <f t="shared" si="238"/>
        <v>18.302195889346596</v>
      </c>
      <c r="AI241" s="82">
        <f t="shared" si="238"/>
        <v>18.21918417847607</v>
      </c>
      <c r="AJ241" s="82">
        <f t="shared" si="238"/>
        <v>18.135198424804738</v>
      </c>
      <c r="AK241" s="82">
        <f t="shared" si="238"/>
        <v>18.052992208064083</v>
      </c>
      <c r="AL241" s="82">
        <f t="shared" si="238"/>
        <v>17.97264795848433</v>
      </c>
      <c r="AM241" s="82">
        <f t="shared" si="238"/>
        <v>17.895823789257665</v>
      </c>
      <c r="AN241" s="82">
        <f t="shared" si="238"/>
        <v>17.820463245110787</v>
      </c>
      <c r="AO241" s="82">
        <f t="shared" si="238"/>
        <v>17.746289207186493</v>
      </c>
      <c r="AP241" s="82">
        <f t="shared" si="238"/>
        <v>17.670393008444286</v>
      </c>
      <c r="AQ241" s="82">
        <f t="shared" si="238"/>
        <v>17.592866265166588</v>
      </c>
      <c r="AR241" s="82">
        <f t="shared" si="238"/>
        <v>17.513792853634008</v>
      </c>
      <c r="AS241" s="82">
        <f t="shared" si="238"/>
        <v>17.433249790673706</v>
      </c>
      <c r="AT241" s="82">
        <f t="shared" si="238"/>
        <v>17.354632020195588</v>
      </c>
      <c r="AU241" s="82">
        <f t="shared" si="238"/>
        <v>17.274569182418393</v>
      </c>
      <c r="AV241" s="82">
        <f t="shared" si="238"/>
        <v>17.193129508579489</v>
      </c>
      <c r="AW241" s="82">
        <f t="shared" si="238"/>
        <v>17.110376094632759</v>
      </c>
      <c r="AX241" s="82">
        <f t="shared" si="238"/>
        <v>17.026367423534094</v>
      </c>
      <c r="AY241" s="82">
        <f t="shared" si="242" ref="AY241:BR241">AY170+AY182+AY159</f>
        <v>16.946000170447689</v>
      </c>
      <c r="AZ241" s="82">
        <f t="shared" si="242"/>
        <v>16.86433430113285</v>
      </c>
      <c r="BA241" s="82">
        <f t="shared" si="242"/>
        <v>16.781426244924845</v>
      </c>
      <c r="BB241" s="82">
        <f t="shared" si="242"/>
        <v>16.697328513423209</v>
      </c>
      <c r="BC241" s="82">
        <f t="shared" si="242"/>
        <v>16.612090068868035</v>
      </c>
      <c r="BD241" s="82">
        <f t="shared" si="242"/>
        <v>16.525756649283188</v>
      </c>
      <c r="BE241" s="82">
        <f t="shared" si="242"/>
        <v>16.438371056418358</v>
      </c>
      <c r="BF241" s="82">
        <f t="shared" si="242"/>
        <v>16.349973411553375</v>
      </c>
      <c r="BG241" s="82">
        <f t="shared" si="242"/>
        <v>16.260601383434217</v>
      </c>
      <c r="BH241" s="82">
        <f t="shared" si="242"/>
        <v>16.170290391956655</v>
      </c>
      <c r="BI241" s="82">
        <f t="shared" si="242"/>
        <v>16.036334108271348</v>
      </c>
      <c r="BJ241" s="82">
        <f t="shared" si="242"/>
        <v>15.90224117512366</v>
      </c>
      <c r="BK241" s="82">
        <f t="shared" si="242"/>
        <v>15.768013465068993</v>
      </c>
      <c r="BL241" s="82">
        <f t="shared" si="242"/>
        <v>15.633652808887668</v>
      </c>
      <c r="BM241" s="82">
        <f t="shared" si="242"/>
        <v>15.499160996870167</v>
      </c>
      <c r="BN241" s="82">
        <f t="shared" si="242"/>
        <v>15.36453978005218</v>
      </c>
      <c r="BO241" s="82">
        <f t="shared" si="242"/>
        <v>15.229790871401761</v>
      </c>
      <c r="BP241" s="82">
        <f t="shared" si="242"/>
        <v>15.094915946960914</v>
      </c>
      <c r="BQ241" s="82">
        <f t="shared" si="242"/>
        <v>14.959916646943665</v>
      </c>
      <c r="BR241" s="82">
        <f t="shared" si="242"/>
        <v>14.824794576792641</v>
      </c>
    </row>
    <row r="242" spans="1:70" ht="15">
      <c r="A242" t="s">
        <v>16</v>
      </c>
      <c r="E242" s="94"/>
      <c r="F242" s="94"/>
      <c r="L242" s="76"/>
      <c r="M242" s="77"/>
      <c r="N242" s="77"/>
      <c r="O242" s="77"/>
      <c r="P242" s="77"/>
      <c r="Q242" s="77"/>
      <c r="R242" s="77"/>
      <c r="S242" s="77"/>
      <c r="T242" s="77"/>
      <c r="U242" s="77"/>
      <c r="V242" s="77"/>
      <c r="W242" s="77"/>
      <c r="X242" s="77"/>
      <c r="Y242" s="77"/>
      <c r="Z242" s="77"/>
      <c r="AA242" s="77"/>
      <c r="AB242" s="77"/>
      <c r="AC242" s="77"/>
      <c r="AD242" s="77"/>
      <c r="AE242" s="77"/>
      <c r="AF242" s="77"/>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c r="BG242" s="77"/>
      <c r="BH242" s="77"/>
      <c r="BI242" s="77"/>
      <c r="BJ242" s="77"/>
      <c r="BK242" s="77"/>
      <c r="BL242" s="77"/>
      <c r="BM242" s="77"/>
      <c r="BN242" s="77"/>
      <c r="BO242" s="77"/>
      <c r="BP242" s="77"/>
      <c r="BQ242" s="77"/>
      <c r="BR242" s="77"/>
    </row>
    <row r="243" spans="1:70" ht="15">
      <c r="A243" t="s">
        <v>16</v>
      </c>
      <c r="E243" s="94"/>
      <c r="F243" s="94"/>
      <c r="L243" s="76"/>
      <c r="M243" s="77"/>
      <c r="N243" s="77"/>
      <c r="O243" s="77"/>
      <c r="P243" s="77"/>
      <c r="Q243" s="77"/>
      <c r="R243" s="77"/>
      <c r="S243" s="77"/>
      <c r="T243" s="77"/>
      <c r="U243" s="77"/>
      <c r="V243" s="77"/>
      <c r="W243" s="77"/>
      <c r="X243" s="77"/>
      <c r="Y243" s="77"/>
      <c r="Z243" s="77"/>
      <c r="AA243" s="77"/>
      <c r="AB243" s="77"/>
      <c r="AC243" s="77"/>
      <c r="AD243" s="77"/>
      <c r="AE243" s="77"/>
      <c r="AF243" s="77"/>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c r="BG243" s="77"/>
      <c r="BH243" s="77"/>
      <c r="BI243" s="77"/>
      <c r="BJ243" s="77"/>
      <c r="BK243" s="77"/>
      <c r="BL243" s="77"/>
      <c r="BM243" s="77"/>
      <c r="BN243" s="77"/>
      <c r="BO243" s="77"/>
      <c r="BP243" s="77"/>
      <c r="BQ243" s="77"/>
      <c r="BR243" s="77"/>
    </row>
    <row r="244" spans="1:70" ht="15">
      <c r="A244" t="s">
        <v>16</v>
      </c>
      <c r="E244" s="94"/>
      <c r="F244" s="94"/>
      <c r="L244" s="76"/>
      <c r="M244" s="77"/>
      <c r="N244" s="77"/>
      <c r="O244" s="77"/>
      <c r="P244" s="77"/>
      <c r="Q244" s="77"/>
      <c r="R244" s="77"/>
      <c r="S244" s="77"/>
      <c r="T244" s="77"/>
      <c r="U244" s="77"/>
      <c r="V244" s="77"/>
      <c r="W244" s="77"/>
      <c r="X244" s="77"/>
      <c r="Y244" s="77"/>
      <c r="Z244" s="77"/>
      <c r="AA244" s="77"/>
      <c r="AB244" s="77"/>
      <c r="AC244" s="77"/>
      <c r="AD244" s="77"/>
      <c r="AE244" s="77"/>
      <c r="AF244" s="77"/>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c r="BG244" s="77"/>
      <c r="BH244" s="77"/>
      <c r="BI244" s="77"/>
      <c r="BJ244" s="77"/>
      <c r="BK244" s="77"/>
      <c r="BL244" s="77"/>
      <c r="BM244" s="77"/>
      <c r="BN244" s="77"/>
      <c r="BO244" s="77"/>
      <c r="BP244" s="77"/>
      <c r="BQ244" s="77"/>
      <c r="BR244" s="77"/>
    </row>
    <row r="245" spans="1:70" ht="15">
      <c r="A245" t="s">
        <v>16</v>
      </c>
      <c r="B245" s="227" t="s">
        <v>465</v>
      </c>
      <c r="C245" s="228"/>
      <c r="D245" s="228"/>
      <c r="E245" s="229"/>
      <c r="F245" s="229"/>
      <c r="G245" s="228"/>
      <c r="H245" s="228"/>
      <c r="I245" s="228"/>
      <c r="J245" s="228"/>
      <c r="K245" s="228"/>
      <c r="L245" s="145">
        <f t="shared" si="243" ref="L245:AX245">SUM(L220:L241)</f>
        <v>350.82050880003027</v>
      </c>
      <c r="M245" s="145">
        <f t="shared" si="243"/>
        <v>347.78758448388203</v>
      </c>
      <c r="N245" s="145">
        <f t="shared" si="243"/>
        <v>345.66070287280843</v>
      </c>
      <c r="O245" s="145">
        <f t="shared" si="243"/>
        <v>342.89740508403531</v>
      </c>
      <c r="P245" s="145">
        <f t="shared" si="243"/>
        <v>339.85463913379419</v>
      </c>
      <c r="Q245" s="145">
        <f t="shared" si="243"/>
        <v>335.63620243987805</v>
      </c>
      <c r="R245" s="145">
        <f t="shared" si="243"/>
        <v>338.05067610284186</v>
      </c>
      <c r="S245" s="145">
        <f t="shared" si="243"/>
        <v>340.04146202400329</v>
      </c>
      <c r="T245" s="145">
        <f t="shared" si="243"/>
        <v>340.04146202400324</v>
      </c>
      <c r="U245" s="145">
        <f t="shared" si="243"/>
        <v>345.35037334329945</v>
      </c>
      <c r="V245" s="145">
        <f t="shared" si="243"/>
        <v>351.11860614304021</v>
      </c>
      <c r="W245" s="145">
        <f t="shared" si="243"/>
        <v>352.94658419821036</v>
      </c>
      <c r="X245" s="145">
        <f t="shared" si="243"/>
        <v>355.54361103436173</v>
      </c>
      <c r="Y245" s="145">
        <f t="shared" si="243"/>
        <v>358.14753366979028</v>
      </c>
      <c r="Z245" s="145">
        <f t="shared" si="243"/>
        <v>361.21464640245091</v>
      </c>
      <c r="AA245" s="145">
        <f t="shared" si="243"/>
        <v>365.24119856630841</v>
      </c>
      <c r="AB245" s="145">
        <f t="shared" si="243"/>
        <v>369.75375019971898</v>
      </c>
      <c r="AC245" s="145">
        <f t="shared" si="243"/>
        <v>374.92563178970136</v>
      </c>
      <c r="AD245" s="145">
        <f t="shared" si="243"/>
        <v>380.65716006957689</v>
      </c>
      <c r="AE245" s="145">
        <f t="shared" si="243"/>
        <v>386.79846734148015</v>
      </c>
      <c r="AF245" s="145">
        <f t="shared" si="243"/>
        <v>393.16067012647062</v>
      </c>
      <c r="AG245" s="145">
        <f t="shared" si="243"/>
        <v>399.70911997641269</v>
      </c>
      <c r="AH245" s="145">
        <f t="shared" si="243"/>
        <v>406.28078346271531</v>
      </c>
      <c r="AI245" s="145">
        <f t="shared" si="243"/>
        <v>412.80940752879235</v>
      </c>
      <c r="AJ245" s="145">
        <f t="shared" si="243"/>
        <v>419.25710564206236</v>
      </c>
      <c r="AK245" s="145">
        <f t="shared" si="244" ref="AK245:AT245">SUM(AK220:AK241)</f>
        <v>425.85265220875885</v>
      </c>
      <c r="AL245" s="145">
        <f t="shared" si="244"/>
        <v>432.60289574202199</v>
      </c>
      <c r="AM245" s="145">
        <f t="shared" si="244"/>
        <v>439.64559650231354</v>
      </c>
      <c r="AN245" s="145">
        <f t="shared" si="244"/>
        <v>446.8098989561197</v>
      </c>
      <c r="AO245" s="145">
        <f t="shared" si="244"/>
        <v>454.07277936409196</v>
      </c>
      <c r="AP245" s="145">
        <f t="shared" si="244"/>
        <v>461.19257827198999</v>
      </c>
      <c r="AQ245" s="145">
        <f t="shared" si="244"/>
        <v>468.17690739352969</v>
      </c>
      <c r="AR245" s="145">
        <f t="shared" si="244"/>
        <v>475.03273538339528</v>
      </c>
      <c r="AS245" s="145">
        <f t="shared" si="244"/>
        <v>481.76646099543569</v>
      </c>
      <c r="AT245" s="145">
        <f t="shared" si="244"/>
        <v>488.66014480276618</v>
      </c>
      <c r="AU245" s="145">
        <f t="shared" si="243"/>
        <v>495.43376874419465</v>
      </c>
      <c r="AV245" s="145">
        <f t="shared" si="243"/>
        <v>502.09300164442806</v>
      </c>
      <c r="AW245" s="145">
        <f t="shared" si="243"/>
        <v>508.64308567576302</v>
      </c>
      <c r="AX245" s="145">
        <f t="shared" si="243"/>
        <v>515.08887975089317</v>
      </c>
      <c r="AY245" s="145">
        <f t="shared" si="245" ref="AY245:BR245">SUM(AY220:AY241)</f>
        <v>521.8372120943277</v>
      </c>
      <c r="AZ245" s="145">
        <f t="shared" si="245"/>
        <v>528.47765209922284</v>
      </c>
      <c r="BA245" s="145">
        <f t="shared" si="245"/>
        <v>535.01488805824795</v>
      </c>
      <c r="BB245" s="145">
        <f t="shared" si="245"/>
        <v>541.45328276862506</v>
      </c>
      <c r="BC245" s="145">
        <f t="shared" si="245"/>
        <v>547.7969041377695</v>
      </c>
      <c r="BD245" s="145">
        <f t="shared" si="245"/>
        <v>554.04955219701071</v>
      </c>
      <c r="BE245" s="145">
        <f t="shared" si="245"/>
        <v>560.21478302455546</v>
      </c>
      <c r="BF245" s="145">
        <f t="shared" si="245"/>
        <v>566.29592999835722</v>
      </c>
      <c r="BG245" s="145">
        <f t="shared" si="245"/>
        <v>572.29612273362045</v>
      </c>
      <c r="BH245" s="145">
        <f t="shared" si="245"/>
        <v>578.21830400535623</v>
      </c>
      <c r="BI245" s="145">
        <f t="shared" si="245"/>
        <v>580.51432341385112</v>
      </c>
      <c r="BJ245" s="145">
        <f t="shared" si="245"/>
        <v>582.79898963752282</v>
      </c>
      <c r="BK245" s="145">
        <f t="shared" si="245"/>
        <v>585.07245825303562</v>
      </c>
      <c r="BL245" s="145">
        <f t="shared" si="245"/>
        <v>587.33488136627363</v>
      </c>
      <c r="BM245" s="145">
        <f t="shared" si="245"/>
        <v>589.58640771912314</v>
      </c>
      <c r="BN245" s="145">
        <f t="shared" si="245"/>
        <v>591.82718279208132</v>
      </c>
      <c r="BO245" s="145">
        <f t="shared" si="245"/>
        <v>594.05734890289091</v>
      </c>
      <c r="BP245" s="145">
        <f t="shared" si="245"/>
        <v>596.2770453013834</v>
      </c>
      <c r="BQ245" s="145">
        <f t="shared" si="245"/>
        <v>598.48640826071085</v>
      </c>
      <c r="BR245" s="145">
        <f t="shared" si="245"/>
        <v>600.6855711651292</v>
      </c>
    </row>
    <row r="246" spans="1:13" ht="15">
      <c r="A246" t="s">
        <v>16</v>
      </c>
      <c r="M246" s="75"/>
    </row>
    <row r="247" spans="1:90" s="0" customFormat="1" ht="23.25">
      <c r="A247" t="s">
        <v>16</v>
      </c>
      <c r="B247" s="16" t="s">
        <v>18</v>
      </c>
      <c r="C247" s="16" t="s">
        <v>19</v>
      </c>
      <c r="D247" s="16" t="s">
        <v>20</v>
      </c>
      <c r="E247" s="16" t="s">
        <v>21</v>
      </c>
      <c r="F247" s="16" t="s">
        <v>22</v>
      </c>
      <c r="G247" s="16" t="s">
        <v>23</v>
      </c>
      <c r="H247" s="16" t="s">
        <v>24</v>
      </c>
      <c r="I247" s="17" t="s">
        <v>25</v>
      </c>
      <c r="J247" s="17"/>
      <c r="K247" s="17"/>
      <c r="L247" s="146">
        <v>2012</v>
      </c>
      <c r="M247" s="146">
        <v>2013</v>
      </c>
      <c r="N247" s="146">
        <v>2014</v>
      </c>
      <c r="O247" s="146">
        <v>2015</v>
      </c>
      <c r="P247" s="146">
        <v>2016</v>
      </c>
      <c r="Q247" s="146">
        <v>2017</v>
      </c>
      <c r="R247" s="146">
        <v>2018</v>
      </c>
      <c r="S247" s="146">
        <v>2019</v>
      </c>
      <c r="T247" s="146">
        <v>2020</v>
      </c>
      <c r="U247" s="146">
        <v>2021</v>
      </c>
      <c r="V247" s="146">
        <v>2022</v>
      </c>
      <c r="W247" s="146">
        <v>2023</v>
      </c>
      <c r="X247" s="146">
        <v>2024</v>
      </c>
      <c r="Y247" s="146">
        <v>2025</v>
      </c>
      <c r="Z247" s="146">
        <v>2026</v>
      </c>
      <c r="AA247" s="146">
        <v>2027</v>
      </c>
      <c r="AB247" s="146">
        <v>2028</v>
      </c>
      <c r="AC247" s="146">
        <v>2029</v>
      </c>
      <c r="AD247" s="146">
        <v>2030</v>
      </c>
      <c r="AE247" s="146">
        <v>2031</v>
      </c>
      <c r="AF247" s="146">
        <v>2032</v>
      </c>
      <c r="AG247" s="146">
        <v>2033</v>
      </c>
      <c r="AH247" s="146">
        <v>2034</v>
      </c>
      <c r="AI247" s="146">
        <v>2035</v>
      </c>
      <c r="AJ247" s="146">
        <v>2036</v>
      </c>
      <c r="AK247" s="146">
        <v>2037</v>
      </c>
      <c r="AL247" s="146">
        <v>2038</v>
      </c>
      <c r="AM247" s="146">
        <v>2039</v>
      </c>
      <c r="AN247" s="146">
        <v>2040</v>
      </c>
      <c r="AO247" s="146">
        <v>2045</v>
      </c>
      <c r="AP247" s="146">
        <v>2050</v>
      </c>
      <c r="AQ247" s="146">
        <v>2060</v>
      </c>
      <c r="AR247" s="146">
        <v>2070</v>
      </c>
      <c r="AS247" s="146"/>
      <c r="AT247" s="18"/>
      <c r="AU247" s="18"/>
      <c r="AV247" s="18"/>
      <c r="AW247" s="18"/>
      <c r="AX247" s="18"/>
      <c r="BS247" s="75"/>
      <c r="BT247" s="75"/>
      <c r="BU247" s="75"/>
      <c r="BV247" s="75"/>
      <c r="BW247" s="75"/>
      <c r="BX247" s="75"/>
      <c r="BY247" s="75"/>
      <c r="BZ247" s="75"/>
      <c r="CA247" s="75"/>
      <c r="CB247" s="75"/>
      <c r="CC247" s="75"/>
      <c r="CD247" s="75"/>
      <c r="CE247" s="75"/>
      <c r="CF247" s="75"/>
      <c r="CG247" s="75"/>
      <c r="CH247" s="75"/>
      <c r="CI247" s="75"/>
      <c r="CJ247" s="75"/>
      <c r="CK247" s="75"/>
      <c r="CL247" s="75"/>
    </row>
    <row r="248" spans="1:90" s="0" customFormat="1" ht="15">
      <c r="A248" t="s">
        <v>113</v>
      </c>
      <c r="B248" s="20" t="str">
        <f t="shared" si="246" ref="B248:B256">IF(A248="*","","COM_PROJ")</f>
        <v>COM_PROJ</v>
      </c>
      <c r="C248" s="21" t="str">
        <f t="shared" si="247" ref="C248:C266">IF($A248="*","","-")</f>
        <v>-</v>
      </c>
      <c r="D248" s="20" t="str">
        <f>COM!B162</f>
        <v>CEC</v>
      </c>
      <c r="E248" s="21" t="str">
        <f t="shared" si="248" ref="E248:H263">IF($A248="*","","-")</f>
        <v>-</v>
      </c>
      <c r="F248" s="21" t="str">
        <f t="shared" si="248"/>
        <v>-</v>
      </c>
      <c r="G248" s="21" t="str">
        <f t="shared" si="248"/>
        <v>-</v>
      </c>
      <c r="H248" s="21" t="str">
        <f t="shared" si="248"/>
        <v>-</v>
      </c>
      <c r="I248" s="20">
        <f t="shared" si="249" ref="I248:I266">IF(A248="*","",0)</f>
        <v>0</v>
      </c>
      <c r="J248" s="20"/>
      <c r="K248" s="20"/>
      <c r="L248" s="12">
        <f t="shared" si="250" ref="L248:U256">INDEX($L$233:$AX$241,MATCH($D248,$B$233:$B$241,0),MATCH(L$247,$L$104:$AX$104,0))</f>
        <v>139.66439435388401</v>
      </c>
      <c r="M248" s="12">
        <f t="shared" si="250"/>
        <v>137.45465286071149</v>
      </c>
      <c r="N248" s="12">
        <f t="shared" si="250"/>
        <v>135.58181469226156</v>
      </c>
      <c r="O248" s="12">
        <f t="shared" si="250"/>
        <v>133.436204088712</v>
      </c>
      <c r="P248" s="12">
        <f t="shared" si="250"/>
        <v>131.16029709988757</v>
      </c>
      <c r="Q248" s="12">
        <f t="shared" si="250"/>
        <v>128.41271933541799</v>
      </c>
      <c r="R248" s="12">
        <f t="shared" si="250"/>
        <v>127.5701706714746</v>
      </c>
      <c r="S248" s="12">
        <f t="shared" si="250"/>
        <v>126.6952018486339</v>
      </c>
      <c r="T248" s="12">
        <f t="shared" si="250"/>
        <v>125.66790009395055</v>
      </c>
      <c r="U248" s="12">
        <f t="shared" si="250"/>
        <v>125.04683088168406</v>
      </c>
      <c r="V248" s="12">
        <f t="shared" si="251" ref="V248:AE256">INDEX($L$233:$AX$241,MATCH($D248,$B$233:$B$241,0),MATCH(V$247,$L$104:$AX$104,0))</f>
        <v>124.46090848607453</v>
      </c>
      <c r="W248" s="12">
        <f t="shared" si="251"/>
        <v>123.57348176944934</v>
      </c>
      <c r="X248" s="12">
        <f t="shared" si="251"/>
        <v>122.74490189029254</v>
      </c>
      <c r="Y248" s="12">
        <f t="shared" si="251"/>
        <v>121.91684967074497</v>
      </c>
      <c r="Z248" s="12">
        <f t="shared" si="251"/>
        <v>121.1242402905112</v>
      </c>
      <c r="AA248" s="12">
        <f t="shared" si="251"/>
        <v>120.40504624837382</v>
      </c>
      <c r="AB248" s="12">
        <f t="shared" si="251"/>
        <v>119.72304039572687</v>
      </c>
      <c r="AC248" s="12">
        <f t="shared" si="251"/>
        <v>119.09148580670833</v>
      </c>
      <c r="AD248" s="12">
        <f t="shared" si="251"/>
        <v>118.50275481823935</v>
      </c>
      <c r="AE248" s="12">
        <f t="shared" si="251"/>
        <v>117.94537970515583</v>
      </c>
      <c r="AF248" s="12">
        <f t="shared" si="252" ref="AF248:AO256">INDEX($L$233:$AX$241,MATCH($D248,$B$233:$B$241,0),MATCH(AF$247,$L$104:$AX$104,0))</f>
        <v>117.4049072940564</v>
      </c>
      <c r="AG248" s="12">
        <f t="shared" si="252"/>
        <v>116.8786863206176</v>
      </c>
      <c r="AH248" s="12">
        <f t="shared" si="252"/>
        <v>116.35424163123227</v>
      </c>
      <c r="AI248" s="12">
        <f t="shared" si="252"/>
        <v>115.82650360879785</v>
      </c>
      <c r="AJ248" s="12">
        <f t="shared" si="252"/>
        <v>115.29257321403338</v>
      </c>
      <c r="AK248" s="12">
        <f t="shared" si="252"/>
        <v>114.76995603388403</v>
      </c>
      <c r="AL248" s="12">
        <f t="shared" si="252"/>
        <v>114.2591761096715</v>
      </c>
      <c r="AM248" s="12">
        <f t="shared" si="252"/>
        <v>113.77077471765489</v>
      </c>
      <c r="AN248" s="12">
        <f t="shared" si="252"/>
        <v>113.2916781646434</v>
      </c>
      <c r="AO248" s="12">
        <f t="shared" si="252"/>
        <v>110.83001027993558</v>
      </c>
      <c r="AP248" s="12">
        <f>INDEX($L$233:$BR$241,MATCH($D248,$B$233:$B$241,0),MATCH(AP$247,$L$104:$BR$104,0))</f>
        <v>108.24329939847203</v>
      </c>
      <c r="AQ248" s="12">
        <f t="shared" si="253" ref="AQ248:AR256">INDEX($L$233:$BR$241,MATCH($D248,$B$233:$B$241,0),MATCH(AQ$247,$L$104:$BR$104,0))</f>
        <v>102.80088175693157</v>
      </c>
      <c r="AR248" s="12">
        <f t="shared" si="253"/>
        <v>94.247036844664308</v>
      </c>
      <c r="AS248" s="9"/>
      <c r="AT248" s="9"/>
      <c r="AU248" s="9"/>
      <c r="AV248" s="9"/>
      <c r="AW248" s="9"/>
      <c r="AX248" s="9"/>
      <c r="BS248" s="75"/>
      <c r="BT248" s="75"/>
      <c r="BU248" s="75"/>
      <c r="BV248" s="75"/>
      <c r="BW248" s="75"/>
      <c r="BX248" s="75"/>
      <c r="BY248" s="75"/>
      <c r="BZ248" s="75"/>
      <c r="CA248" s="75"/>
      <c r="CB248" s="75"/>
      <c r="CC248" s="75"/>
      <c r="CD248" s="75"/>
      <c r="CE248" s="75"/>
      <c r="CF248" s="75"/>
      <c r="CG248" s="75"/>
      <c r="CH248" s="75"/>
      <c r="CI248" s="75"/>
      <c r="CJ248" s="75"/>
      <c r="CK248" s="75"/>
      <c r="CL248" s="75"/>
    </row>
    <row r="249" spans="1:90" s="0" customFormat="1" ht="15">
      <c r="A249" t="s">
        <v>113</v>
      </c>
      <c r="B249" s="20" t="str">
        <f t="shared" si="246"/>
        <v>COM_PROJ</v>
      </c>
      <c r="C249" s="21" t="str">
        <f t="shared" si="247"/>
        <v>-</v>
      </c>
      <c r="D249" s="20" t="str">
        <f>COM!B163</f>
        <v>CEH</v>
      </c>
      <c r="E249" s="21" t="str">
        <f t="shared" si="248"/>
        <v>-</v>
      </c>
      <c r="F249" s="21" t="str">
        <f t="shared" si="248"/>
        <v>-</v>
      </c>
      <c r="G249" s="21" t="str">
        <f t="shared" si="248"/>
        <v>-</v>
      </c>
      <c r="H249" s="21" t="str">
        <f t="shared" si="248"/>
        <v>-</v>
      </c>
      <c r="I249" s="20">
        <f t="shared" si="249"/>
        <v>0</v>
      </c>
      <c r="J249" s="20"/>
      <c r="K249" s="20"/>
      <c r="L249" s="12">
        <f t="shared" si="250"/>
        <v>7.8517549075019</v>
      </c>
      <c r="M249" s="12">
        <f t="shared" si="250"/>
        <v>8.6464867087259769</v>
      </c>
      <c r="N249" s="12">
        <f t="shared" si="250"/>
        <v>9.4819790623114137</v>
      </c>
      <c r="O249" s="12">
        <f t="shared" si="250"/>
        <v>10.319932556631571</v>
      </c>
      <c r="P249" s="12">
        <f t="shared" si="250"/>
        <v>11.168015722760602</v>
      </c>
      <c r="Q249" s="12">
        <f t="shared" si="250"/>
        <v>11.992907577983001</v>
      </c>
      <c r="R249" s="12">
        <f t="shared" si="250"/>
        <v>11.914219046901959</v>
      </c>
      <c r="S249" s="12">
        <f t="shared" si="250"/>
        <v>11.832502685156392</v>
      </c>
      <c r="T249" s="12">
        <f t="shared" si="250"/>
        <v>11.736559424532528</v>
      </c>
      <c r="U249" s="12">
        <f t="shared" si="250"/>
        <v>11.678555624747027</v>
      </c>
      <c r="V249" s="12">
        <f t="shared" si="251"/>
        <v>11.623834307615967</v>
      </c>
      <c r="W249" s="12">
        <f t="shared" si="251"/>
        <v>11.540954460122673</v>
      </c>
      <c r="X249" s="12">
        <f t="shared" si="251"/>
        <v>11.463570522120801</v>
      </c>
      <c r="Y249" s="12">
        <f t="shared" si="251"/>
        <v>11.386235864073116</v>
      </c>
      <c r="Z249" s="12">
        <f t="shared" si="251"/>
        <v>11.312211335258668</v>
      </c>
      <c r="AA249" s="12">
        <f t="shared" si="251"/>
        <v>11.245043318549513</v>
      </c>
      <c r="AB249" s="12">
        <f t="shared" si="251"/>
        <v>11.181348435357499</v>
      </c>
      <c r="AC249" s="12">
        <f t="shared" si="251"/>
        <v>11.122365370005801</v>
      </c>
      <c r="AD249" s="12">
        <f t="shared" si="251"/>
        <v>11.06738174868274</v>
      </c>
      <c r="AE249" s="12">
        <f t="shared" si="251"/>
        <v>11.015326560909493</v>
      </c>
      <c r="AF249" s="12">
        <f t="shared" si="252"/>
        <v>10.964849974880389</v>
      </c>
      <c r="AG249" s="12">
        <f t="shared" si="252"/>
        <v>10.915704379859049</v>
      </c>
      <c r="AH249" s="12">
        <f t="shared" si="252"/>
        <v>10.866724678143257</v>
      </c>
      <c r="AI249" s="12">
        <f t="shared" si="252"/>
        <v>10.817437400674182</v>
      </c>
      <c r="AJ249" s="12">
        <f t="shared" si="252"/>
        <v>10.767571796155982</v>
      </c>
      <c r="AK249" s="12">
        <f t="shared" si="252"/>
        <v>10.718762771842544</v>
      </c>
      <c r="AL249" s="12">
        <f t="shared" si="252"/>
        <v>10.671059269763678</v>
      </c>
      <c r="AM249" s="12">
        <f t="shared" si="252"/>
        <v>10.625445776133706</v>
      </c>
      <c r="AN249" s="12">
        <f t="shared" si="252"/>
        <v>10.580701293570504</v>
      </c>
      <c r="AO249" s="12">
        <f t="shared" si="252"/>
        <v>10.35079762373328</v>
      </c>
      <c r="AP249" s="12">
        <f t="shared" si="254" ref="AP249:AP256">INDEX($L$233:$BR$241,MATCH($D249,$B$233:$B$241,0),MATCH(AP$247,$L$104:$BR$104,0))</f>
        <v>10.109215756353581</v>
      </c>
      <c r="AQ249" s="12">
        <f t="shared" si="253"/>
        <v>9.6009295669980652</v>
      </c>
      <c r="AR249" s="12">
        <f t="shared" si="253"/>
        <v>8.8020564335566309</v>
      </c>
      <c r="AS249" s="9"/>
      <c r="AT249" s="9"/>
      <c r="AU249" s="9"/>
      <c r="AV249" s="9"/>
      <c r="AW249" s="9"/>
      <c r="AX249" s="9"/>
      <c r="BS249" s="75"/>
      <c r="BT249" s="75"/>
      <c r="BU249" s="75"/>
      <c r="BV249" s="75"/>
      <c r="BW249" s="75"/>
      <c r="BX249" s="75"/>
      <c r="BY249" s="75"/>
      <c r="BZ249" s="75"/>
      <c r="CA249" s="75"/>
      <c r="CB249" s="75"/>
      <c r="CC249" s="75"/>
      <c r="CD249" s="75"/>
      <c r="CE249" s="75"/>
      <c r="CF249" s="75"/>
      <c r="CG249" s="75"/>
      <c r="CH249" s="75"/>
      <c r="CI249" s="75"/>
      <c r="CJ249" s="75"/>
      <c r="CK249" s="75"/>
      <c r="CL249" s="75"/>
    </row>
    <row r="250" spans="1:90" s="0" customFormat="1" ht="15">
      <c r="A250" t="s">
        <v>113</v>
      </c>
      <c r="B250" s="20" t="str">
        <f t="shared" si="246"/>
        <v>COM_PROJ</v>
      </c>
      <c r="C250" s="21" t="str">
        <f t="shared" si="247"/>
        <v>-</v>
      </c>
      <c r="D250" s="20" t="str">
        <f>COM!B164</f>
        <v>CEK</v>
      </c>
      <c r="E250" s="21" t="str">
        <f t="shared" si="248"/>
        <v>-</v>
      </c>
      <c r="F250" s="21" t="str">
        <f t="shared" si="248"/>
        <v>-</v>
      </c>
      <c r="G250" s="21" t="str">
        <f t="shared" si="248"/>
        <v>-</v>
      </c>
      <c r="H250" s="21" t="str">
        <f t="shared" si="248"/>
        <v>-</v>
      </c>
      <c r="I250" s="20">
        <f t="shared" si="249"/>
        <v>0</v>
      </c>
      <c r="J250" s="20"/>
      <c r="K250" s="20"/>
      <c r="L250" s="12">
        <f t="shared" si="250"/>
        <v>9.8944997565297594</v>
      </c>
      <c r="M250" s="12">
        <f t="shared" si="250"/>
        <v>9.7120807580170059</v>
      </c>
      <c r="N250" s="12">
        <f t="shared" si="250"/>
        <v>9.5529153405684184</v>
      </c>
      <c r="O250" s="12">
        <f t="shared" si="250"/>
        <v>9.3739244191123756</v>
      </c>
      <c r="P250" s="12">
        <f t="shared" si="250"/>
        <v>9.1852112925639382</v>
      </c>
      <c r="Q250" s="12">
        <f t="shared" si="250"/>
        <v>8.9629891158025892</v>
      </c>
      <c r="R250" s="12">
        <f t="shared" si="250"/>
        <v>8.904180653965307</v>
      </c>
      <c r="S250" s="12">
        <f t="shared" si="250"/>
        <v>8.8431093202502762</v>
      </c>
      <c r="T250" s="12">
        <f t="shared" si="250"/>
        <v>8.7714054073238561</v>
      </c>
      <c r="U250" s="12">
        <f t="shared" si="250"/>
        <v>8.7280558340221273</v>
      </c>
      <c r="V250" s="12">
        <f t="shared" si="251"/>
        <v>8.6871594486661294</v>
      </c>
      <c r="W250" s="12">
        <f t="shared" si="251"/>
        <v>8.6252185751814103</v>
      </c>
      <c r="X250" s="12">
        <f t="shared" si="251"/>
        <v>8.5673851107326335</v>
      </c>
      <c r="Y250" s="12">
        <f t="shared" si="251"/>
        <v>8.5095884760259484</v>
      </c>
      <c r="Z250" s="12">
        <f t="shared" si="251"/>
        <v>8.4542656911422949</v>
      </c>
      <c r="AA250" s="12">
        <f t="shared" si="251"/>
        <v>8.404067171827478</v>
      </c>
      <c r="AB250" s="12">
        <f t="shared" si="251"/>
        <v>8.3564643248055894</v>
      </c>
      <c r="AC250" s="12">
        <f t="shared" si="251"/>
        <v>8.3123828900637378</v>
      </c>
      <c r="AD250" s="12">
        <f t="shared" si="251"/>
        <v>8.2712904697093315</v>
      </c>
      <c r="AE250" s="12">
        <f t="shared" si="251"/>
        <v>8.2323866360560807</v>
      </c>
      <c r="AF250" s="12">
        <f t="shared" si="252"/>
        <v>8.1946625822151002</v>
      </c>
      <c r="AG250" s="12">
        <f t="shared" si="252"/>
        <v>8.1579332544518657</v>
      </c>
      <c r="AH250" s="12">
        <f t="shared" si="252"/>
        <v>8.1213279082904535</v>
      </c>
      <c r="AI250" s="12">
        <f t="shared" si="252"/>
        <v>8.0844926930909402</v>
      </c>
      <c r="AJ250" s="12">
        <f t="shared" si="252"/>
        <v>8.0472252608487338</v>
      </c>
      <c r="AK250" s="12">
        <f t="shared" si="252"/>
        <v>8.0107474717196467</v>
      </c>
      <c r="AL250" s="12">
        <f t="shared" si="252"/>
        <v>7.9750959028954629</v>
      </c>
      <c r="AM250" s="12">
        <f t="shared" si="252"/>
        <v>7.9410063175067007</v>
      </c>
      <c r="AN250" s="12">
        <f t="shared" si="252"/>
        <v>7.9075661940338549</v>
      </c>
      <c r="AO250" s="12">
        <f t="shared" si="252"/>
        <v>7.7357459680348581</v>
      </c>
      <c r="AP250" s="12">
        <f t="shared" si="254"/>
        <v>7.555197953817304</v>
      </c>
      <c r="AQ250" s="12">
        <f t="shared" si="253"/>
        <v>7.1753264711695177</v>
      </c>
      <c r="AR250" s="12">
        <f t="shared" si="253"/>
        <v>6.578282663954008</v>
      </c>
      <c r="AS250" s="9"/>
      <c r="AT250" s="9"/>
      <c r="AU250" s="9"/>
      <c r="AV250" s="9"/>
      <c r="AW250" s="9"/>
      <c r="AX250" s="9"/>
      <c r="BS250" s="75"/>
      <c r="BT250" s="75"/>
      <c r="BU250" s="75"/>
      <c r="BV250" s="75"/>
      <c r="BW250" s="75"/>
      <c r="BX250" s="75"/>
      <c r="BY250" s="75"/>
      <c r="BZ250" s="75"/>
      <c r="CA250" s="75"/>
      <c r="CB250" s="75"/>
      <c r="CC250" s="75"/>
      <c r="CD250" s="75"/>
      <c r="CE250" s="75"/>
      <c r="CF250" s="75"/>
      <c r="CG250" s="75"/>
      <c r="CH250" s="75"/>
      <c r="CI250" s="75"/>
      <c r="CJ250" s="75"/>
      <c r="CK250" s="75"/>
      <c r="CL250" s="75"/>
    </row>
    <row r="251" spans="1:90" s="0" customFormat="1" ht="15">
      <c r="A251" t="s">
        <v>113</v>
      </c>
      <c r="B251" s="20" t="str">
        <f t="shared" si="246"/>
        <v>COM_PROJ</v>
      </c>
      <c r="C251" s="21" t="str">
        <f t="shared" si="247"/>
        <v>-</v>
      </c>
      <c r="D251" s="20" t="str">
        <f>COM!B165</f>
        <v>CEL</v>
      </c>
      <c r="E251" s="21" t="str">
        <f t="shared" si="248"/>
        <v>-</v>
      </c>
      <c r="F251" s="21" t="str">
        <f t="shared" si="248"/>
        <v>-</v>
      </c>
      <c r="G251" s="21" t="str">
        <f t="shared" si="248"/>
        <v>-</v>
      </c>
      <c r="H251" s="21" t="str">
        <f t="shared" si="248"/>
        <v>-</v>
      </c>
      <c r="I251" s="20">
        <f t="shared" si="249"/>
        <v>0</v>
      </c>
      <c r="J251" s="20"/>
      <c r="K251" s="20"/>
      <c r="L251" s="12">
        <f t="shared" si="250"/>
        <v>121.540271905689</v>
      </c>
      <c r="M251" s="12">
        <f t="shared" si="250"/>
        <v>119.61728657242662</v>
      </c>
      <c r="N251" s="12">
        <f t="shared" si="250"/>
        <v>117.98748492339635</v>
      </c>
      <c r="O251" s="12">
        <f t="shared" si="250"/>
        <v>116.12030827207035</v>
      </c>
      <c r="P251" s="12">
        <f t="shared" si="250"/>
        <v>114.13974367983143</v>
      </c>
      <c r="Q251" s="12">
        <f t="shared" si="250"/>
        <v>111.748716602955</v>
      </c>
      <c r="R251" s="12">
        <f t="shared" si="250"/>
        <v>111.01550471897272</v>
      </c>
      <c r="S251" s="12">
        <f t="shared" si="250"/>
        <v>110.25407981086335</v>
      </c>
      <c r="T251" s="12">
        <f t="shared" si="250"/>
        <v>109.3600900780397</v>
      </c>
      <c r="U251" s="12">
        <f t="shared" si="250"/>
        <v>108.81961645711196</v>
      </c>
      <c r="V251" s="12">
        <f t="shared" si="251"/>
        <v>108.30972868215358</v>
      </c>
      <c r="W251" s="12">
        <f t="shared" si="251"/>
        <v>107.53746252989646</v>
      </c>
      <c r="X251" s="12">
        <f t="shared" si="251"/>
        <v>106.81640671410182</v>
      </c>
      <c r="Y251" s="12">
        <f t="shared" si="251"/>
        <v>106.09581008400501</v>
      </c>
      <c r="Z251" s="12">
        <f t="shared" si="251"/>
        <v>105.40605690794125</v>
      </c>
      <c r="AA251" s="12">
        <f t="shared" si="251"/>
        <v>104.78019202778546</v>
      </c>
      <c r="AB251" s="12">
        <f t="shared" si="251"/>
        <v>104.1866894593216</v>
      </c>
      <c r="AC251" s="12">
        <f t="shared" si="251"/>
        <v>103.63709113952289</v>
      </c>
      <c r="AD251" s="12">
        <f t="shared" si="251"/>
        <v>103.12475924026646</v>
      </c>
      <c r="AE251" s="12">
        <f t="shared" si="251"/>
        <v>102.63971419273642</v>
      </c>
      <c r="AF251" s="12">
        <f t="shared" si="252"/>
        <v>102.16937839880381</v>
      </c>
      <c r="AG251" s="12">
        <f t="shared" si="252"/>
        <v>101.71144464632449</v>
      </c>
      <c r="AH251" s="12">
        <f t="shared" si="252"/>
        <v>101.25505667111958</v>
      </c>
      <c r="AI251" s="12">
        <f t="shared" si="252"/>
        <v>100.7958027357241</v>
      </c>
      <c r="AJ251" s="12">
        <f t="shared" si="252"/>
        <v>100.33116000656898</v>
      </c>
      <c r="AK251" s="12">
        <f t="shared" si="252"/>
        <v>99.876362386375305</v>
      </c>
      <c r="AL251" s="12">
        <f t="shared" si="252"/>
        <v>99.43186591209529</v>
      </c>
      <c r="AM251" s="12">
        <f t="shared" si="252"/>
        <v>99.006843928078297</v>
      </c>
      <c r="AN251" s="12">
        <f t="shared" si="252"/>
        <v>98.589919302503731</v>
      </c>
      <c r="AO251" s="12">
        <f t="shared" si="252"/>
        <v>96.447699838244347</v>
      </c>
      <c r="AP251" s="12">
        <f t="shared" si="254"/>
        <v>94.196664094102729</v>
      </c>
      <c r="AQ251" s="12">
        <f t="shared" si="253"/>
        <v>89.460504079682096</v>
      </c>
      <c r="AR251" s="12">
        <f t="shared" si="253"/>
        <v>82.016683904285046</v>
      </c>
      <c r="AS251" s="9"/>
      <c r="AT251" s="9"/>
      <c r="AU251" s="9"/>
      <c r="AV251" s="9"/>
      <c r="AW251" s="9"/>
      <c r="AX251" s="9"/>
      <c r="BS251" s="75"/>
      <c r="BT251" s="75"/>
      <c r="BU251" s="75"/>
      <c r="BV251" s="75"/>
      <c r="BW251" s="75"/>
      <c r="BX251" s="75"/>
      <c r="BY251" s="75"/>
      <c r="BZ251" s="75"/>
      <c r="CA251" s="75"/>
      <c r="CB251" s="75"/>
      <c r="CC251" s="75"/>
      <c r="CD251" s="75"/>
      <c r="CE251" s="75"/>
      <c r="CF251" s="75"/>
      <c r="CG251" s="75"/>
      <c r="CH251" s="75"/>
      <c r="CI251" s="75"/>
      <c r="CJ251" s="75"/>
      <c r="CK251" s="75"/>
      <c r="CL251" s="75"/>
    </row>
    <row r="252" spans="1:90" s="0" customFormat="1" ht="15">
      <c r="A252" t="s">
        <v>113</v>
      </c>
      <c r="B252" s="20" t="str">
        <f t="shared" si="246"/>
        <v>COM_PROJ</v>
      </c>
      <c r="C252" s="21" t="str">
        <f t="shared" si="247"/>
        <v>-</v>
      </c>
      <c r="D252" s="20" t="str">
        <f>COM!B166</f>
        <v>CER</v>
      </c>
      <c r="E252" s="21" t="str">
        <f t="shared" si="248"/>
        <v>-</v>
      </c>
      <c r="F252" s="21" t="str">
        <f t="shared" si="248"/>
        <v>-</v>
      </c>
      <c r="G252" s="21" t="str">
        <f t="shared" si="248"/>
        <v>-</v>
      </c>
      <c r="H252" s="21" t="str">
        <f t="shared" si="248"/>
        <v>-</v>
      </c>
      <c r="I252" s="20">
        <f t="shared" si="249"/>
        <v>0</v>
      </c>
      <c r="J252" s="20"/>
      <c r="K252" s="20"/>
      <c r="L252" s="12">
        <f t="shared" si="250"/>
        <v>29.566390373747101</v>
      </c>
      <c r="M252" s="12">
        <f t="shared" si="250"/>
        <v>29.098596990082953</v>
      </c>
      <c r="N252" s="12">
        <f t="shared" si="250"/>
        <v>28.702124684801319</v>
      </c>
      <c r="O252" s="12">
        <f t="shared" si="250"/>
        <v>28.247907552452908</v>
      </c>
      <c r="P252" s="12">
        <f t="shared" si="250"/>
        <v>27.766107199562512</v>
      </c>
      <c r="Q252" s="12">
        <f t="shared" si="250"/>
        <v>27.184456041138404</v>
      </c>
      <c r="R252" s="12">
        <f t="shared" si="250"/>
        <v>27.006091878802874</v>
      </c>
      <c r="S252" s="12">
        <f t="shared" si="250"/>
        <v>26.82086449926463</v>
      </c>
      <c r="T252" s="12">
        <f t="shared" si="250"/>
        <v>26.603388850935517</v>
      </c>
      <c r="U252" s="12">
        <f t="shared" si="250"/>
        <v>26.471910997442958</v>
      </c>
      <c r="V252" s="12">
        <f t="shared" si="251"/>
        <v>26.347873583630694</v>
      </c>
      <c r="W252" s="12">
        <f t="shared" si="251"/>
        <v>26.160008918100051</v>
      </c>
      <c r="X252" s="12">
        <f t="shared" si="251"/>
        <v>25.984601891303306</v>
      </c>
      <c r="Y252" s="12">
        <f t="shared" si="251"/>
        <v>25.809306567922913</v>
      </c>
      <c r="Z252" s="12">
        <f t="shared" si="251"/>
        <v>25.64151435102827</v>
      </c>
      <c r="AA252" s="12">
        <f t="shared" si="251"/>
        <v>25.489263865837124</v>
      </c>
      <c r="AB252" s="12">
        <f t="shared" si="251"/>
        <v>25.344885970742066</v>
      </c>
      <c r="AC252" s="12">
        <f t="shared" si="251"/>
        <v>25.211188405176859</v>
      </c>
      <c r="AD252" s="12">
        <f t="shared" si="251"/>
        <v>25.08655642355604</v>
      </c>
      <c r="AE252" s="12">
        <f t="shared" si="251"/>
        <v>24.968562354600408</v>
      </c>
      <c r="AF252" s="12">
        <f t="shared" si="252"/>
        <v>24.854146519650264</v>
      </c>
      <c r="AG252" s="12">
        <f t="shared" si="252"/>
        <v>24.742747656715149</v>
      </c>
      <c r="AH252" s="12">
        <f t="shared" si="252"/>
        <v>24.63172482596763</v>
      </c>
      <c r="AI252" s="12">
        <f t="shared" si="252"/>
        <v>24.520004809863678</v>
      </c>
      <c r="AJ252" s="12">
        <f t="shared" si="252"/>
        <v>24.40697389345118</v>
      </c>
      <c r="AK252" s="12">
        <f t="shared" si="252"/>
        <v>24.296337939056318</v>
      </c>
      <c r="AL252" s="12">
        <f t="shared" si="252"/>
        <v>24.188207884118519</v>
      </c>
      <c r="AM252" s="12">
        <f t="shared" si="252"/>
        <v>24.084815274411163</v>
      </c>
      <c r="AN252" s="12">
        <f t="shared" si="252"/>
        <v>23.983392461685096</v>
      </c>
      <c r="AO252" s="12">
        <f t="shared" si="252"/>
        <v>23.462267274506967</v>
      </c>
      <c r="AP252" s="12">
        <f t="shared" si="254"/>
        <v>22.914670988000438</v>
      </c>
      <c r="AQ252" s="12">
        <f t="shared" si="253"/>
        <v>21.76253306973453</v>
      </c>
      <c r="AR252" s="12">
        <f t="shared" si="253"/>
        <v>19.951718516443556</v>
      </c>
      <c r="AS252" s="9"/>
      <c r="AT252" s="9"/>
      <c r="AU252" s="9"/>
      <c r="AV252" s="9"/>
      <c r="AW252" s="9"/>
      <c r="AX252" s="9"/>
      <c r="BS252" s="75"/>
      <c r="BT252" s="75"/>
      <c r="BU252" s="75"/>
      <c r="BV252" s="75"/>
      <c r="BW252" s="75"/>
      <c r="BX252" s="75"/>
      <c r="BY252" s="75"/>
      <c r="BZ252" s="75"/>
      <c r="CA252" s="75"/>
      <c r="CB252" s="75"/>
      <c r="CC252" s="75"/>
      <c r="CD252" s="75"/>
      <c r="CE252" s="75"/>
      <c r="CF252" s="75"/>
      <c r="CG252" s="75"/>
      <c r="CH252" s="75"/>
      <c r="CI252" s="75"/>
      <c r="CJ252" s="75"/>
      <c r="CK252" s="75"/>
      <c r="CL252" s="75"/>
    </row>
    <row r="253" spans="1:50" s="0" customFormat="1" ht="15">
      <c r="A253" t="s">
        <v>113</v>
      </c>
      <c r="B253" s="20" t="str">
        <f t="shared" si="246"/>
        <v>COM_PROJ</v>
      </c>
      <c r="C253" s="21" t="str">
        <f t="shared" si="247"/>
        <v>-</v>
      </c>
      <c r="D253" s="20" t="str">
        <f>COM!B167</f>
        <v>CEW</v>
      </c>
      <c r="E253" s="21" t="str">
        <f t="shared" si="248"/>
        <v>-</v>
      </c>
      <c r="F253" s="21" t="str">
        <f t="shared" si="248"/>
        <v>-</v>
      </c>
      <c r="G253" s="21" t="str">
        <f t="shared" si="248"/>
        <v>-</v>
      </c>
      <c r="H253" s="21" t="str">
        <f t="shared" si="248"/>
        <v>-</v>
      </c>
      <c r="I253" s="20">
        <f t="shared" si="249"/>
        <v>0</v>
      </c>
      <c r="J253" s="20"/>
      <c r="K253" s="20"/>
      <c r="L253" s="12">
        <f t="shared" si="250"/>
        <v>9.6831090230750299</v>
      </c>
      <c r="M253" s="12">
        <f t="shared" si="250"/>
        <v>10.586585246419229</v>
      </c>
      <c r="N253" s="12">
        <f t="shared" si="250"/>
        <v>11.538509766671879</v>
      </c>
      <c r="O253" s="12">
        <f t="shared" si="250"/>
        <v>12.491985690523343</v>
      </c>
      <c r="P253" s="12">
        <f t="shared" si="250"/>
        <v>13.456498623549582</v>
      </c>
      <c r="Q253" s="12">
        <f t="shared" si="250"/>
        <v>14.3921338097343</v>
      </c>
      <c r="R253" s="12">
        <f t="shared" si="250"/>
        <v>14.297703342289619</v>
      </c>
      <c r="S253" s="12">
        <f t="shared" si="250"/>
        <v>14.199639315277025</v>
      </c>
      <c r="T253" s="12">
        <f t="shared" si="250"/>
        <v>14.08450224479915</v>
      </c>
      <c r="U253" s="12">
        <f t="shared" si="250"/>
        <v>14.014894566881372</v>
      </c>
      <c r="V253" s="12">
        <f t="shared" si="251"/>
        <v>13.949226044609013</v>
      </c>
      <c r="W253" s="12">
        <f t="shared" si="251"/>
        <v>13.849765772152342</v>
      </c>
      <c r="X253" s="12">
        <f t="shared" si="251"/>
        <v>13.756900886535131</v>
      </c>
      <c r="Y253" s="12">
        <f t="shared" si="251"/>
        <v>13.664095139512147</v>
      </c>
      <c r="Z253" s="12">
        <f t="shared" si="251"/>
        <v>13.575261725515372</v>
      </c>
      <c r="AA253" s="12">
        <f t="shared" si="251"/>
        <v>13.494656494638139</v>
      </c>
      <c r="AB253" s="12">
        <f t="shared" si="251"/>
        <v>13.418219210690602</v>
      </c>
      <c r="AC253" s="12">
        <f t="shared" si="251"/>
        <v>13.347436361449907</v>
      </c>
      <c r="AD253" s="12">
        <f t="shared" si="251"/>
        <v>13.281453060046166</v>
      </c>
      <c r="AE253" s="12">
        <f t="shared" si="251"/>
        <v>13.218984036329282</v>
      </c>
      <c r="AF253" s="12">
        <f t="shared" si="252"/>
        <v>13.158409419568033</v>
      </c>
      <c r="AG253" s="12">
        <f t="shared" si="252"/>
        <v>13.099432063567672</v>
      </c>
      <c r="AH253" s="12">
        <f t="shared" si="252"/>
        <v>13.040653788452079</v>
      </c>
      <c r="AI253" s="12">
        <f t="shared" si="252"/>
        <v>12.981506405897852</v>
      </c>
      <c r="AJ253" s="12">
        <f t="shared" si="252"/>
        <v>12.921664999794904</v>
      </c>
      <c r="AK253" s="12">
        <f t="shared" si="252"/>
        <v>12.863091546737431</v>
      </c>
      <c r="AL253" s="12">
        <f t="shared" si="252"/>
        <v>12.805844779792244</v>
      </c>
      <c r="AM253" s="12">
        <f t="shared" si="252"/>
        <v>12.751106135340649</v>
      </c>
      <c r="AN253" s="12">
        <f t="shared" si="252"/>
        <v>12.697410350885583</v>
      </c>
      <c r="AO253" s="12">
        <f t="shared" si="252"/>
        <v>12.421513587892035</v>
      </c>
      <c r="AP253" s="12">
        <f t="shared" si="254"/>
        <v>12.131602360049584</v>
      </c>
      <c r="AQ253" s="12">
        <f t="shared" si="253"/>
        <v>11.521631608313427</v>
      </c>
      <c r="AR253" s="12">
        <f t="shared" si="253"/>
        <v>10.562940902266599</v>
      </c>
      <c r="AS253" s="9"/>
      <c r="AT253" s="9"/>
      <c r="AU253" s="9"/>
      <c r="AV253" s="9"/>
      <c r="AW253" s="9"/>
      <c r="AX253" s="9"/>
    </row>
    <row r="254" spans="1:50" s="0" customFormat="1" ht="15">
      <c r="A254" t="s">
        <v>113</v>
      </c>
      <c r="B254" s="20" t="str">
        <f t="shared" si="246"/>
        <v>COM_PROJ</v>
      </c>
      <c r="C254" s="21" t="str">
        <f t="shared" si="247"/>
        <v>-</v>
      </c>
      <c r="D254" s="20" t="str">
        <f>COM!B168</f>
        <v>CEG</v>
      </c>
      <c r="E254" s="21" t="str">
        <f t="shared" si="248"/>
        <v>-</v>
      </c>
      <c r="F254" s="21" t="str">
        <f t="shared" si="248"/>
        <v>-</v>
      </c>
      <c r="G254" s="21" t="str">
        <f t="shared" si="248"/>
        <v>-</v>
      </c>
      <c r="H254" s="21" t="str">
        <f t="shared" si="248"/>
        <v>-</v>
      </c>
      <c r="I254" s="20">
        <f t="shared" si="249"/>
        <v>0</v>
      </c>
      <c r="J254" s="20"/>
      <c r="K254" s="20"/>
      <c r="L254" s="12">
        <f t="shared" si="250"/>
        <v>10.300552873773198</v>
      </c>
      <c r="M254" s="12">
        <f t="shared" si="250"/>
        <v>10.137579632145695</v>
      </c>
      <c r="N254" s="12">
        <f t="shared" si="250"/>
        <v>9.9994537435297381</v>
      </c>
      <c r="O254" s="12">
        <f t="shared" si="250"/>
        <v>9.8412102945058528</v>
      </c>
      <c r="P254" s="12">
        <f t="shared" si="250"/>
        <v>9.6733572036545361</v>
      </c>
      <c r="Q254" s="12">
        <f t="shared" si="250"/>
        <v>9.4707173671475111</v>
      </c>
      <c r="R254" s="12">
        <f t="shared" si="250"/>
        <v>9.5388470786807869</v>
      </c>
      <c r="S254" s="12">
        <f t="shared" si="250"/>
        <v>9.5950215040281002</v>
      </c>
      <c r="T254" s="12">
        <f t="shared" si="250"/>
        <v>9.5950215040281002</v>
      </c>
      <c r="U254" s="12">
        <f t="shared" si="250"/>
        <v>9.7448241721157629</v>
      </c>
      <c r="V254" s="12">
        <f t="shared" si="251"/>
        <v>9.9075876110926409</v>
      </c>
      <c r="W254" s="12">
        <f t="shared" si="251"/>
        <v>9.959168052618363</v>
      </c>
      <c r="X254" s="12">
        <f t="shared" si="251"/>
        <v>10.032448905462278</v>
      </c>
      <c r="Y254" s="12">
        <f t="shared" si="251"/>
        <v>10.105924338525785</v>
      </c>
      <c r="Z254" s="12">
        <f t="shared" si="251"/>
        <v>10.19246970405265</v>
      </c>
      <c r="AA254" s="12">
        <f t="shared" si="251"/>
        <v>10.306087773947247</v>
      </c>
      <c r="AB254" s="12">
        <f t="shared" si="251"/>
        <v>10.433419393164771</v>
      </c>
      <c r="AC254" s="12">
        <f t="shared" si="251"/>
        <v>10.579355464539107</v>
      </c>
      <c r="AD254" s="12">
        <f t="shared" si="251"/>
        <v>10.741083204353581</v>
      </c>
      <c r="AE254" s="12">
        <f t="shared" si="251"/>
        <v>10.914373764234176</v>
      </c>
      <c r="AF254" s="12">
        <f t="shared" si="252"/>
        <v>11.093897379300451</v>
      </c>
      <c r="AG254" s="12">
        <f t="shared" si="252"/>
        <v>11.278676366998749</v>
      </c>
      <c r="AH254" s="12">
        <f t="shared" si="252"/>
        <v>11.464110378760111</v>
      </c>
      <c r="AI254" s="12">
        <f t="shared" si="252"/>
        <v>11.648329938142265</v>
      </c>
      <c r="AJ254" s="12">
        <f t="shared" si="252"/>
        <v>11.830265992881198</v>
      </c>
      <c r="AK254" s="12">
        <f t="shared" si="252"/>
        <v>12.016373918548817</v>
      </c>
      <c r="AL254" s="12">
        <f t="shared" si="252"/>
        <v>12.20684696108183</v>
      </c>
      <c r="AM254" s="12">
        <f t="shared" si="252"/>
        <v>12.405572330744729</v>
      </c>
      <c r="AN254" s="12">
        <f t="shared" si="252"/>
        <v>12.6077289609876</v>
      </c>
      <c r="AO254" s="12">
        <f t="shared" si="252"/>
        <v>13.594105629520019</v>
      </c>
      <c r="AP254" s="12">
        <f t="shared" si="254"/>
        <v>14.534371333066121</v>
      </c>
      <c r="AQ254" s="12">
        <f t="shared" si="253"/>
        <v>16.315707584395749</v>
      </c>
      <c r="AR254" s="12">
        <f t="shared" si="253"/>
        <v>16.949671190632543</v>
      </c>
      <c r="AS254" s="9"/>
      <c r="AT254" s="9"/>
      <c r="AU254" s="9"/>
      <c r="AV254" s="9"/>
      <c r="AW254" s="9"/>
      <c r="AX254" s="9"/>
    </row>
    <row r="255" spans="2:50" s="0" customFormat="1" ht="15">
      <c r="B255" s="20" t="str">
        <f t="shared" si="246"/>
        <v>COM_PROJ</v>
      </c>
      <c r="C255" s="21" t="str">
        <f t="shared" si="247"/>
        <v>-</v>
      </c>
      <c r="D255" s="20" t="str">
        <f>COM!B169</f>
        <v>CET</v>
      </c>
      <c r="E255" s="21" t="str">
        <f t="shared" si="248"/>
        <v>-</v>
      </c>
      <c r="F255" s="21" t="str">
        <f t="shared" si="248"/>
        <v>-</v>
      </c>
      <c r="G255" s="21" t="str">
        <f t="shared" si="248"/>
        <v>-</v>
      </c>
      <c r="H255" s="21" t="str">
        <f t="shared" si="248"/>
        <v>-</v>
      </c>
      <c r="I255" s="20">
        <f t="shared" si="249"/>
        <v>0</v>
      </c>
      <c r="J255" s="20"/>
      <c r="K255" s="20"/>
      <c r="L255" s="12">
        <f t="shared" si="250"/>
        <v>3.5593512487513506</v>
      </c>
      <c r="M255" s="12">
        <f t="shared" si="250"/>
        <v>3.5030359210006532</v>
      </c>
      <c r="N255" s="12">
        <f t="shared" si="250"/>
        <v>3.4553065845121336</v>
      </c>
      <c r="O255" s="12">
        <f t="shared" si="250"/>
        <v>3.400625634393037</v>
      </c>
      <c r="P255" s="12">
        <f t="shared" si="250"/>
        <v>3.3426240770155089</v>
      </c>
      <c r="Q255" s="12">
        <f t="shared" si="250"/>
        <v>3.2726019758762099</v>
      </c>
      <c r="R255" s="12">
        <f t="shared" si="250"/>
        <v>3.2961441659697601</v>
      </c>
      <c r="S255" s="12">
        <f t="shared" si="250"/>
        <v>3.3155552124891114</v>
      </c>
      <c r="T255" s="12">
        <f t="shared" si="250"/>
        <v>3.3155552124891114</v>
      </c>
      <c r="U255" s="12">
        <f t="shared" si="250"/>
        <v>3.3673194546864127</v>
      </c>
      <c r="V255" s="12">
        <f t="shared" si="251"/>
        <v>3.4235622852288867</v>
      </c>
      <c r="W255" s="12">
        <f t="shared" si="251"/>
        <v>3.4413858827780222</v>
      </c>
      <c r="X255" s="12">
        <f t="shared" si="251"/>
        <v>3.4667080473526704</v>
      </c>
      <c r="Y255" s="12">
        <f t="shared" si="251"/>
        <v>3.4920974490315868</v>
      </c>
      <c r="Z255" s="12">
        <f t="shared" si="251"/>
        <v>3.5220031597867845</v>
      </c>
      <c r="AA255" s="12">
        <f t="shared" si="251"/>
        <v>3.561263830928985</v>
      </c>
      <c r="AB255" s="12">
        <f t="shared" si="251"/>
        <v>3.6052632126535706</v>
      </c>
      <c r="AC255" s="12">
        <f t="shared" si="251"/>
        <v>3.6556913541571854</v>
      </c>
      <c r="AD255" s="12">
        <f t="shared" si="251"/>
        <v>3.711576299336397</v>
      </c>
      <c r="AE255" s="12">
        <f t="shared" si="251"/>
        <v>3.7714567716048601</v>
      </c>
      <c r="AF255" s="12">
        <f t="shared" si="252"/>
        <v>3.8334910731901144</v>
      </c>
      <c r="AG255" s="12">
        <f t="shared" si="252"/>
        <v>3.8973413663410317</v>
      </c>
      <c r="AH255" s="12">
        <f t="shared" si="252"/>
        <v>3.9614180027519086</v>
      </c>
      <c r="AI255" s="12">
        <f t="shared" si="252"/>
        <v>4.0250749857086978</v>
      </c>
      <c r="AJ255" s="12">
        <f t="shared" si="252"/>
        <v>4.0879429046994105</v>
      </c>
      <c r="AK255" s="12">
        <f t="shared" si="252"/>
        <v>4.1522524117467636</v>
      </c>
      <c r="AL255" s="12">
        <f t="shared" si="252"/>
        <v>4.2180702828941996</v>
      </c>
      <c r="AM255" s="12">
        <f t="shared" si="252"/>
        <v>4.2867397418384074</v>
      </c>
      <c r="AN255" s="12">
        <f t="shared" si="252"/>
        <v>4.3565948712781486</v>
      </c>
      <c r="AO255" s="12">
        <f t="shared" si="252"/>
        <v>4.697436869751769</v>
      </c>
      <c r="AP255" s="12">
        <f t="shared" si="254"/>
        <v>5.0223452457474096</v>
      </c>
      <c r="AQ255" s="12">
        <f t="shared" si="253"/>
        <v>5.6378851578583218</v>
      </c>
      <c r="AR255" s="12">
        <f t="shared" si="253"/>
        <v>5.856950986768072</v>
      </c>
      <c r="AS255" s="9"/>
      <c r="AT255" s="9"/>
      <c r="AU255" s="9"/>
      <c r="AV255" s="9"/>
      <c r="AW255" s="9"/>
      <c r="AX255" s="9"/>
    </row>
    <row r="256" spans="2:50" s="0" customFormat="1" ht="15">
      <c r="B256" s="20" t="str">
        <f t="shared" si="246"/>
        <v>COM_PROJ</v>
      </c>
      <c r="C256" s="21" t="str">
        <f t="shared" si="247"/>
        <v>-</v>
      </c>
      <c r="D256" s="20" t="str">
        <f>COM!B170</f>
        <v>CEO</v>
      </c>
      <c r="E256" s="21" t="str">
        <f t="shared" si="248"/>
        <v>-</v>
      </c>
      <c r="F256" s="21" t="str">
        <f t="shared" si="248"/>
        <v>-</v>
      </c>
      <c r="G256" s="21" t="str">
        <f t="shared" si="248"/>
        <v>-</v>
      </c>
      <c r="H256" s="21" t="str">
        <f t="shared" si="248"/>
        <v>-</v>
      </c>
      <c r="I256" s="20">
        <f t="shared" si="249"/>
        <v>0</v>
      </c>
      <c r="J256" s="20"/>
      <c r="K256" s="20"/>
      <c r="L256" s="12">
        <f t="shared" si="250"/>
        <v>18.760184357078899</v>
      </c>
      <c r="M256" s="12">
        <f t="shared" si="250"/>
        <v>19.031279794352393</v>
      </c>
      <c r="N256" s="12">
        <f t="shared" si="250"/>
        <v>19.361114074755577</v>
      </c>
      <c r="O256" s="12">
        <f t="shared" si="250"/>
        <v>19.665306575633906</v>
      </c>
      <c r="P256" s="12">
        <f t="shared" si="250"/>
        <v>19.962784234968577</v>
      </c>
      <c r="Q256" s="12">
        <f t="shared" si="250"/>
        <v>20.198960613823004</v>
      </c>
      <c r="R256" s="12">
        <f t="shared" si="250"/>
        <v>20.066430071939777</v>
      </c>
      <c r="S256" s="12">
        <f t="shared" si="250"/>
        <v>19.928799929985388</v>
      </c>
      <c r="T256" s="12">
        <f t="shared" si="250"/>
        <v>19.767208245074805</v>
      </c>
      <c r="U256" s="12">
        <f t="shared" si="250"/>
        <v>19.669515799794041</v>
      </c>
      <c r="V256" s="12">
        <f t="shared" si="251"/>
        <v>19.577351850203037</v>
      </c>
      <c r="W256" s="12">
        <f t="shared" si="251"/>
        <v>19.43776211649492</v>
      </c>
      <c r="X256" s="12">
        <f t="shared" si="251"/>
        <v>19.30742882528271</v>
      </c>
      <c r="Y256" s="12">
        <f t="shared" si="251"/>
        <v>19.177178533447194</v>
      </c>
      <c r="Z256" s="12">
        <f t="shared" si="251"/>
        <v>19.052503300835149</v>
      </c>
      <c r="AA256" s="12">
        <f t="shared" si="251"/>
        <v>18.939376095009969</v>
      </c>
      <c r="AB256" s="12">
        <f t="shared" si="251"/>
        <v>18.832098487096147</v>
      </c>
      <c r="AC256" s="12">
        <f t="shared" si="251"/>
        <v>18.73275672145887</v>
      </c>
      <c r="AD256" s="12">
        <f t="shared" si="251"/>
        <v>18.640150988087861</v>
      </c>
      <c r="AE256" s="12">
        <f t="shared" si="251"/>
        <v>18.552477445976415</v>
      </c>
      <c r="AF256" s="12">
        <f t="shared" si="252"/>
        <v>18.467462651482887</v>
      </c>
      <c r="AG256" s="12">
        <f t="shared" si="252"/>
        <v>18.384689568164763</v>
      </c>
      <c r="AH256" s="12">
        <f t="shared" si="252"/>
        <v>18.302195889346596</v>
      </c>
      <c r="AI256" s="12">
        <f t="shared" si="252"/>
        <v>18.21918417847607</v>
      </c>
      <c r="AJ256" s="12">
        <f t="shared" si="252"/>
        <v>18.135198424804738</v>
      </c>
      <c r="AK256" s="12">
        <f t="shared" si="252"/>
        <v>18.052992208064083</v>
      </c>
      <c r="AL256" s="12">
        <f t="shared" si="252"/>
        <v>17.97264795848433</v>
      </c>
      <c r="AM256" s="12">
        <f t="shared" si="252"/>
        <v>17.895823789257665</v>
      </c>
      <c r="AN256" s="12">
        <f t="shared" si="252"/>
        <v>17.820463245110787</v>
      </c>
      <c r="AO256" s="12">
        <f t="shared" si="252"/>
        <v>17.433249790673706</v>
      </c>
      <c r="AP256" s="12">
        <f t="shared" si="254"/>
        <v>17.026367423534094</v>
      </c>
      <c r="AQ256" s="12">
        <f t="shared" si="253"/>
        <v>16.170290391956655</v>
      </c>
      <c r="AR256" s="12">
        <f t="shared" si="253"/>
        <v>14.824794576792641</v>
      </c>
      <c r="AS256" s="9"/>
      <c r="AT256" s="9"/>
      <c r="AU256" s="9"/>
      <c r="AV256" s="9"/>
      <c r="AW256" s="9"/>
      <c r="AX256" s="9"/>
    </row>
    <row r="257" spans="1:50" s="0" customFormat="1" ht="15">
      <c r="A257" t="s">
        <v>16</v>
      </c>
      <c r="B257" s="20"/>
      <c r="C257" s="21" t="str">
        <f t="shared" si="247"/>
        <v/>
      </c>
      <c r="D257" s="20"/>
      <c r="E257" s="21" t="str">
        <f t="shared" si="248"/>
        <v/>
      </c>
      <c r="F257" s="21" t="str">
        <f t="shared" si="248"/>
        <v/>
      </c>
      <c r="G257" s="21"/>
      <c r="H257" s="21" t="str">
        <f t="shared" si="248"/>
        <v/>
      </c>
      <c r="I257" s="20" t="str">
        <f t="shared" si="249"/>
        <v/>
      </c>
      <c r="J257" s="20"/>
      <c r="K257" s="20"/>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9"/>
      <c r="AT257" s="9"/>
      <c r="AU257" s="9"/>
      <c r="AV257" s="9"/>
      <c r="AW257" s="9"/>
      <c r="AX257" s="9"/>
    </row>
    <row r="258" spans="2:50" s="191" customFormat="1" ht="15">
      <c r="B258" s="192" t="str">
        <f t="shared" si="255" ref="B258:B266">IF(A258="*","","COM_PROJ")</f>
        <v>COM_PROJ</v>
      </c>
      <c r="C258" s="192" t="str">
        <f t="shared" si="247"/>
        <v>-</v>
      </c>
      <c r="D258" s="192" t="str">
        <f>COM!B174</f>
        <v>CNC</v>
      </c>
      <c r="E258" s="192" t="str">
        <f t="shared" si="248"/>
        <v>-</v>
      </c>
      <c r="F258" s="192" t="str">
        <f t="shared" si="248"/>
        <v>-</v>
      </c>
      <c r="G258" s="192" t="str">
        <f t="shared" si="248"/>
        <v>-</v>
      </c>
      <c r="H258" s="192" t="str">
        <f t="shared" si="248"/>
        <v>-</v>
      </c>
      <c r="I258" s="192">
        <f t="shared" si="249"/>
        <v>0</v>
      </c>
      <c r="J258" s="192"/>
      <c r="K258" s="192"/>
      <c r="L258" s="193">
        <f t="shared" si="256" ref="L258:U266">INDEX($L$220:$AX$228,MATCH($D258,$B$220:$B$228,0),MATCH(L$247,$L$104:$AX$104,0))</f>
        <v>0</v>
      </c>
      <c r="M258" s="193">
        <f t="shared" si="256"/>
        <v>0</v>
      </c>
      <c r="N258" s="193">
        <f t="shared" si="256"/>
        <v>0</v>
      </c>
      <c r="O258" s="193">
        <f t="shared" si="256"/>
        <v>0</v>
      </c>
      <c r="P258" s="193">
        <f t="shared" si="256"/>
        <v>0</v>
      </c>
      <c r="Q258" s="193">
        <f t="shared" si="256"/>
        <v>0</v>
      </c>
      <c r="R258" s="193">
        <f t="shared" si="256"/>
        <v>1.7663141176431716</v>
      </c>
      <c r="S258" s="193">
        <f t="shared" si="256"/>
        <v>3.4029475996970713</v>
      </c>
      <c r="T258" s="193">
        <f t="shared" si="256"/>
        <v>4.4302493543804173</v>
      </c>
      <c r="U258" s="193">
        <f t="shared" si="256"/>
        <v>7.0824812787310929</v>
      </c>
      <c r="V258" s="193">
        <f t="shared" si="257" ref="V258:AE266">INDEX($L$220:$AX$228,MATCH($D258,$B$220:$B$228,0),MATCH(V$247,$L$104:$AX$104,0))</f>
        <v>9.8753004697098028</v>
      </c>
      <c r="W258" s="193">
        <f t="shared" si="257"/>
        <v>11.462102376625817</v>
      </c>
      <c r="X258" s="193">
        <f t="shared" si="257"/>
        <v>13.284291633415222</v>
      </c>
      <c r="Y258" s="193">
        <f t="shared" si="257"/>
        <v>15.108591528641714</v>
      </c>
      <c r="Z258" s="193">
        <f t="shared" si="257"/>
        <v>17.074662781123269</v>
      </c>
      <c r="AA258" s="193">
        <f t="shared" si="257"/>
        <v>19.334395385990558</v>
      </c>
      <c r="AB258" s="193">
        <f t="shared" si="257"/>
        <v>21.742880748819449</v>
      </c>
      <c r="AC258" s="193">
        <f t="shared" si="257"/>
        <v>24.353171166162053</v>
      </c>
      <c r="AD258" s="193">
        <f t="shared" si="257"/>
        <v>27.134755985702849</v>
      </c>
      <c r="AE258" s="193">
        <f t="shared" si="257"/>
        <v>30.04176430678552</v>
      </c>
      <c r="AF258" s="193">
        <f t="shared" si="258" ref="AF258:AO266">INDEX($L$220:$AX$228,MATCH($D258,$B$220:$B$228,0),MATCH(AF$247,$L$104:$AX$104,0))</f>
        <v>33.016383435804478</v>
      </c>
      <c r="AG258" s="193">
        <f t="shared" si="258"/>
        <v>36.048008315466085</v>
      </c>
      <c r="AH258" s="193">
        <f t="shared" si="258"/>
        <v>39.086738331341422</v>
      </c>
      <c r="AI258" s="193">
        <f t="shared" si="258"/>
        <v>42.112295015020457</v>
      </c>
      <c r="AJ258" s="193">
        <f t="shared" si="258"/>
        <v>45.113082209379286</v>
      </c>
      <c r="AK258" s="193">
        <f t="shared" si="258"/>
        <v>48.159122262198579</v>
      </c>
      <c r="AL258" s="193">
        <f t="shared" si="258"/>
        <v>51.252511338765309</v>
      </c>
      <c r="AM258" s="193">
        <f t="shared" si="258"/>
        <v>54.435414544115531</v>
      </c>
      <c r="AN258" s="193">
        <f t="shared" si="258"/>
        <v>57.655537105486317</v>
      </c>
      <c r="AO258" s="193">
        <f t="shared" si="258"/>
        <v>73.491409433738653</v>
      </c>
      <c r="AP258" s="193">
        <f>INDEX($L$220:$BR$228,MATCH($D258,$B$220:$B$228,0),MATCH(AP$247,$L$104:$BR$104,0))</f>
        <v>88.827109774968022</v>
      </c>
      <c r="AQ258" s="193">
        <f t="shared" si="259" ref="AQ258:AR266">INDEX($L$220:$BR$228,MATCH($D258,$B$220:$B$228,0),MATCH(AQ$247,$L$104:$BR$104,0))</f>
        <v>118.42252694297348</v>
      </c>
      <c r="AR258" s="193">
        <f t="shared" si="259"/>
        <v>135.5722350280717</v>
      </c>
      <c r="AS258" s="194"/>
      <c r="AT258" s="194"/>
      <c r="AU258" s="194"/>
      <c r="AV258" s="194"/>
      <c r="AW258" s="194"/>
      <c r="AX258" s="194"/>
    </row>
    <row r="259" spans="2:50" s="0" customFormat="1" ht="15">
      <c r="B259" s="20" t="str">
        <f t="shared" si="255"/>
        <v>COM_PROJ</v>
      </c>
      <c r="C259" s="21" t="str">
        <f t="shared" si="247"/>
        <v>-</v>
      </c>
      <c r="D259" s="20" t="str">
        <f>COM!B175</f>
        <v>CNH</v>
      </c>
      <c r="E259" s="21" t="str">
        <f t="shared" si="248"/>
        <v>-</v>
      </c>
      <c r="F259" s="21" t="str">
        <f t="shared" si="248"/>
        <v>-</v>
      </c>
      <c r="G259" s="21" t="str">
        <f t="shared" si="248"/>
        <v>-</v>
      </c>
      <c r="H259" s="21" t="str">
        <f t="shared" si="248"/>
        <v>-</v>
      </c>
      <c r="I259" s="20">
        <f t="shared" si="249"/>
        <v>0</v>
      </c>
      <c r="J259" s="20"/>
      <c r="K259" s="20"/>
      <c r="L259" s="12">
        <f t="shared" si="256"/>
        <v>0</v>
      </c>
      <c r="M259" s="12">
        <f t="shared" si="256"/>
        <v>0</v>
      </c>
      <c r="N259" s="12">
        <f t="shared" si="256"/>
        <v>0</v>
      </c>
      <c r="O259" s="12">
        <f t="shared" si="256"/>
        <v>0</v>
      </c>
      <c r="P259" s="12">
        <f t="shared" si="256"/>
        <v>0</v>
      </c>
      <c r="Q259" s="12">
        <f t="shared" si="256"/>
        <v>0</v>
      </c>
      <c r="R259" s="12">
        <f t="shared" si="256"/>
        <v>0.16496217879515399</v>
      </c>
      <c r="S259" s="12">
        <f t="shared" si="256"/>
        <v>0.31781303493220059</v>
      </c>
      <c r="T259" s="12">
        <f t="shared" si="256"/>
        <v>0.4137562955560648</v>
      </c>
      <c r="U259" s="12">
        <f t="shared" si="256"/>
        <v>0.66145739953339155</v>
      </c>
      <c r="V259" s="12">
        <f t="shared" si="257"/>
        <v>0.92228843412847317</v>
      </c>
      <c r="W259" s="12">
        <f t="shared" si="257"/>
        <v>1.0704853472746159</v>
      </c>
      <c r="X259" s="12">
        <f t="shared" si="257"/>
        <v>1.2406658983864356</v>
      </c>
      <c r="Y259" s="12">
        <f t="shared" si="257"/>
        <v>1.4110435693150272</v>
      </c>
      <c r="Z259" s="12">
        <f t="shared" si="257"/>
        <v>1.5946617571765558</v>
      </c>
      <c r="AA259" s="12">
        <f t="shared" si="257"/>
        <v>1.8057059934592574</v>
      </c>
      <c r="AB259" s="12">
        <f t="shared" si="257"/>
        <v>2.0306427638105173</v>
      </c>
      <c r="AC259" s="12">
        <f t="shared" si="257"/>
        <v>2.2744268055230439</v>
      </c>
      <c r="AD259" s="12">
        <f t="shared" si="257"/>
        <v>2.5342086233501222</v>
      </c>
      <c r="AE259" s="12">
        <f t="shared" si="257"/>
        <v>2.805704175376456</v>
      </c>
      <c r="AF259" s="12">
        <f t="shared" si="258"/>
        <v>3.0835141343793659</v>
      </c>
      <c r="AG259" s="12">
        <f t="shared" si="258"/>
        <v>3.3666480574133244</v>
      </c>
      <c r="AH259" s="12">
        <f t="shared" si="258"/>
        <v>3.6504455536694769</v>
      </c>
      <c r="AI259" s="12">
        <f t="shared" si="258"/>
        <v>3.9330127469124871</v>
      </c>
      <c r="AJ259" s="12">
        <f t="shared" si="258"/>
        <v>4.2132666319590149</v>
      </c>
      <c r="AK259" s="12">
        <f t="shared" si="258"/>
        <v>4.4977468378245771</v>
      </c>
      <c r="AL259" s="12">
        <f t="shared" si="258"/>
        <v>4.7866491326284422</v>
      </c>
      <c r="AM259" s="12">
        <f t="shared" si="258"/>
        <v>5.0839114612278689</v>
      </c>
      <c r="AN259" s="12">
        <f t="shared" si="258"/>
        <v>5.3846498340943825</v>
      </c>
      <c r="AO259" s="12">
        <f t="shared" si="258"/>
        <v>6.8636166703420951</v>
      </c>
      <c r="AP259" s="193">
        <f t="shared" si="260" ref="AP259:AP266">INDEX($L$220:$BR$228,MATCH($D259,$B$220:$B$228,0),MATCH(AP$247,$L$104:$BR$104,0))</f>
        <v>8.2958707164199019</v>
      </c>
      <c r="AQ259" s="193">
        <f t="shared" si="259"/>
        <v>11.05988899019105</v>
      </c>
      <c r="AR259" s="193">
        <f t="shared" si="259"/>
        <v>12.661559487618504</v>
      </c>
      <c r="AS259" s="9"/>
      <c r="AT259" s="9"/>
      <c r="AU259" s="9"/>
      <c r="AV259" s="9"/>
      <c r="AW259" s="9"/>
      <c r="AX259" s="9"/>
    </row>
    <row r="260" spans="2:50" s="0" customFormat="1" ht="15">
      <c r="B260" s="20" t="str">
        <f t="shared" si="255"/>
        <v>COM_PROJ</v>
      </c>
      <c r="C260" s="21" t="str">
        <f t="shared" si="247"/>
        <v>-</v>
      </c>
      <c r="D260" s="20" t="str">
        <f>COM!B176</f>
        <v>CNK</v>
      </c>
      <c r="E260" s="21" t="str">
        <f t="shared" si="248"/>
        <v>-</v>
      </c>
      <c r="F260" s="21" t="str">
        <f t="shared" si="248"/>
        <v>-</v>
      </c>
      <c r="G260" s="21" t="str">
        <f t="shared" si="248"/>
        <v>-</v>
      </c>
      <c r="H260" s="21" t="str">
        <f t="shared" si="248"/>
        <v>-</v>
      </c>
      <c r="I260" s="20">
        <f t="shared" si="249"/>
        <v>0</v>
      </c>
      <c r="J260" s="20"/>
      <c r="K260" s="20"/>
      <c r="L260" s="12">
        <f t="shared" si="256"/>
        <v>0</v>
      </c>
      <c r="M260" s="12">
        <f t="shared" si="256"/>
        <v>0</v>
      </c>
      <c r="N260" s="12">
        <f t="shared" si="256"/>
        <v>0</v>
      </c>
      <c r="O260" s="12">
        <f t="shared" si="256"/>
        <v>0</v>
      </c>
      <c r="P260" s="12">
        <f t="shared" si="256"/>
        <v>0</v>
      </c>
      <c r="Q260" s="12">
        <f t="shared" si="256"/>
        <v>0</v>
      </c>
      <c r="R260" s="12">
        <f t="shared" si="256"/>
        <v>0.12328571728297376</v>
      </c>
      <c r="S260" s="12">
        <f t="shared" si="256"/>
        <v>0.23751994705495594</v>
      </c>
      <c r="T260" s="12">
        <f t="shared" si="256"/>
        <v>0.3092238599813768</v>
      </c>
      <c r="U260" s="12">
        <f t="shared" si="256"/>
        <v>0.49434513140657144</v>
      </c>
      <c r="V260" s="12">
        <f t="shared" si="257"/>
        <v>0.68927915461468048</v>
      </c>
      <c r="W260" s="12">
        <f t="shared" si="257"/>
        <v>0.80003522530790716</v>
      </c>
      <c r="X260" s="12">
        <f t="shared" si="257"/>
        <v>0.92722093214490253</v>
      </c>
      <c r="Y260" s="12">
        <f t="shared" si="257"/>
        <v>1.0545539579502752</v>
      </c>
      <c r="Z260" s="12">
        <f t="shared" si="257"/>
        <v>1.1917823830477585</v>
      </c>
      <c r="AA260" s="12">
        <f t="shared" si="257"/>
        <v>1.3495078704205923</v>
      </c>
      <c r="AB260" s="12">
        <f t="shared" si="257"/>
        <v>1.5176160469651503</v>
      </c>
      <c r="AC260" s="12">
        <f t="shared" si="257"/>
        <v>1.6998098726298376</v>
      </c>
      <c r="AD260" s="12">
        <f t="shared" si="257"/>
        <v>1.8939597558443226</v>
      </c>
      <c r="AE260" s="12">
        <f t="shared" si="257"/>
        <v>2.0968639858634206</v>
      </c>
      <c r="AF260" s="12">
        <f t="shared" si="258"/>
        <v>2.3044873351316073</v>
      </c>
      <c r="AG260" s="12">
        <f t="shared" si="258"/>
        <v>2.5160895887107726</v>
      </c>
      <c r="AH260" s="12">
        <f t="shared" si="258"/>
        <v>2.7281877686972251</v>
      </c>
      <c r="AI260" s="12">
        <f t="shared" si="258"/>
        <v>2.9393664725312734</v>
      </c>
      <c r="AJ260" s="12">
        <f t="shared" si="258"/>
        <v>3.1488163081945508</v>
      </c>
      <c r="AK260" s="12">
        <f t="shared" si="258"/>
        <v>3.3614247163103039</v>
      </c>
      <c r="AL260" s="12">
        <f t="shared" si="258"/>
        <v>3.5773380056456769</v>
      </c>
      <c r="AM260" s="12">
        <f t="shared" si="258"/>
        <v>3.7994992287227327</v>
      </c>
      <c r="AN260" s="12">
        <f t="shared" si="258"/>
        <v>4.0242582994634475</v>
      </c>
      <c r="AO260" s="12">
        <f t="shared" si="258"/>
        <v>5.1295752186279877</v>
      </c>
      <c r="AP260" s="193">
        <f t="shared" si="260"/>
        <v>6.1999809849182856</v>
      </c>
      <c r="AQ260" s="193">
        <f t="shared" si="259"/>
        <v>8.2656907006481859</v>
      </c>
      <c r="AR260" s="193">
        <f t="shared" si="259"/>
        <v>9.4627111181071868</v>
      </c>
      <c r="AS260" s="9"/>
      <c r="AT260" s="9"/>
      <c r="AU260" s="9"/>
      <c r="AV260" s="9"/>
      <c r="AW260" s="9"/>
      <c r="AX260" s="9"/>
    </row>
    <row r="261" spans="2:50" s="191" customFormat="1" ht="15">
      <c r="B261" s="192" t="str">
        <f t="shared" si="255"/>
        <v>COM_PROJ</v>
      </c>
      <c r="C261" s="192" t="str">
        <f t="shared" si="247"/>
        <v>-</v>
      </c>
      <c r="D261" s="192" t="str">
        <f>COM!B177</f>
        <v>CNL</v>
      </c>
      <c r="E261" s="192" t="str">
        <f t="shared" si="248"/>
        <v>-</v>
      </c>
      <c r="F261" s="192" t="str">
        <f t="shared" si="248"/>
        <v>-</v>
      </c>
      <c r="G261" s="192" t="str">
        <f t="shared" si="248"/>
        <v>-</v>
      </c>
      <c r="H261" s="192" t="str">
        <f t="shared" si="248"/>
        <v>-</v>
      </c>
      <c r="I261" s="192">
        <f t="shared" si="249"/>
        <v>0</v>
      </c>
      <c r="J261" s="192"/>
      <c r="K261" s="192"/>
      <c r="L261" s="193">
        <f t="shared" si="256"/>
        <v>0</v>
      </c>
      <c r="M261" s="193">
        <f t="shared" si="256"/>
        <v>0</v>
      </c>
      <c r="N261" s="193">
        <f t="shared" si="256"/>
        <v>0</v>
      </c>
      <c r="O261" s="193">
        <f t="shared" si="256"/>
        <v>0</v>
      </c>
      <c r="P261" s="193">
        <f t="shared" si="256"/>
        <v>0</v>
      </c>
      <c r="Q261" s="193">
        <f t="shared" si="256"/>
        <v>0</v>
      </c>
      <c r="R261" s="193">
        <f t="shared" si="256"/>
        <v>1.5371011281891316</v>
      </c>
      <c r="S261" s="193">
        <f t="shared" si="256"/>
        <v>2.9613501598697858</v>
      </c>
      <c r="T261" s="193">
        <f t="shared" si="256"/>
        <v>3.8553398926934275</v>
      </c>
      <c r="U261" s="193">
        <f t="shared" si="256"/>
        <v>6.1633940731006716</v>
      </c>
      <c r="V261" s="193">
        <f t="shared" si="257"/>
        <v>8.5937916373853636</v>
      </c>
      <c r="W261" s="193">
        <f t="shared" si="257"/>
        <v>9.9746756924750546</v>
      </c>
      <c r="X261" s="193">
        <f t="shared" si="257"/>
        <v>11.560401093414718</v>
      </c>
      <c r="Y261" s="193">
        <f t="shared" si="257"/>
        <v>13.147963237145738</v>
      </c>
      <c r="Z261" s="193">
        <f t="shared" si="257"/>
        <v>14.858899197008869</v>
      </c>
      <c r="AA261" s="193">
        <f t="shared" si="257"/>
        <v>16.825388340503885</v>
      </c>
      <c r="AB261" s="193">
        <f t="shared" si="257"/>
        <v>18.921326730766577</v>
      </c>
      <c r="AC261" s="193">
        <f t="shared" si="257"/>
        <v>21.19288211568999</v>
      </c>
      <c r="AD261" s="193">
        <f t="shared" si="257"/>
        <v>23.613503182782466</v>
      </c>
      <c r="AE261" s="193">
        <f t="shared" si="257"/>
        <v>26.143271656780509</v>
      </c>
      <c r="AF261" s="193">
        <f t="shared" si="258"/>
        <v>28.731877145168333</v>
      </c>
      <c r="AG261" s="193">
        <f t="shared" si="258"/>
        <v>31.370090799369272</v>
      </c>
      <c r="AH261" s="193">
        <f t="shared" si="258"/>
        <v>34.014487562667831</v>
      </c>
      <c r="AI261" s="193">
        <f t="shared" si="258"/>
        <v>36.647420485204051</v>
      </c>
      <c r="AJ261" s="193">
        <f t="shared" si="258"/>
        <v>39.258798232701764</v>
      </c>
      <c r="AK261" s="193">
        <f t="shared" si="258"/>
        <v>41.909556416045291</v>
      </c>
      <c r="AL261" s="193">
        <f t="shared" si="258"/>
        <v>44.601519183043465</v>
      </c>
      <c r="AM261" s="193">
        <f t="shared" si="258"/>
        <v>47.371379911093754</v>
      </c>
      <c r="AN261" s="193">
        <f t="shared" si="258"/>
        <v>50.173630072913639</v>
      </c>
      <c r="AO261" s="193">
        <f t="shared" si="258"/>
        <v>63.954495536467107</v>
      </c>
      <c r="AP261" s="193">
        <f t="shared" si="260"/>
        <v>77.300095880491654</v>
      </c>
      <c r="AQ261" s="193">
        <f t="shared" si="259"/>
        <v>103.05494246399115</v>
      </c>
      <c r="AR261" s="193">
        <f t="shared" si="259"/>
        <v>117.97914840358506</v>
      </c>
      <c r="AS261" s="194"/>
      <c r="AT261" s="194"/>
      <c r="AU261" s="194"/>
      <c r="AV261" s="194"/>
      <c r="AW261" s="194"/>
      <c r="AX261" s="194"/>
    </row>
    <row r="262" spans="2:50" s="0" customFormat="1" ht="15">
      <c r="B262" s="20" t="str">
        <f t="shared" si="255"/>
        <v>COM_PROJ</v>
      </c>
      <c r="C262" s="21" t="str">
        <f t="shared" si="247"/>
        <v>-</v>
      </c>
      <c r="D262" s="20" t="str">
        <f>COM!B178</f>
        <v>CNR</v>
      </c>
      <c r="E262" s="21" t="str">
        <f t="shared" si="248"/>
        <v>-</v>
      </c>
      <c r="F262" s="21" t="str">
        <f t="shared" si="248"/>
        <v>-</v>
      </c>
      <c r="G262" s="21" t="str">
        <f t="shared" si="248"/>
        <v>-</v>
      </c>
      <c r="H262" s="21" t="str">
        <f t="shared" si="248"/>
        <v>-</v>
      </c>
      <c r="I262" s="20">
        <f t="shared" si="249"/>
        <v>0</v>
      </c>
      <c r="J262" s="20"/>
      <c r="K262" s="20"/>
      <c r="L262" s="12">
        <f t="shared" si="256"/>
        <v>0</v>
      </c>
      <c r="M262" s="12">
        <f t="shared" si="256"/>
        <v>0</v>
      </c>
      <c r="N262" s="12">
        <f t="shared" si="256"/>
        <v>0</v>
      </c>
      <c r="O262" s="12">
        <f t="shared" si="256"/>
        <v>0</v>
      </c>
      <c r="P262" s="12">
        <f t="shared" si="256"/>
        <v>0</v>
      </c>
      <c r="Q262" s="12">
        <f t="shared" si="256"/>
        <v>0</v>
      </c>
      <c r="R262" s="12">
        <f t="shared" si="256"/>
        <v>0.37392159230343008</v>
      </c>
      <c r="S262" s="12">
        <f t="shared" si="256"/>
        <v>0.72039031579598123</v>
      </c>
      <c r="T262" s="12">
        <f t="shared" si="256"/>
        <v>0.93786596412508894</v>
      </c>
      <c r="U262" s="12">
        <f t="shared" si="256"/>
        <v>1.4993327918003814</v>
      </c>
      <c r="V262" s="12">
        <f t="shared" si="257"/>
        <v>2.0905613781968713</v>
      </c>
      <c r="W262" s="12">
        <f t="shared" si="257"/>
        <v>2.4264809577198276</v>
      </c>
      <c r="X262" s="12">
        <f t="shared" si="257"/>
        <v>2.8122310921783833</v>
      </c>
      <c r="Y262" s="12">
        <f t="shared" si="257"/>
        <v>3.1984280403023502</v>
      </c>
      <c r="Z262" s="12">
        <f t="shared" si="257"/>
        <v>3.6146374143693114</v>
      </c>
      <c r="AA262" s="12">
        <f t="shared" si="257"/>
        <v>4.0930137152502706</v>
      </c>
      <c r="AB262" s="12">
        <f t="shared" si="257"/>
        <v>4.602880376515567</v>
      </c>
      <c r="AC262" s="12">
        <f t="shared" si="257"/>
        <v>5.1554683559002807</v>
      </c>
      <c r="AD262" s="12">
        <f t="shared" si="257"/>
        <v>5.7443186710625467</v>
      </c>
      <c r="AE262" s="12">
        <f t="shared" si="257"/>
        <v>6.3597206368855623</v>
      </c>
      <c r="AF262" s="12">
        <f t="shared" si="258"/>
        <v>6.9894355387305076</v>
      </c>
      <c r="AG262" s="12">
        <f t="shared" si="258"/>
        <v>7.6312183286355877</v>
      </c>
      <c r="AH262" s="12">
        <f t="shared" si="258"/>
        <v>8.2745052472910565</v>
      </c>
      <c r="AI262" s="12">
        <f t="shared" si="258"/>
        <v>8.9150034245207657</v>
      </c>
      <c r="AJ262" s="12">
        <f t="shared" si="258"/>
        <v>9.5502580005163296</v>
      </c>
      <c r="AK262" s="12">
        <f t="shared" si="258"/>
        <v>10.195092424582409</v>
      </c>
      <c r="AL262" s="12">
        <f t="shared" si="258"/>
        <v>10.849950446476758</v>
      </c>
      <c r="AM262" s="12">
        <f t="shared" si="258"/>
        <v>11.523758249292879</v>
      </c>
      <c r="AN262" s="12">
        <f t="shared" si="258"/>
        <v>12.205445240034134</v>
      </c>
      <c r="AO262" s="12">
        <f t="shared" si="258"/>
        <v>15.557835699549312</v>
      </c>
      <c r="AP262" s="193">
        <f t="shared" si="260"/>
        <v>18.804341761750862</v>
      </c>
      <c r="AQ262" s="193">
        <f t="shared" si="259"/>
        <v>25.069572505142617</v>
      </c>
      <c r="AR262" s="193">
        <f t="shared" si="259"/>
        <v>28.700096708434081</v>
      </c>
      <c r="AS262" s="9"/>
      <c r="AT262" s="9"/>
      <c r="AU262" s="9"/>
      <c r="AV262" s="9"/>
      <c r="AW262" s="9"/>
      <c r="AX262" s="9"/>
    </row>
    <row r="263" spans="2:50" s="0" customFormat="1" ht="15">
      <c r="B263" s="20" t="str">
        <f t="shared" si="255"/>
        <v>COM_PROJ</v>
      </c>
      <c r="C263" s="21" t="str">
        <f t="shared" si="247"/>
        <v>-</v>
      </c>
      <c r="D263" s="20" t="str">
        <f>COM!B179</f>
        <v>CNW</v>
      </c>
      <c r="E263" s="21" t="str">
        <f t="shared" si="248"/>
        <v>-</v>
      </c>
      <c r="F263" s="21" t="str">
        <f t="shared" si="248"/>
        <v>-</v>
      </c>
      <c r="G263" s="21" t="str">
        <f t="shared" si="248"/>
        <v>-</v>
      </c>
      <c r="H263" s="21" t="str">
        <f t="shared" si="248"/>
        <v>-</v>
      </c>
      <c r="I263" s="20">
        <f t="shared" si="249"/>
        <v>0</v>
      </c>
      <c r="J263" s="20"/>
      <c r="K263" s="20"/>
      <c r="L263" s="12">
        <f t="shared" si="256"/>
        <v>0</v>
      </c>
      <c r="M263" s="12">
        <f t="shared" si="256"/>
        <v>0</v>
      </c>
      <c r="N263" s="12">
        <f t="shared" si="256"/>
        <v>0</v>
      </c>
      <c r="O263" s="12">
        <f t="shared" si="256"/>
        <v>0</v>
      </c>
      <c r="P263" s="12">
        <f t="shared" si="256"/>
        <v>0</v>
      </c>
      <c r="Q263" s="12">
        <f t="shared" si="256"/>
        <v>0</v>
      </c>
      <c r="R263" s="12">
        <f t="shared" si="256"/>
        <v>0.19796348261065</v>
      </c>
      <c r="S263" s="12">
        <f t="shared" si="256"/>
        <v>0.38139272694964443</v>
      </c>
      <c r="T263" s="12">
        <f t="shared" si="256"/>
        <v>0.49652979742751913</v>
      </c>
      <c r="U263" s="12">
        <f t="shared" si="256"/>
        <v>0.79378443814577593</v>
      </c>
      <c r="V263" s="12">
        <f t="shared" si="257"/>
        <v>1.106795701445713</v>
      </c>
      <c r="W263" s="12">
        <f t="shared" si="257"/>
        <v>1.2846399640084012</v>
      </c>
      <c r="X263" s="12">
        <f t="shared" si="257"/>
        <v>1.4888657739289308</v>
      </c>
      <c r="Y263" s="12">
        <f t="shared" si="257"/>
        <v>1.6933281382263772</v>
      </c>
      <c r="Z263" s="12">
        <f t="shared" si="257"/>
        <v>1.9136798346286354</v>
      </c>
      <c r="AA263" s="12">
        <f t="shared" si="257"/>
        <v>2.1669442635090799</v>
      </c>
      <c r="AB263" s="12">
        <f t="shared" si="257"/>
        <v>2.4368804801082971</v>
      </c>
      <c r="AC263" s="12">
        <f t="shared" si="257"/>
        <v>2.7294344355348938</v>
      </c>
      <c r="AD263" s="12">
        <f t="shared" si="257"/>
        <v>3.0411865823093072</v>
      </c>
      <c r="AE263" s="12">
        <f t="shared" si="257"/>
        <v>3.3669958398311461</v>
      </c>
      <c r="AF263" s="12">
        <f t="shared" si="258"/>
        <v>3.700382725175519</v>
      </c>
      <c r="AG263" s="12">
        <f t="shared" si="258"/>
        <v>4.0401586535634433</v>
      </c>
      <c r="AH263" s="12">
        <f t="shared" si="258"/>
        <v>4.3807309054904486</v>
      </c>
      <c r="AI263" s="12">
        <f t="shared" si="258"/>
        <v>4.7198267276629062</v>
      </c>
      <c r="AJ263" s="12">
        <f t="shared" si="258"/>
        <v>5.0561464556404889</v>
      </c>
      <c r="AK263" s="12">
        <f t="shared" si="258"/>
        <v>5.3975379957999694</v>
      </c>
      <c r="AL263" s="12">
        <f t="shared" si="258"/>
        <v>5.7442362804085985</v>
      </c>
      <c r="AM263" s="12">
        <f t="shared" si="258"/>
        <v>6.1009670549915942</v>
      </c>
      <c r="AN263" s="12">
        <f t="shared" si="258"/>
        <v>6.4618692695606956</v>
      </c>
      <c r="AO263" s="12">
        <f t="shared" si="258"/>
        <v>8.2367089795333737</v>
      </c>
      <c r="AP263" s="193">
        <f t="shared" si="260"/>
        <v>9.9554908301104241</v>
      </c>
      <c r="AQ263" s="193">
        <f t="shared" si="259"/>
        <v>13.272461347059533</v>
      </c>
      <c r="AR263" s="193">
        <f t="shared" si="259"/>
        <v>15.194552046765942</v>
      </c>
      <c r="AS263" s="9"/>
      <c r="AT263" s="9"/>
      <c r="AU263" s="9"/>
      <c r="AV263" s="9"/>
      <c r="AW263" s="9"/>
      <c r="AX263" s="9"/>
    </row>
    <row r="264" spans="2:50" s="0" customFormat="1" ht="15">
      <c r="B264" s="20" t="str">
        <f t="shared" si="255"/>
        <v>COM_PROJ</v>
      </c>
      <c r="C264" s="21" t="str">
        <f t="shared" si="247"/>
        <v>-</v>
      </c>
      <c r="D264" s="20" t="str">
        <f>COM!B180</f>
        <v>CNG</v>
      </c>
      <c r="E264" s="21" t="str">
        <f t="shared" si="261" ref="E264:H266">IF($A264="*","","-")</f>
        <v>-</v>
      </c>
      <c r="F264" s="21" t="str">
        <f t="shared" si="261"/>
        <v>-</v>
      </c>
      <c r="G264" s="21" t="str">
        <f t="shared" si="261"/>
        <v>-</v>
      </c>
      <c r="H264" s="21" t="str">
        <f t="shared" si="261"/>
        <v>-</v>
      </c>
      <c r="I264" s="20">
        <f t="shared" si="249"/>
        <v>0</v>
      </c>
      <c r="J264" s="20"/>
      <c r="K264" s="20"/>
      <c r="L264" s="12">
        <f t="shared" si="256"/>
        <v>0</v>
      </c>
      <c r="M264" s="12">
        <f t="shared" si="256"/>
        <v>0</v>
      </c>
      <c r="N264" s="12">
        <f t="shared" si="256"/>
        <v>0</v>
      </c>
      <c r="O264" s="12">
        <f t="shared" si="256"/>
        <v>0</v>
      </c>
      <c r="P264" s="12">
        <f t="shared" si="256"/>
        <v>0</v>
      </c>
      <c r="Q264" s="12">
        <f t="shared" si="256"/>
        <v>0</v>
      </c>
      <c r="R264" s="12">
        <f t="shared" si="256"/>
        <v>0</v>
      </c>
      <c r="S264" s="12">
        <f t="shared" si="256"/>
        <v>0</v>
      </c>
      <c r="T264" s="12">
        <f t="shared" si="256"/>
        <v>0</v>
      </c>
      <c r="U264" s="12">
        <f t="shared" si="256"/>
        <v>0</v>
      </c>
      <c r="V264" s="12">
        <f t="shared" si="257"/>
        <v>0</v>
      </c>
      <c r="W264" s="12">
        <f t="shared" si="257"/>
        <v>0</v>
      </c>
      <c r="X264" s="12">
        <f t="shared" si="257"/>
        <v>0</v>
      </c>
      <c r="Y264" s="12">
        <f t="shared" si="257"/>
        <v>0</v>
      </c>
      <c r="Z264" s="12">
        <f t="shared" si="257"/>
        <v>0</v>
      </c>
      <c r="AA264" s="12">
        <f t="shared" si="257"/>
        <v>0</v>
      </c>
      <c r="AB264" s="12">
        <f t="shared" si="257"/>
        <v>0</v>
      </c>
      <c r="AC264" s="12">
        <f t="shared" si="257"/>
        <v>0</v>
      </c>
      <c r="AD264" s="12">
        <f t="shared" si="257"/>
        <v>0</v>
      </c>
      <c r="AE264" s="12">
        <f t="shared" si="257"/>
        <v>0</v>
      </c>
      <c r="AF264" s="12">
        <f t="shared" si="258"/>
        <v>0</v>
      </c>
      <c r="AG264" s="12">
        <f t="shared" si="258"/>
        <v>0</v>
      </c>
      <c r="AH264" s="12">
        <f t="shared" si="258"/>
        <v>0</v>
      </c>
      <c r="AI264" s="12">
        <f t="shared" si="258"/>
        <v>0</v>
      </c>
      <c r="AJ264" s="12">
        <f t="shared" si="258"/>
        <v>0</v>
      </c>
      <c r="AK264" s="12">
        <f t="shared" si="258"/>
        <v>0</v>
      </c>
      <c r="AL264" s="12">
        <f t="shared" si="258"/>
        <v>0</v>
      </c>
      <c r="AM264" s="12">
        <f t="shared" si="258"/>
        <v>0</v>
      </c>
      <c r="AN264" s="12">
        <f t="shared" si="258"/>
        <v>0</v>
      </c>
      <c r="AO264" s="12">
        <f t="shared" si="258"/>
        <v>0</v>
      </c>
      <c r="AP264" s="193">
        <f t="shared" si="260"/>
        <v>0</v>
      </c>
      <c r="AQ264" s="193">
        <f t="shared" si="259"/>
        <v>0</v>
      </c>
      <c r="AR264" s="193">
        <f t="shared" si="259"/>
        <v>0</v>
      </c>
      <c r="AS264" s="9"/>
      <c r="AT264" s="9"/>
      <c r="AU264" s="9"/>
      <c r="AV264" s="9"/>
      <c r="AW264" s="9"/>
      <c r="AX264" s="9"/>
    </row>
    <row r="265" spans="2:50" s="0" customFormat="1" ht="15">
      <c r="B265" s="20" t="str">
        <f t="shared" si="255"/>
        <v>COM_PROJ</v>
      </c>
      <c r="C265" s="21" t="str">
        <f t="shared" si="247"/>
        <v>-</v>
      </c>
      <c r="D265" s="20" t="str">
        <f>COM!B181</f>
        <v>CNT</v>
      </c>
      <c r="E265" s="21" t="str">
        <f t="shared" si="261"/>
        <v>-</v>
      </c>
      <c r="F265" s="21" t="str">
        <f t="shared" si="261"/>
        <v>-</v>
      </c>
      <c r="G265" s="21" t="str">
        <f t="shared" si="261"/>
        <v>-</v>
      </c>
      <c r="H265" s="21" t="str">
        <f t="shared" si="261"/>
        <v>-</v>
      </c>
      <c r="I265" s="20">
        <f t="shared" si="249"/>
        <v>0</v>
      </c>
      <c r="J265" s="20"/>
      <c r="K265" s="20"/>
      <c r="L265" s="12">
        <f t="shared" si="256"/>
        <v>0</v>
      </c>
      <c r="M265" s="12">
        <f t="shared" si="256"/>
        <v>0</v>
      </c>
      <c r="N265" s="12">
        <f t="shared" si="256"/>
        <v>0</v>
      </c>
      <c r="O265" s="12">
        <f t="shared" si="256"/>
        <v>0</v>
      </c>
      <c r="P265" s="12">
        <f t="shared" si="256"/>
        <v>0</v>
      </c>
      <c r="Q265" s="12">
        <f t="shared" si="256"/>
        <v>0</v>
      </c>
      <c r="R265" s="12">
        <f t="shared" si="256"/>
        <v>0</v>
      </c>
      <c r="S265" s="12">
        <f t="shared" si="256"/>
        <v>0</v>
      </c>
      <c r="T265" s="12">
        <f t="shared" si="256"/>
        <v>0</v>
      </c>
      <c r="U265" s="12">
        <f t="shared" si="256"/>
        <v>0</v>
      </c>
      <c r="V265" s="12">
        <f t="shared" si="257"/>
        <v>0</v>
      </c>
      <c r="W265" s="12">
        <f t="shared" si="257"/>
        <v>0</v>
      </c>
      <c r="X265" s="12">
        <f t="shared" si="257"/>
        <v>0</v>
      </c>
      <c r="Y265" s="12">
        <f t="shared" si="257"/>
        <v>0</v>
      </c>
      <c r="Z265" s="12">
        <f t="shared" si="257"/>
        <v>0</v>
      </c>
      <c r="AA265" s="12">
        <f t="shared" si="257"/>
        <v>0</v>
      </c>
      <c r="AB265" s="12">
        <f t="shared" si="257"/>
        <v>0</v>
      </c>
      <c r="AC265" s="12">
        <f t="shared" si="257"/>
        <v>0</v>
      </c>
      <c r="AD265" s="12">
        <f t="shared" si="257"/>
        <v>0</v>
      </c>
      <c r="AE265" s="12">
        <f t="shared" si="257"/>
        <v>0</v>
      </c>
      <c r="AF265" s="12">
        <f t="shared" si="258"/>
        <v>0</v>
      </c>
      <c r="AG265" s="12">
        <f t="shared" si="258"/>
        <v>0</v>
      </c>
      <c r="AH265" s="12">
        <f t="shared" si="258"/>
        <v>0</v>
      </c>
      <c r="AI265" s="12">
        <f t="shared" si="258"/>
        <v>0</v>
      </c>
      <c r="AJ265" s="12">
        <f t="shared" si="258"/>
        <v>0</v>
      </c>
      <c r="AK265" s="12">
        <f t="shared" si="258"/>
        <v>0</v>
      </c>
      <c r="AL265" s="12">
        <f t="shared" si="258"/>
        <v>0</v>
      </c>
      <c r="AM265" s="12">
        <f t="shared" si="258"/>
        <v>0</v>
      </c>
      <c r="AN265" s="12">
        <f t="shared" si="258"/>
        <v>0</v>
      </c>
      <c r="AO265" s="12">
        <f t="shared" si="258"/>
        <v>0</v>
      </c>
      <c r="AP265" s="193">
        <f t="shared" si="260"/>
        <v>0</v>
      </c>
      <c r="AQ265" s="193">
        <f t="shared" si="259"/>
        <v>0</v>
      </c>
      <c r="AR265" s="193">
        <f t="shared" si="259"/>
        <v>0</v>
      </c>
      <c r="AS265" s="9"/>
      <c r="AT265" s="9"/>
      <c r="AU265" s="9"/>
      <c r="AV265" s="9"/>
      <c r="AW265" s="9"/>
      <c r="AX265" s="9"/>
    </row>
    <row r="266" spans="2:50" s="0" customFormat="1" ht="15">
      <c r="B266" s="20" t="str">
        <f t="shared" si="255"/>
        <v>COM_PROJ</v>
      </c>
      <c r="C266" s="21" t="str">
        <f t="shared" si="247"/>
        <v>-</v>
      </c>
      <c r="D266" s="20" t="str">
        <f>COM!B182</f>
        <v>CNO</v>
      </c>
      <c r="E266" s="21" t="str">
        <f t="shared" si="261"/>
        <v>-</v>
      </c>
      <c r="F266" s="21" t="str">
        <f t="shared" si="261"/>
        <v>-</v>
      </c>
      <c r="G266" s="21" t="str">
        <f t="shared" si="261"/>
        <v>-</v>
      </c>
      <c r="H266" s="21" t="str">
        <f t="shared" si="261"/>
        <v>-</v>
      </c>
      <c r="I266" s="20">
        <f t="shared" si="249"/>
        <v>0</v>
      </c>
      <c r="J266" s="20"/>
      <c r="K266" s="20"/>
      <c r="L266" s="12">
        <f t="shared" si="256"/>
        <v>0</v>
      </c>
      <c r="M266" s="12">
        <f t="shared" si="256"/>
        <v>0</v>
      </c>
      <c r="N266" s="12">
        <f t="shared" si="256"/>
        <v>0</v>
      </c>
      <c r="O266" s="12">
        <f t="shared" si="256"/>
        <v>0</v>
      </c>
      <c r="P266" s="12">
        <f t="shared" si="256"/>
        <v>0</v>
      </c>
      <c r="Q266" s="12">
        <f t="shared" si="256"/>
        <v>0</v>
      </c>
      <c r="R266" s="12">
        <f t="shared" si="256"/>
        <v>0.27783625702001274</v>
      </c>
      <c r="S266" s="12">
        <f t="shared" si="256"/>
        <v>0.53527411375538358</v>
      </c>
      <c r="T266" s="12">
        <f t="shared" si="256"/>
        <v>0.69686579866596787</v>
      </c>
      <c r="U266" s="12">
        <f t="shared" si="256"/>
        <v>1.1140544420958349</v>
      </c>
      <c r="V266" s="12">
        <f t="shared" si="257"/>
        <v>1.5533570682847404</v>
      </c>
      <c r="W266" s="12">
        <f t="shared" si="257"/>
        <v>1.8029565580051912</v>
      </c>
      <c r="X266" s="12">
        <f t="shared" si="257"/>
        <v>2.0895818177092655</v>
      </c>
      <c r="Y266" s="12">
        <f t="shared" si="257"/>
        <v>2.37653907492014</v>
      </c>
      <c r="Z266" s="12">
        <f t="shared" si="257"/>
        <v>2.685796569024864</v>
      </c>
      <c r="AA266" s="12">
        <f t="shared" si="257"/>
        <v>3.0412461702770721</v>
      </c>
      <c r="AB266" s="12">
        <f t="shared" si="257"/>
        <v>3.4200941631747033</v>
      </c>
      <c r="AC266" s="12">
        <f t="shared" si="257"/>
        <v>3.8306855251785183</v>
      </c>
      <c r="AD266" s="12">
        <f t="shared" si="257"/>
        <v>4.2682210162473995</v>
      </c>
      <c r="AE266" s="12">
        <f t="shared" si="257"/>
        <v>4.7254852723545371</v>
      </c>
      <c r="AF266" s="12">
        <f t="shared" si="258"/>
        <v>5.1933845189333478</v>
      </c>
      <c r="AG266" s="12">
        <f t="shared" si="258"/>
        <v>5.6702506102137713</v>
      </c>
      <c r="AH266" s="12">
        <f t="shared" si="258"/>
        <v>6.1482343194940281</v>
      </c>
      <c r="AI266" s="12">
        <f t="shared" si="258"/>
        <v>6.6241459005648444</v>
      </c>
      <c r="AJ266" s="12">
        <f t="shared" si="258"/>
        <v>7.0961613104324286</v>
      </c>
      <c r="AK266" s="12">
        <f t="shared" si="258"/>
        <v>7.575294868022735</v>
      </c>
      <c r="AL266" s="12">
        <f t="shared" si="258"/>
        <v>8.0618762942566384</v>
      </c>
      <c r="AM266" s="12">
        <f t="shared" si="258"/>
        <v>8.562538041902906</v>
      </c>
      <c r="AN266" s="12">
        <f t="shared" si="258"/>
        <v>9.0690542898683191</v>
      </c>
      <c r="AO266" s="12">
        <f t="shared" si="258"/>
        <v>11.559992594884607</v>
      </c>
      <c r="AP266" s="193">
        <f t="shared" si="260"/>
        <v>13.97225524909075</v>
      </c>
      <c r="AQ266" s="193">
        <f t="shared" si="259"/>
        <v>18.627531368310219</v>
      </c>
      <c r="AR266" s="193">
        <f t="shared" si="259"/>
        <v>21.325132353183356</v>
      </c>
      <c r="AS266" s="9"/>
      <c r="AT266" s="9"/>
      <c r="AU266" s="9"/>
      <c r="AV266" s="9"/>
      <c r="AW266" s="9"/>
      <c r="AX266" s="9"/>
    </row>
    <row r="267" spans="13:13" ht="15">
      <c r="M267" s="75"/>
    </row>
    <row r="268" spans="13:13" ht="15">
      <c r="M268" s="75"/>
    </row>
    <row r="269" spans="15:30" ht="15">
      <c r="O269" s="82"/>
      <c r="AD269" s="82"/>
    </row>
  </sheetData>
  <mergeCells count="2">
    <mergeCell ref="B2:C2"/>
    <mergeCell ref="B13:C13"/>
  </mergeCells>
  <pageMargins left="0.7" right="0.7" top="0.75" bottom="0.75" header="0.3" footer="0.3"/>
  <pageSetup orientation="portrait" paperSize="9" r:id="rId5"/>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09996986389"/>
  </sheetPr>
  <dimension ref="A1:CF247"/>
  <sheetViews>
    <sheetView zoomScale="70" zoomScaleNormal="70" workbookViewId="0" topLeftCell="I80">
      <selection pane="topLeft" activeCell="U126" sqref="U126:V127"/>
    </sheetView>
  </sheetViews>
  <sheetFormatPr defaultColWidth="9.14428571428571" defaultRowHeight="15"/>
  <cols>
    <col min="2" max="2" width="11.8571428571429" customWidth="1"/>
    <col min="3" max="3" width="73" customWidth="1"/>
    <col min="5" max="5" width="13.4285714285714" bestFit="1" customWidth="1"/>
    <col min="10" max="10" width="9" customWidth="1"/>
    <col min="60" max="60" width="16" customWidth="1"/>
  </cols>
  <sheetData>
    <row r="1" spans="1:6 57:62" ht="15">
      <c r="A1" t="str">
        <f>IF(TRA,"TS DATA","")</f>
        <v>TS DATA</v>
      </c>
      <c r="B1" t="s">
        <v>17</v>
      </c>
      <c r="D1">
        <f>DriversGams!M163</f>
        <v>0</v>
      </c>
      <c r="F1" t="s">
        <v>16</v>
      </c>
      <c r="BE1" s="166" t="s">
        <v>209</v>
      </c>
      <c r="BF1" s="166" t="s">
        <v>522</v>
      </c>
      <c r="BG1" s="166" t="s">
        <v>185</v>
      </c>
      <c r="BH1" s="166" t="s">
        <v>526</v>
      </c>
      <c r="BJ1" s="166"/>
    </row>
    <row r="2" spans="1:3 57:62" ht="15.75" thickBot="1">
      <c r="A2" t="s">
        <v>16</v>
      </c>
      <c r="B2" s="4" t="s">
        <v>280</v>
      </c>
      <c r="C2" s="4"/>
      <c r="BE2" s="166"/>
      <c r="BF2" s="166"/>
      <c r="BG2" s="166"/>
      <c r="BH2" s="166" t="s">
        <v>141</v>
      </c>
      <c r="BI2" s="166" t="s">
        <v>141</v>
      </c>
      <c r="BJ2" s="166" t="s">
        <v>528</v>
      </c>
    </row>
    <row r="3" spans="1:14 57:62" ht="15">
      <c r="A3" t="s">
        <v>16</v>
      </c>
      <c r="C3" s="166" t="str">
        <f>INDEX($BF$4:$BF$7,MATCH($D$3,$BE$4:$BE$7,0))</f>
        <v>NDC-PAMS-reference</v>
      </c>
      <c r="D3" s="170">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6"/>
      <c r="BF3" s="166"/>
      <c r="BG3" s="166"/>
      <c r="BH3" s="174">
        <v>2030</v>
      </c>
      <c r="BI3" s="174">
        <v>2050</v>
      </c>
      <c r="BJ3" s="166"/>
    </row>
    <row r="4" spans="1:62" ht="15">
      <c r="A4" t="s">
        <v>16</v>
      </c>
      <c r="B4" s="23"/>
      <c r="C4" s="8" t="s">
        <v>186</v>
      </c>
      <c r="D4" s="169">
        <f>INDEX($BG$4:$BG$7,MATCH($D$3,BE$4:BE$7,0))</f>
        <v>0</v>
      </c>
      <c r="F4">
        <v>2017</v>
      </c>
      <c r="G4">
        <v>2019</v>
      </c>
      <c r="H4">
        <v>2020</v>
      </c>
      <c r="I4">
        <v>2021</v>
      </c>
      <c r="J4">
        <v>2030</v>
      </c>
      <c r="K4">
        <v>2040</v>
      </c>
      <c r="L4">
        <v>2050</v>
      </c>
      <c r="M4">
        <v>2060</v>
      </c>
      <c r="N4">
        <v>2070</v>
      </c>
      <c r="P4" s="10">
        <v>2017</v>
      </c>
      <c r="Q4">
        <v>2019</v>
      </c>
      <c r="R4" s="10">
        <v>2020</v>
      </c>
      <c r="S4">
        <v>2021</v>
      </c>
      <c r="T4" s="10">
        <v>2030</v>
      </c>
      <c r="U4" s="10">
        <v>2040</v>
      </c>
      <c r="V4" s="10">
        <v>2050</v>
      </c>
      <c r="W4" s="10">
        <v>2060</v>
      </c>
      <c r="X4" s="10">
        <v>2070</v>
      </c>
      <c r="Z4" s="10">
        <f>P4</f>
        <v>2017</v>
      </c>
      <c r="AA4" s="10">
        <v>2019</v>
      </c>
      <c r="AB4" s="10">
        <f t="shared" si="0" ref="AB4:AH4">R4</f>
        <v>2020</v>
      </c>
      <c r="AC4" s="10">
        <f t="shared" si="0"/>
        <v>2021</v>
      </c>
      <c r="AD4" s="10">
        <f t="shared" si="0"/>
        <v>2030</v>
      </c>
      <c r="AE4" s="10">
        <f t="shared" si="0"/>
        <v>2040</v>
      </c>
      <c r="AF4" s="10">
        <f t="shared" si="0"/>
        <v>2050</v>
      </c>
      <c r="AG4" s="10">
        <f t="shared" si="0"/>
        <v>2060</v>
      </c>
      <c r="AH4" s="10">
        <f t="shared" si="0"/>
        <v>2070</v>
      </c>
      <c r="BE4" s="166">
        <v>-1</v>
      </c>
      <c r="BF4" s="166" t="s">
        <v>603</v>
      </c>
      <c r="BG4" s="166">
        <v>0</v>
      </c>
      <c r="BH4" s="165">
        <v>0.95</v>
      </c>
      <c r="BI4" s="165">
        <v>0.95</v>
      </c>
      <c r="BJ4" s="174">
        <v>1</v>
      </c>
    </row>
    <row r="5" spans="1:15 57:62" ht="15.75" thickBot="1">
      <c r="A5" t="s">
        <v>16</v>
      </c>
      <c r="B5" s="15" t="s">
        <v>11</v>
      </c>
      <c r="C5" s="15"/>
      <c r="D5" s="15"/>
      <c r="E5" s="15"/>
      <c r="F5" s="15"/>
      <c r="G5" s="15"/>
      <c r="H5" s="15"/>
      <c r="I5" s="15"/>
      <c r="J5" s="15"/>
      <c r="K5" s="15"/>
      <c r="L5" s="15"/>
      <c r="M5" s="15"/>
      <c r="N5" s="15"/>
      <c r="O5" s="15"/>
      <c r="BE5" s="166">
        <v>1</v>
      </c>
      <c r="BF5" s="166" t="s">
        <v>604</v>
      </c>
      <c r="BG5" s="166">
        <v>1</v>
      </c>
      <c r="BH5" s="165">
        <v>0.80</v>
      </c>
      <c r="BI5" s="165">
        <v>0.85</v>
      </c>
      <c r="BJ5" s="174">
        <v>1</v>
      </c>
    </row>
    <row r="6" spans="1:4 57:62" ht="15">
      <c r="A6" t="s">
        <v>16</v>
      </c>
      <c r="B6" t="s">
        <v>9</v>
      </c>
      <c r="C6" t="s">
        <v>10</v>
      </c>
      <c r="D6" t="s">
        <v>387</v>
      </c>
      <c r="BE6" s="166">
        <v>2</v>
      </c>
      <c r="BF6" s="166" t="s">
        <v>595</v>
      </c>
      <c r="BG6" s="166">
        <v>1</v>
      </c>
      <c r="BH6" s="165">
        <v>0.92</v>
      </c>
      <c r="BI6" s="165">
        <v>0.93</v>
      </c>
      <c r="BJ6" s="174">
        <v>1</v>
      </c>
    </row>
    <row r="7" spans="1:62" ht="15">
      <c r="A7" t="s">
        <v>16</v>
      </c>
      <c r="B7" s="9" t="s">
        <v>577</v>
      </c>
      <c r="C7" s="9" t="s">
        <v>2</v>
      </c>
      <c r="D7">
        <v>17</v>
      </c>
      <c r="E7" s="9"/>
      <c r="F7" s="22" cm="1">
        <f t="array" ref="F7">INDEX(Drivers!$C$7:$AG$25,$D7,F$3)</f>
        <v>256.25966914032193</v>
      </c>
      <c r="G7" s="22" cm="1">
        <f t="array" ref="G7">INDEX(Drivers!$C$7:$AG$25,$D7,G$3)</f>
        <v>260.25</v>
      </c>
      <c r="H7" s="22" cm="1">
        <f t="array" ref="H7">INDEX(Drivers!$C$7:$AG$25,$D7,H$3)</f>
        <v>248.16</v>
      </c>
      <c r="I7" s="22" cm="1">
        <f t="array" ref="I7">INDEX(Drivers!$C$7:$AG$25,$D7,I$3)</f>
        <v>263.2008600883745</v>
      </c>
      <c r="J7" s="22" cm="1">
        <f t="array" ref="J7">INDEX(Drivers!$C$7:$AG$25,$D7,J$3)</f>
        <v>343.36711969521258</v>
      </c>
      <c r="K7" s="22" cm="1">
        <f t="array" ref="K7">INDEX(Drivers!$C$7:$AG$25,$D7,K$3)</f>
        <v>480.04142818249801</v>
      </c>
      <c r="L7" s="22" cm="1">
        <f t="array" ref="L7">INDEX(Drivers!$C$7:$AG$25,$D7,L$3)</f>
        <v>647.4091680403651</v>
      </c>
      <c r="M7" s="22" cm="1">
        <f t="array" ref="M7">INDEX(Drivers!$C$7:$AK$25,$D7,M$3)</f>
        <v>824.20790723544428</v>
      </c>
      <c r="N7" s="22" cm="1">
        <f t="array" ref="N7">INDEX(Drivers!$C$7:$AK$25,$D7,N$3)</f>
        <v>901.34322144081864</v>
      </c>
      <c r="O7" s="9"/>
      <c r="P7" s="9">
        <f t="shared" si="1" ref="P7:Q7">F7</f>
        <v>256.25966914032193</v>
      </c>
      <c r="Q7" s="9">
        <f t="shared" si="1"/>
        <v>260.25</v>
      </c>
      <c r="R7" s="9">
        <f t="shared" si="2" ref="R7:R9">H7</f>
        <v>248.16</v>
      </c>
      <c r="S7" s="9">
        <f t="shared" si="3" ref="S7:S9">I7</f>
        <v>263.2008600883745</v>
      </c>
      <c r="T7" s="9">
        <f t="shared" si="4" ref="T7:T9">J7</f>
        <v>343.36711969521258</v>
      </c>
      <c r="U7" s="9">
        <f t="shared" si="5" ref="U7:U9">K7</f>
        <v>480.04142818249801</v>
      </c>
      <c r="V7" s="9">
        <f t="shared" si="6" ref="V7:V9">L7</f>
        <v>647.4091680403651</v>
      </c>
      <c r="W7" s="9">
        <f t="shared" si="7" ref="W7:W9">M7</f>
        <v>824.20790723544428</v>
      </c>
      <c r="X7" s="9">
        <f t="shared" si="8" ref="X7:X9">N7</f>
        <v>901.34322144081864</v>
      </c>
      <c r="Z7" s="9">
        <f t="shared" si="9" ref="Z7:AH7">P7</f>
        <v>256.25966914032193</v>
      </c>
      <c r="AA7" s="9">
        <f t="shared" si="9"/>
        <v>260.25</v>
      </c>
      <c r="AB7" s="9">
        <f t="shared" si="9"/>
        <v>248.16</v>
      </c>
      <c r="AC7" s="9">
        <f t="shared" si="9"/>
        <v>263.2008600883745</v>
      </c>
      <c r="AD7" s="9">
        <f t="shared" si="9"/>
        <v>343.36711969521258</v>
      </c>
      <c r="AE7" s="9">
        <f t="shared" si="9"/>
        <v>480.04142818249801</v>
      </c>
      <c r="AF7" s="9">
        <f t="shared" si="9"/>
        <v>647.4091680403651</v>
      </c>
      <c r="AG7" s="9">
        <f t="shared" si="9"/>
        <v>824.20790723544428</v>
      </c>
      <c r="AH7" s="9">
        <f t="shared" si="9"/>
        <v>901.34322144081864</v>
      </c>
      <c r="BE7" s="166">
        <v>3</v>
      </c>
      <c r="BF7" s="166" t="s">
        <v>605</v>
      </c>
      <c r="BG7" s="166">
        <v>1</v>
      </c>
      <c r="BH7" s="165">
        <v>0.80</v>
      </c>
      <c r="BI7" s="165">
        <v>0.65</v>
      </c>
      <c r="BJ7" s="174">
        <v>1</v>
      </c>
    </row>
    <row r="8" spans="1:34" ht="15">
      <c r="A8" t="s">
        <v>16</v>
      </c>
      <c r="B8" s="9" t="s">
        <v>371</v>
      </c>
      <c r="C8" s="9" t="s">
        <v>59</v>
      </c>
      <c r="D8">
        <v>10</v>
      </c>
      <c r="E8" s="9"/>
      <c r="F8" s="22" cm="1">
        <f t="array" ref="F8">INDEX(Drivers!$C$7:$AG$25,$D8,F$3)</f>
        <v>201.78663829260577</v>
      </c>
      <c r="G8" s="22" cm="1">
        <f t="array" ref="G8">INDEX(Drivers!$C$7:$AG$25,$D8,G$3)</f>
        <v>198.05000000000001</v>
      </c>
      <c r="H8" s="22" cm="1">
        <f t="array" ref="H8">INDEX(Drivers!$C$7:$AG$25,$D8,H$3)</f>
        <v>190.12</v>
      </c>
      <c r="I8" s="22" cm="1">
        <f t="array" ref="I8">INDEX(Drivers!$C$7:$AG$25,$D8,I$3)</f>
        <v>210.28525240864684</v>
      </c>
      <c r="J8" s="22" cm="1">
        <f t="array" ref="J8">INDEX(Drivers!$C$7:$AG$25,$D8,J$3)</f>
        <v>220.79411954142256</v>
      </c>
      <c r="K8" s="22" cm="1">
        <f t="array" ref="K8">INDEX(Drivers!$C$7:$AG$25,$D8,K$3)</f>
        <v>283.54072046365877</v>
      </c>
      <c r="L8" s="22" cm="1">
        <f t="array" ref="L8">INDEX(Drivers!$C$7:$AG$25,$D8,L$3)</f>
        <v>366.5808054229426</v>
      </c>
      <c r="M8" s="22" cm="1">
        <f t="array" ref="M8">INDEX(Drivers!$C$7:$AK$25,$D8,M$3)</f>
        <v>470.3851281511445</v>
      </c>
      <c r="N8" s="22" cm="1">
        <f t="array" ref="N8">INDEX(Drivers!$C$7:$AK$25,$D8,N$3)</f>
        <v>512.53107791373986</v>
      </c>
      <c r="O8" s="9"/>
      <c r="P8" s="9">
        <f t="shared" si="10" ref="P8:P9">F8</f>
        <v>201.78663829260577</v>
      </c>
      <c r="Q8" s="9">
        <f t="shared" si="11" ref="Q8:Q9">G8</f>
        <v>198.05000000000001</v>
      </c>
      <c r="R8" s="9">
        <f t="shared" si="2"/>
        <v>190.12</v>
      </c>
      <c r="S8" s="9">
        <f t="shared" si="3"/>
        <v>210.28525240864684</v>
      </c>
      <c r="T8" s="9">
        <f t="shared" si="4"/>
        <v>220.79411954142256</v>
      </c>
      <c r="U8" s="9">
        <f t="shared" si="5"/>
        <v>283.54072046365877</v>
      </c>
      <c r="V8" s="9">
        <f t="shared" si="6"/>
        <v>366.5808054229426</v>
      </c>
      <c r="W8" s="9">
        <f t="shared" si="7"/>
        <v>470.3851281511445</v>
      </c>
      <c r="X8" s="9">
        <f t="shared" si="8"/>
        <v>512.53107791373986</v>
      </c>
      <c r="Z8" s="9">
        <f>P8</f>
        <v>201.78663829260577</v>
      </c>
      <c r="AA8" s="9">
        <f>Q8</f>
        <v>198.05000000000001</v>
      </c>
      <c r="AB8" s="9">
        <f t="shared" si="12" ref="AB8:AB9">R8</f>
        <v>190.12</v>
      </c>
      <c r="AC8" s="9">
        <f t="shared" si="13" ref="AC8:AC9">S8</f>
        <v>210.28525240864684</v>
      </c>
      <c r="AD8" s="9">
        <f t="shared" si="14" ref="AD8:AH9">T8</f>
        <v>220.79411954142256</v>
      </c>
      <c r="AE8" s="9">
        <f t="shared" si="14"/>
        <v>283.54072046365877</v>
      </c>
      <c r="AF8" s="9">
        <f t="shared" si="14"/>
        <v>366.5808054229426</v>
      </c>
      <c r="AG8" s="9">
        <f t="shared" si="14"/>
        <v>470.3851281511445</v>
      </c>
      <c r="AH8" s="9">
        <f t="shared" si="14"/>
        <v>512.53107791373986</v>
      </c>
    </row>
    <row r="9" spans="1:34" ht="15">
      <c r="A9" t="s">
        <v>16</v>
      </c>
      <c r="B9" s="9" t="s">
        <v>372</v>
      </c>
      <c r="C9" s="9" t="s">
        <v>60</v>
      </c>
      <c r="D9">
        <v>9</v>
      </c>
      <c r="E9" s="9"/>
      <c r="F9" s="22" cm="1">
        <f t="array" ref="F9">INDEX(Drivers!$C$7:$AG$25,$D9,F$3)</f>
        <v>21.03698901557286</v>
      </c>
      <c r="G9" s="22" cm="1">
        <f t="array" ref="G9">INDEX(Drivers!$C$7:$AG$25,$D9,G$3)</f>
        <v>20.850000000000001</v>
      </c>
      <c r="H9" s="22" cm="1">
        <f t="array" ref="H9">INDEX(Drivers!$C$7:$AG$25,$D9,H$3)</f>
        <v>19.82</v>
      </c>
      <c r="I9" s="22" cm="1">
        <f t="array" ref="I9">INDEX(Drivers!$C$7:$AG$25,$D9,I$3)</f>
        <v>19.518669665590032</v>
      </c>
      <c r="J9" s="22" cm="1">
        <f t="array" ref="J9">INDEX(Drivers!$C$7:$AG$25,$D9,J$3)</f>
        <v>23.599758004299858</v>
      </c>
      <c r="K9" s="22" cm="1">
        <f t="array" ref="K9">INDEX(Drivers!$C$7:$AG$25,$D9,K$3)</f>
        <v>29.879672519107697</v>
      </c>
      <c r="L9" s="22" cm="1">
        <f t="array" ref="L9">INDEX(Drivers!$C$7:$AG$25,$D9,L$3)</f>
        <v>36.92565211992062</v>
      </c>
      <c r="M9" s="22" cm="1">
        <f t="array" ref="M9">INDEX(Drivers!$C$7:$AK$25,$D9,M$3)</f>
        <v>46.757695807842708</v>
      </c>
      <c r="N9" s="22" cm="1">
        <f t="array" ref="N9">INDEX(Drivers!$C$7:$AK$25,$D9,N$3)</f>
        <v>51.133617860998868</v>
      </c>
      <c r="O9" s="9"/>
      <c r="P9" s="9">
        <f t="shared" si="10"/>
        <v>21.03698901557286</v>
      </c>
      <c r="Q9" s="9">
        <f t="shared" si="11"/>
        <v>20.850000000000001</v>
      </c>
      <c r="R9" s="9">
        <f t="shared" si="2"/>
        <v>19.82</v>
      </c>
      <c r="S9" s="9">
        <f t="shared" si="3"/>
        <v>19.518669665590032</v>
      </c>
      <c r="T9" s="9">
        <f t="shared" si="4"/>
        <v>23.599758004299858</v>
      </c>
      <c r="U9" s="9">
        <f t="shared" si="5"/>
        <v>29.879672519107697</v>
      </c>
      <c r="V9" s="9">
        <f t="shared" si="6"/>
        <v>36.92565211992062</v>
      </c>
      <c r="W9" s="9">
        <f t="shared" si="7"/>
        <v>46.757695807842708</v>
      </c>
      <c r="X9" s="9">
        <f t="shared" si="8"/>
        <v>51.133617860998868</v>
      </c>
      <c r="Z9" s="9">
        <f>P9</f>
        <v>21.03698901557286</v>
      </c>
      <c r="AA9" s="9">
        <f>Q9</f>
        <v>20.850000000000001</v>
      </c>
      <c r="AB9" s="9">
        <f t="shared" si="12"/>
        <v>19.82</v>
      </c>
      <c r="AC9" s="9">
        <f t="shared" si="13"/>
        <v>19.518669665590032</v>
      </c>
      <c r="AD9" s="9">
        <f t="shared" si="14"/>
        <v>23.599758004299858</v>
      </c>
      <c r="AE9" s="9">
        <f t="shared" si="14"/>
        <v>29.879672519107697</v>
      </c>
      <c r="AF9" s="9">
        <f t="shared" si="14"/>
        <v>36.92565211992062</v>
      </c>
      <c r="AG9" s="9">
        <f t="shared" si="14"/>
        <v>46.757695807842708</v>
      </c>
      <c r="AH9" s="9">
        <f t="shared" si="14"/>
        <v>51.133617860998868</v>
      </c>
    </row>
    <row r="10" spans="1:15" ht="15">
      <c r="A10" t="s">
        <v>16</v>
      </c>
      <c r="B10" s="9"/>
      <c r="C10" s="9"/>
      <c r="E10" s="9"/>
      <c r="F10" s="9"/>
      <c r="H10" s="9"/>
      <c r="J10" s="9"/>
      <c r="K10" s="9"/>
      <c r="L10" s="9"/>
      <c r="M10" s="9"/>
      <c r="N10" s="9"/>
      <c r="O10" s="9"/>
    </row>
    <row r="11" spans="1:26" ht="15">
      <c r="A11" t="s">
        <v>16</v>
      </c>
      <c r="P11" s="8" t="s">
        <v>32</v>
      </c>
      <c r="Z11" s="8" t="s">
        <v>185</v>
      </c>
    </row>
    <row r="12" spans="1:34" ht="15.75" thickBot="1">
      <c r="A12" t="s">
        <v>16</v>
      </c>
      <c r="B12" s="15" t="s">
        <v>428</v>
      </c>
      <c r="C12" s="15"/>
      <c r="D12" s="15"/>
      <c r="F12">
        <f t="shared" si="15" ref="F12:J12">F$4</f>
        <v>2017</v>
      </c>
      <c r="G12">
        <f t="shared" si="15"/>
        <v>2019</v>
      </c>
      <c r="H12">
        <f t="shared" si="15"/>
        <v>2020</v>
      </c>
      <c r="I12">
        <f t="shared" si="15"/>
        <v>2021</v>
      </c>
      <c r="J12">
        <f t="shared" si="15"/>
        <v>2030</v>
      </c>
      <c r="K12">
        <f>K$4</f>
        <v>2040</v>
      </c>
      <c r="L12">
        <f>L$4</f>
        <v>2050</v>
      </c>
      <c r="M12">
        <f>M$4</f>
        <v>2060</v>
      </c>
      <c r="N12">
        <f>N$4</f>
        <v>2070</v>
      </c>
      <c r="P12" s="10">
        <f>P$4</f>
        <v>2017</v>
      </c>
      <c r="Q12" s="10">
        <f t="shared" si="16" ref="Q12:X12">Q$4</f>
        <v>2019</v>
      </c>
      <c r="R12" s="10">
        <f t="shared" si="16"/>
        <v>2020</v>
      </c>
      <c r="S12" s="10">
        <f t="shared" si="16"/>
        <v>2021</v>
      </c>
      <c r="T12" s="10">
        <f t="shared" si="16"/>
        <v>2030</v>
      </c>
      <c r="U12" s="10">
        <f t="shared" si="16"/>
        <v>2040</v>
      </c>
      <c r="V12" s="10">
        <f t="shared" si="16"/>
        <v>2050</v>
      </c>
      <c r="W12" s="10">
        <f t="shared" si="16"/>
        <v>2060</v>
      </c>
      <c r="X12" s="10">
        <f t="shared" si="16"/>
        <v>2070</v>
      </c>
      <c r="Z12" s="10">
        <f t="shared" si="17" ref="Z12:AH12">P12</f>
        <v>2017</v>
      </c>
      <c r="AA12" s="10">
        <f t="shared" si="17"/>
        <v>2019</v>
      </c>
      <c r="AB12" s="10">
        <f t="shared" si="17"/>
        <v>2020</v>
      </c>
      <c r="AC12" s="10">
        <f t="shared" si="17"/>
        <v>2021</v>
      </c>
      <c r="AD12" s="10">
        <f t="shared" si="17"/>
        <v>2030</v>
      </c>
      <c r="AE12" s="10">
        <f t="shared" si="17"/>
        <v>2040</v>
      </c>
      <c r="AF12" s="10">
        <f t="shared" si="17"/>
        <v>2050</v>
      </c>
      <c r="AG12" s="10">
        <f t="shared" si="17"/>
        <v>2060</v>
      </c>
      <c r="AH12" s="10">
        <f t="shared" si="17"/>
        <v>2070</v>
      </c>
    </row>
    <row r="13" spans="1:49" ht="15">
      <c r="A13" t="s">
        <v>16</v>
      </c>
      <c r="B13" s="9" t="s">
        <v>139</v>
      </c>
      <c r="C13" s="9" t="s">
        <v>744</v>
      </c>
      <c r="D13" s="9"/>
      <c r="F13" s="42">
        <v>0.80</v>
      </c>
      <c r="G13" s="52">
        <f t="shared" si="18" ref="G13:G25">F13</f>
        <v>0.80000000000000004</v>
      </c>
      <c r="H13" s="52">
        <f t="shared" si="19" ref="H13:H25">G13</f>
        <v>0.80000000000000004</v>
      </c>
      <c r="I13" s="52">
        <f t="shared" si="20" ref="I13:I23">H13</f>
        <v>0.80000000000000004</v>
      </c>
      <c r="J13" s="52">
        <f t="shared" si="21" ref="J13:J23">IF($D$4,AD13,T13)</f>
        <v>0.80000000000000004</v>
      </c>
      <c r="K13" s="52">
        <f t="shared" si="22" ref="K13:K25">IF($D$4,AE13,U13)</f>
        <v>0.80000000000000004</v>
      </c>
      <c r="L13" s="52">
        <f t="shared" si="23" ref="L13:N25">IF($D$4,AF13,V13)</f>
        <v>0.80000000000000004</v>
      </c>
      <c r="M13" s="52">
        <f t="shared" si="23"/>
        <v>0.80000000000000004</v>
      </c>
      <c r="N13" s="52">
        <f t="shared" si="23"/>
        <v>0.80000000000000004</v>
      </c>
      <c r="P13" s="52">
        <f t="shared" si="24" ref="P13:P25">$F13</f>
        <v>0.80000000000000004</v>
      </c>
      <c r="Q13" s="52">
        <f>P13</f>
        <v>0.80000000000000004</v>
      </c>
      <c r="R13" s="52">
        <f t="shared" si="25" ref="R13:X13">Q13</f>
        <v>0.80000000000000004</v>
      </c>
      <c r="S13" s="52">
        <f t="shared" si="25"/>
        <v>0.80000000000000004</v>
      </c>
      <c r="T13" s="52">
        <f t="shared" si="25"/>
        <v>0.80000000000000004</v>
      </c>
      <c r="U13" s="52">
        <f t="shared" si="25"/>
        <v>0.80000000000000004</v>
      </c>
      <c r="V13" s="52">
        <f t="shared" si="25"/>
        <v>0.80000000000000004</v>
      </c>
      <c r="W13" s="52">
        <f t="shared" si="25"/>
        <v>0.80000000000000004</v>
      </c>
      <c r="X13" s="52">
        <f t="shared" si="25"/>
        <v>0.80000000000000004</v>
      </c>
      <c r="Y13" s="195"/>
      <c r="Z13" s="52">
        <f t="shared" si="26" ref="Z13:Z25">$P13</f>
        <v>0.80000000000000004</v>
      </c>
      <c r="AA13" s="52">
        <f>Z13</f>
        <v>0.80000000000000004</v>
      </c>
      <c r="AB13" s="52">
        <f t="shared" si="27" ref="AB13:AH13">AA13</f>
        <v>0.80000000000000004</v>
      </c>
      <c r="AC13" s="52">
        <f t="shared" si="27"/>
        <v>0.80000000000000004</v>
      </c>
      <c r="AD13" s="52">
        <f t="shared" si="27"/>
        <v>0.80000000000000004</v>
      </c>
      <c r="AE13" s="52">
        <f t="shared" si="27"/>
        <v>0.80000000000000004</v>
      </c>
      <c r="AF13" s="52">
        <f t="shared" si="27"/>
        <v>0.80000000000000004</v>
      </c>
      <c r="AG13" s="52">
        <f t="shared" si="27"/>
        <v>0.80000000000000004</v>
      </c>
      <c r="AH13" s="52">
        <f t="shared" si="27"/>
        <v>0.80000000000000004</v>
      </c>
      <c r="AI13" s="195"/>
      <c r="AJ13" s="195"/>
      <c r="AK13" s="195"/>
      <c r="AL13" s="195"/>
      <c r="AM13" s="195"/>
      <c r="AN13" s="195"/>
      <c r="AO13" s="195"/>
      <c r="AP13" s="195"/>
      <c r="AQ13" s="195"/>
      <c r="AR13" s="195"/>
      <c r="AS13" s="195"/>
      <c r="AT13" s="195"/>
      <c r="AU13" s="195"/>
      <c r="AV13" s="195"/>
      <c r="AW13" s="195"/>
    </row>
    <row r="14" spans="1:49" ht="15">
      <c r="A14" t="s">
        <v>16</v>
      </c>
      <c r="B14" s="9" t="s">
        <v>396</v>
      </c>
      <c r="C14" s="9" t="s">
        <v>745</v>
      </c>
      <c r="D14" s="9"/>
      <c r="F14" s="42">
        <f>F13</f>
        <v>0.80000000000000004</v>
      </c>
      <c r="G14" s="52">
        <f t="shared" si="18"/>
        <v>0.80000000000000004</v>
      </c>
      <c r="H14" s="52">
        <f t="shared" si="19"/>
        <v>0.80000000000000004</v>
      </c>
      <c r="I14" s="52">
        <f t="shared" si="20"/>
        <v>0.80000000000000004</v>
      </c>
      <c r="J14" s="52">
        <f t="shared" si="21"/>
        <v>0.80000000000000004</v>
      </c>
      <c r="K14" s="52">
        <f t="shared" si="22"/>
        <v>0.80000000000000004</v>
      </c>
      <c r="L14" s="52">
        <f t="shared" si="23"/>
        <v>0.80000000000000004</v>
      </c>
      <c r="M14" s="52">
        <f t="shared" si="23"/>
        <v>0.80000000000000004</v>
      </c>
      <c r="N14" s="52">
        <f t="shared" si="23"/>
        <v>0.80000000000000004</v>
      </c>
      <c r="P14" s="52">
        <f t="shared" si="24"/>
        <v>0.80000000000000004</v>
      </c>
      <c r="Q14" s="52">
        <f t="shared" si="28" ref="Q14:X25">P14</f>
        <v>0.80000000000000004</v>
      </c>
      <c r="R14" s="52">
        <f t="shared" si="28"/>
        <v>0.80000000000000004</v>
      </c>
      <c r="S14" s="52">
        <f t="shared" si="28"/>
        <v>0.80000000000000004</v>
      </c>
      <c r="T14" s="52">
        <f t="shared" si="28"/>
        <v>0.80000000000000004</v>
      </c>
      <c r="U14" s="52">
        <f t="shared" si="28"/>
        <v>0.80000000000000004</v>
      </c>
      <c r="V14" s="52">
        <f t="shared" si="28"/>
        <v>0.80000000000000004</v>
      </c>
      <c r="W14" s="52">
        <f t="shared" si="28"/>
        <v>0.80000000000000004</v>
      </c>
      <c r="X14" s="52">
        <f t="shared" si="28"/>
        <v>0.80000000000000004</v>
      </c>
      <c r="Y14" s="195"/>
      <c r="Z14" s="52">
        <f t="shared" si="26"/>
        <v>0.80000000000000004</v>
      </c>
      <c r="AA14" s="52">
        <f t="shared" si="29" ref="AA14:AH25">Z14</f>
        <v>0.80000000000000004</v>
      </c>
      <c r="AB14" s="52">
        <f t="shared" si="29"/>
        <v>0.80000000000000004</v>
      </c>
      <c r="AC14" s="52">
        <f t="shared" si="29"/>
        <v>0.80000000000000004</v>
      </c>
      <c r="AD14" s="52">
        <f t="shared" si="29"/>
        <v>0.80000000000000004</v>
      </c>
      <c r="AE14" s="52">
        <f t="shared" si="29"/>
        <v>0.80000000000000004</v>
      </c>
      <c r="AF14" s="52">
        <f t="shared" si="29"/>
        <v>0.80000000000000004</v>
      </c>
      <c r="AG14" s="52">
        <f t="shared" si="29"/>
        <v>0.80000000000000004</v>
      </c>
      <c r="AH14" s="52">
        <f t="shared" si="29"/>
        <v>0.80000000000000004</v>
      </c>
      <c r="AI14" s="195"/>
      <c r="AJ14" s="195"/>
      <c r="AK14" s="195"/>
      <c r="AL14" s="195"/>
      <c r="AM14" s="195"/>
      <c r="AN14" s="195"/>
      <c r="AO14" s="195"/>
      <c r="AP14" s="195"/>
      <c r="AQ14" s="195"/>
      <c r="AR14" s="195"/>
      <c r="AS14" s="195"/>
      <c r="AT14" s="195"/>
      <c r="AU14" s="195"/>
      <c r="AV14" s="195"/>
      <c r="AW14" s="195"/>
    </row>
    <row r="15" spans="1:49" ht="15">
      <c r="A15" t="s">
        <v>16</v>
      </c>
      <c r="B15" s="9" t="s">
        <v>397</v>
      </c>
      <c r="C15" s="9" t="s">
        <v>746</v>
      </c>
      <c r="D15" s="9"/>
      <c r="F15" s="42">
        <f t="shared" si="30" ref="F15:F23">F14</f>
        <v>0.80000000000000004</v>
      </c>
      <c r="G15" s="52">
        <f t="shared" si="18"/>
        <v>0.80000000000000004</v>
      </c>
      <c r="H15" s="52">
        <f t="shared" si="19"/>
        <v>0.80000000000000004</v>
      </c>
      <c r="I15" s="52">
        <f t="shared" si="20"/>
        <v>0.80000000000000004</v>
      </c>
      <c r="J15" s="52">
        <f t="shared" si="21"/>
        <v>0.80000000000000004</v>
      </c>
      <c r="K15" s="52">
        <f t="shared" si="22"/>
        <v>0.80000000000000004</v>
      </c>
      <c r="L15" s="52">
        <f t="shared" si="23"/>
        <v>0.80000000000000004</v>
      </c>
      <c r="M15" s="52">
        <f t="shared" si="23"/>
        <v>0.80000000000000004</v>
      </c>
      <c r="N15" s="52">
        <f t="shared" si="23"/>
        <v>0.80000000000000004</v>
      </c>
      <c r="P15" s="52">
        <f t="shared" si="24"/>
        <v>0.80000000000000004</v>
      </c>
      <c r="Q15" s="52">
        <f t="shared" si="28"/>
        <v>0.80000000000000004</v>
      </c>
      <c r="R15" s="52">
        <f t="shared" si="28"/>
        <v>0.80000000000000004</v>
      </c>
      <c r="S15" s="52">
        <f t="shared" si="28"/>
        <v>0.80000000000000004</v>
      </c>
      <c r="T15" s="52">
        <f t="shared" si="28"/>
        <v>0.80000000000000004</v>
      </c>
      <c r="U15" s="52">
        <f t="shared" si="28"/>
        <v>0.80000000000000004</v>
      </c>
      <c r="V15" s="52">
        <f t="shared" si="28"/>
        <v>0.80000000000000004</v>
      </c>
      <c r="W15" s="52">
        <f t="shared" si="28"/>
        <v>0.80000000000000004</v>
      </c>
      <c r="X15" s="52">
        <f t="shared" si="28"/>
        <v>0.80000000000000004</v>
      </c>
      <c r="Y15" s="195"/>
      <c r="Z15" s="52">
        <f t="shared" si="26"/>
        <v>0.80000000000000004</v>
      </c>
      <c r="AA15" s="52">
        <f t="shared" si="29"/>
        <v>0.80000000000000004</v>
      </c>
      <c r="AB15" s="52">
        <f t="shared" si="29"/>
        <v>0.80000000000000004</v>
      </c>
      <c r="AC15" s="52">
        <f t="shared" si="29"/>
        <v>0.80000000000000004</v>
      </c>
      <c r="AD15" s="52">
        <f t="shared" si="29"/>
        <v>0.80000000000000004</v>
      </c>
      <c r="AE15" s="52">
        <f t="shared" si="29"/>
        <v>0.80000000000000004</v>
      </c>
      <c r="AF15" s="52">
        <f t="shared" si="29"/>
        <v>0.80000000000000004</v>
      </c>
      <c r="AG15" s="52">
        <f t="shared" si="29"/>
        <v>0.80000000000000004</v>
      </c>
      <c r="AH15" s="52">
        <f t="shared" si="29"/>
        <v>0.80000000000000004</v>
      </c>
      <c r="AI15" s="195"/>
      <c r="AJ15" s="195"/>
      <c r="AK15" s="195"/>
      <c r="AL15" s="195"/>
      <c r="AM15" s="195"/>
      <c r="AN15" s="195"/>
      <c r="AO15" s="195"/>
      <c r="AP15" s="195"/>
      <c r="AQ15" s="195"/>
      <c r="AR15" s="195"/>
      <c r="AS15" s="195"/>
      <c r="AT15" s="195"/>
      <c r="AU15" s="195"/>
      <c r="AV15" s="195"/>
      <c r="AW15" s="195"/>
    </row>
    <row r="16" spans="1:49" ht="15">
      <c r="A16" t="s">
        <v>16</v>
      </c>
      <c r="B16" s="9" t="s">
        <v>398</v>
      </c>
      <c r="C16" s="9" t="s">
        <v>747</v>
      </c>
      <c r="D16" s="9"/>
      <c r="F16" s="42">
        <f t="shared" si="30"/>
        <v>0.80000000000000004</v>
      </c>
      <c r="G16" s="52">
        <f t="shared" si="18"/>
        <v>0.80000000000000004</v>
      </c>
      <c r="H16" s="52">
        <f t="shared" si="19"/>
        <v>0.80000000000000004</v>
      </c>
      <c r="I16" s="52">
        <f t="shared" si="20"/>
        <v>0.80000000000000004</v>
      </c>
      <c r="J16" s="52">
        <f t="shared" si="21"/>
        <v>0.80000000000000004</v>
      </c>
      <c r="K16" s="52">
        <f t="shared" si="22"/>
        <v>0.80000000000000004</v>
      </c>
      <c r="L16" s="52">
        <f t="shared" si="23"/>
        <v>0.80000000000000004</v>
      </c>
      <c r="M16" s="52">
        <f t="shared" si="23"/>
        <v>0.80000000000000004</v>
      </c>
      <c r="N16" s="52">
        <f t="shared" si="23"/>
        <v>0.80000000000000004</v>
      </c>
      <c r="P16" s="52">
        <f t="shared" si="24"/>
        <v>0.80000000000000004</v>
      </c>
      <c r="Q16" s="52">
        <f t="shared" si="28"/>
        <v>0.80000000000000004</v>
      </c>
      <c r="R16" s="52">
        <f t="shared" si="28"/>
        <v>0.80000000000000004</v>
      </c>
      <c r="S16" s="52">
        <f t="shared" si="28"/>
        <v>0.80000000000000004</v>
      </c>
      <c r="T16" s="52">
        <f t="shared" si="28"/>
        <v>0.80000000000000004</v>
      </c>
      <c r="U16" s="52">
        <f t="shared" si="28"/>
        <v>0.80000000000000004</v>
      </c>
      <c r="V16" s="52">
        <f t="shared" si="28"/>
        <v>0.80000000000000004</v>
      </c>
      <c r="W16" s="52">
        <f t="shared" si="28"/>
        <v>0.80000000000000004</v>
      </c>
      <c r="X16" s="52">
        <f t="shared" si="28"/>
        <v>0.80000000000000004</v>
      </c>
      <c r="Y16" s="195"/>
      <c r="Z16" s="52">
        <f t="shared" si="26"/>
        <v>0.80000000000000004</v>
      </c>
      <c r="AA16" s="52">
        <f t="shared" si="29"/>
        <v>0.80000000000000004</v>
      </c>
      <c r="AB16" s="52">
        <f t="shared" si="29"/>
        <v>0.80000000000000004</v>
      </c>
      <c r="AC16" s="52">
        <f t="shared" si="29"/>
        <v>0.80000000000000004</v>
      </c>
      <c r="AD16" s="52">
        <f t="shared" si="29"/>
        <v>0.80000000000000004</v>
      </c>
      <c r="AE16" s="52">
        <f t="shared" si="29"/>
        <v>0.80000000000000004</v>
      </c>
      <c r="AF16" s="52">
        <f t="shared" si="29"/>
        <v>0.80000000000000004</v>
      </c>
      <c r="AG16" s="52">
        <f t="shared" si="29"/>
        <v>0.80000000000000004</v>
      </c>
      <c r="AH16" s="52">
        <f t="shared" si="29"/>
        <v>0.80000000000000004</v>
      </c>
      <c r="AI16" s="195"/>
      <c r="AJ16" s="195"/>
      <c r="AK16" s="195"/>
      <c r="AL16" s="195"/>
      <c r="AM16" s="195"/>
      <c r="AN16" s="195"/>
      <c r="AO16" s="195"/>
      <c r="AP16" s="195"/>
      <c r="AQ16" s="195"/>
      <c r="AR16" s="195"/>
      <c r="AS16" s="195"/>
      <c r="AT16" s="195"/>
      <c r="AU16" s="195"/>
      <c r="AV16" s="195"/>
      <c r="AW16" s="195"/>
    </row>
    <row r="17" spans="1:49" ht="15">
      <c r="A17" t="s">
        <v>16</v>
      </c>
      <c r="B17" s="9" t="s">
        <v>399</v>
      </c>
      <c r="C17" s="9" t="s">
        <v>748</v>
      </c>
      <c r="D17" s="9"/>
      <c r="F17" s="42">
        <f t="shared" si="30"/>
        <v>0.80000000000000004</v>
      </c>
      <c r="G17" s="52">
        <f t="shared" si="18"/>
        <v>0.80000000000000004</v>
      </c>
      <c r="H17" s="52">
        <f t="shared" si="19"/>
        <v>0.80000000000000004</v>
      </c>
      <c r="I17" s="52">
        <f t="shared" si="20"/>
        <v>0.80000000000000004</v>
      </c>
      <c r="J17" s="52">
        <f t="shared" si="21"/>
        <v>0.80000000000000004</v>
      </c>
      <c r="K17" s="52">
        <f t="shared" si="22"/>
        <v>0.80000000000000004</v>
      </c>
      <c r="L17" s="52">
        <f t="shared" si="23"/>
        <v>0.80000000000000004</v>
      </c>
      <c r="M17" s="52">
        <f t="shared" si="23"/>
        <v>0.80000000000000004</v>
      </c>
      <c r="N17" s="52">
        <f t="shared" si="23"/>
        <v>0.80000000000000004</v>
      </c>
      <c r="P17" s="52">
        <f t="shared" si="24"/>
        <v>0.80000000000000004</v>
      </c>
      <c r="Q17" s="52">
        <f t="shared" si="28"/>
        <v>0.80000000000000004</v>
      </c>
      <c r="R17" s="52">
        <f t="shared" si="28"/>
        <v>0.80000000000000004</v>
      </c>
      <c r="S17" s="52">
        <f t="shared" si="28"/>
        <v>0.80000000000000004</v>
      </c>
      <c r="T17" s="52">
        <f t="shared" si="28"/>
        <v>0.80000000000000004</v>
      </c>
      <c r="U17" s="52">
        <f t="shared" si="28"/>
        <v>0.80000000000000004</v>
      </c>
      <c r="V17" s="52">
        <f t="shared" si="28"/>
        <v>0.80000000000000004</v>
      </c>
      <c r="W17" s="52">
        <f t="shared" si="28"/>
        <v>0.80000000000000004</v>
      </c>
      <c r="X17" s="52">
        <f t="shared" si="28"/>
        <v>0.80000000000000004</v>
      </c>
      <c r="Y17" s="195"/>
      <c r="Z17" s="52">
        <f t="shared" si="26"/>
        <v>0.80000000000000004</v>
      </c>
      <c r="AA17" s="52">
        <f t="shared" si="29"/>
        <v>0.80000000000000004</v>
      </c>
      <c r="AB17" s="52">
        <f t="shared" si="29"/>
        <v>0.80000000000000004</v>
      </c>
      <c r="AC17" s="52">
        <f t="shared" si="29"/>
        <v>0.80000000000000004</v>
      </c>
      <c r="AD17" s="52">
        <f t="shared" si="29"/>
        <v>0.80000000000000004</v>
      </c>
      <c r="AE17" s="52">
        <f t="shared" si="29"/>
        <v>0.80000000000000004</v>
      </c>
      <c r="AF17" s="52">
        <f t="shared" si="29"/>
        <v>0.80000000000000004</v>
      </c>
      <c r="AG17" s="52">
        <f t="shared" si="29"/>
        <v>0.80000000000000004</v>
      </c>
      <c r="AH17" s="52">
        <f t="shared" si="29"/>
        <v>0.80000000000000004</v>
      </c>
      <c r="AI17" s="195"/>
      <c r="AJ17" s="195"/>
      <c r="AK17" s="195"/>
      <c r="AL17" s="195"/>
      <c r="AM17" s="195"/>
      <c r="AN17" s="195"/>
      <c r="AO17" s="195"/>
      <c r="AP17" s="195"/>
      <c r="AQ17" s="195"/>
      <c r="AR17" s="195"/>
      <c r="AS17" s="195"/>
      <c r="AT17" s="195"/>
      <c r="AU17" s="195"/>
      <c r="AV17" s="195"/>
      <c r="AW17" s="195"/>
    </row>
    <row r="18" spans="1:49" ht="15">
      <c r="A18" t="s">
        <v>16</v>
      </c>
      <c r="B18" s="9" t="s">
        <v>400</v>
      </c>
      <c r="C18" s="9" t="s">
        <v>749</v>
      </c>
      <c r="D18" s="9"/>
      <c r="F18" s="42">
        <f t="shared" si="30"/>
        <v>0.80000000000000004</v>
      </c>
      <c r="G18" s="52">
        <f t="shared" si="18"/>
        <v>0.80000000000000004</v>
      </c>
      <c r="H18" s="52">
        <f t="shared" si="19"/>
        <v>0.80000000000000004</v>
      </c>
      <c r="I18" s="52">
        <f t="shared" si="20"/>
        <v>0.80000000000000004</v>
      </c>
      <c r="J18" s="52">
        <f t="shared" si="21"/>
        <v>0.80000000000000004</v>
      </c>
      <c r="K18" s="52">
        <f t="shared" si="22"/>
        <v>0.80000000000000004</v>
      </c>
      <c r="L18" s="52">
        <f t="shared" si="23"/>
        <v>0.80000000000000004</v>
      </c>
      <c r="M18" s="52">
        <f t="shared" si="23"/>
        <v>0.80000000000000004</v>
      </c>
      <c r="N18" s="52">
        <f t="shared" si="23"/>
        <v>0.80000000000000004</v>
      </c>
      <c r="P18" s="52">
        <f t="shared" si="24"/>
        <v>0.80000000000000004</v>
      </c>
      <c r="Q18" s="52">
        <f t="shared" si="28"/>
        <v>0.80000000000000004</v>
      </c>
      <c r="R18" s="52">
        <f t="shared" si="28"/>
        <v>0.80000000000000004</v>
      </c>
      <c r="S18" s="52">
        <f t="shared" si="28"/>
        <v>0.80000000000000004</v>
      </c>
      <c r="T18" s="52">
        <f t="shared" si="28"/>
        <v>0.80000000000000004</v>
      </c>
      <c r="U18" s="52">
        <f t="shared" si="28"/>
        <v>0.80000000000000004</v>
      </c>
      <c r="V18" s="52">
        <f t="shared" si="28"/>
        <v>0.80000000000000004</v>
      </c>
      <c r="W18" s="52">
        <f t="shared" si="28"/>
        <v>0.80000000000000004</v>
      </c>
      <c r="X18" s="52">
        <f t="shared" si="28"/>
        <v>0.80000000000000004</v>
      </c>
      <c r="Y18" s="195"/>
      <c r="Z18" s="52">
        <f t="shared" si="26"/>
        <v>0.80000000000000004</v>
      </c>
      <c r="AA18" s="52">
        <f t="shared" si="29"/>
        <v>0.80000000000000004</v>
      </c>
      <c r="AB18" s="52">
        <f t="shared" si="29"/>
        <v>0.80000000000000004</v>
      </c>
      <c r="AC18" s="52">
        <f t="shared" si="29"/>
        <v>0.80000000000000004</v>
      </c>
      <c r="AD18" s="52">
        <f t="shared" si="29"/>
        <v>0.80000000000000004</v>
      </c>
      <c r="AE18" s="52">
        <f t="shared" si="29"/>
        <v>0.80000000000000004</v>
      </c>
      <c r="AF18" s="52">
        <f t="shared" si="29"/>
        <v>0.80000000000000004</v>
      </c>
      <c r="AG18" s="52">
        <f t="shared" si="29"/>
        <v>0.80000000000000004</v>
      </c>
      <c r="AH18" s="52">
        <f t="shared" si="29"/>
        <v>0.80000000000000004</v>
      </c>
      <c r="AI18" s="195"/>
      <c r="AJ18" s="195"/>
      <c r="AK18" s="195"/>
      <c r="AL18" s="195"/>
      <c r="AM18" s="195"/>
      <c r="AN18" s="195"/>
      <c r="AO18" s="195"/>
      <c r="AP18" s="195"/>
      <c r="AQ18" s="195"/>
      <c r="AR18" s="195"/>
      <c r="AS18" s="195"/>
      <c r="AT18" s="195"/>
      <c r="AU18" s="195"/>
      <c r="AV18" s="195"/>
      <c r="AW18" s="195"/>
    </row>
    <row r="19" spans="1:49" ht="15">
      <c r="A19" t="s">
        <v>16</v>
      </c>
      <c r="B19" s="9" t="s">
        <v>401</v>
      </c>
      <c r="C19" s="9" t="s">
        <v>750</v>
      </c>
      <c r="D19" s="9"/>
      <c r="F19" s="42">
        <f t="shared" si="30"/>
        <v>0.80000000000000004</v>
      </c>
      <c r="G19" s="52">
        <f t="shared" si="18"/>
        <v>0.80000000000000004</v>
      </c>
      <c r="H19" s="52">
        <f t="shared" si="19"/>
        <v>0.80000000000000004</v>
      </c>
      <c r="I19" s="52">
        <f t="shared" si="20"/>
        <v>0.80000000000000004</v>
      </c>
      <c r="J19" s="52">
        <f t="shared" si="21"/>
        <v>0.80000000000000004</v>
      </c>
      <c r="K19" s="52">
        <f t="shared" si="22"/>
        <v>0.80000000000000004</v>
      </c>
      <c r="L19" s="52">
        <f t="shared" si="23"/>
        <v>0.80000000000000004</v>
      </c>
      <c r="M19" s="52">
        <f t="shared" si="23"/>
        <v>0.80000000000000004</v>
      </c>
      <c r="N19" s="52">
        <f t="shared" si="23"/>
        <v>0.80000000000000004</v>
      </c>
      <c r="P19" s="52">
        <f t="shared" si="24"/>
        <v>0.80000000000000004</v>
      </c>
      <c r="Q19" s="52">
        <f t="shared" si="28"/>
        <v>0.80000000000000004</v>
      </c>
      <c r="R19" s="52">
        <f t="shared" si="28"/>
        <v>0.80000000000000004</v>
      </c>
      <c r="S19" s="52">
        <f t="shared" si="28"/>
        <v>0.80000000000000004</v>
      </c>
      <c r="T19" s="52">
        <f t="shared" si="28"/>
        <v>0.80000000000000004</v>
      </c>
      <c r="U19" s="52">
        <f t="shared" si="28"/>
        <v>0.80000000000000004</v>
      </c>
      <c r="V19" s="52">
        <f t="shared" si="28"/>
        <v>0.80000000000000004</v>
      </c>
      <c r="W19" s="52">
        <f t="shared" si="28"/>
        <v>0.80000000000000004</v>
      </c>
      <c r="X19" s="52">
        <f t="shared" si="28"/>
        <v>0.80000000000000004</v>
      </c>
      <c r="Y19" s="195"/>
      <c r="Z19" s="52">
        <f t="shared" si="26"/>
        <v>0.80000000000000004</v>
      </c>
      <c r="AA19" s="52">
        <f t="shared" si="29"/>
        <v>0.80000000000000004</v>
      </c>
      <c r="AB19" s="52">
        <f t="shared" si="29"/>
        <v>0.80000000000000004</v>
      </c>
      <c r="AC19" s="52">
        <f t="shared" si="29"/>
        <v>0.80000000000000004</v>
      </c>
      <c r="AD19" s="52">
        <f t="shared" si="29"/>
        <v>0.80000000000000004</v>
      </c>
      <c r="AE19" s="52">
        <f t="shared" si="29"/>
        <v>0.80000000000000004</v>
      </c>
      <c r="AF19" s="52">
        <f t="shared" si="29"/>
        <v>0.80000000000000004</v>
      </c>
      <c r="AG19" s="52">
        <f t="shared" si="29"/>
        <v>0.80000000000000004</v>
      </c>
      <c r="AH19" s="52">
        <f t="shared" si="29"/>
        <v>0.80000000000000004</v>
      </c>
      <c r="AI19" s="195"/>
      <c r="AJ19" s="195"/>
      <c r="AK19" s="195"/>
      <c r="AL19" s="195"/>
      <c r="AM19" s="195"/>
      <c r="AN19" s="195"/>
      <c r="AO19" s="195"/>
      <c r="AP19" s="195"/>
      <c r="AQ19" s="195"/>
      <c r="AR19" s="195"/>
      <c r="AS19" s="195"/>
      <c r="AT19" s="195"/>
      <c r="AU19" s="195"/>
      <c r="AV19" s="195"/>
      <c r="AW19" s="195"/>
    </row>
    <row r="20" spans="1:49" ht="15">
      <c r="A20" t="s">
        <v>16</v>
      </c>
      <c r="B20" s="9" t="s">
        <v>402</v>
      </c>
      <c r="C20" s="9" t="s">
        <v>751</v>
      </c>
      <c r="D20" s="9"/>
      <c r="F20" s="42">
        <f t="shared" si="30"/>
        <v>0.80000000000000004</v>
      </c>
      <c r="G20" s="52">
        <f t="shared" si="18"/>
        <v>0.80000000000000004</v>
      </c>
      <c r="H20" s="52">
        <f t="shared" si="19"/>
        <v>0.80000000000000004</v>
      </c>
      <c r="I20" s="52">
        <f t="shared" si="20"/>
        <v>0.80000000000000004</v>
      </c>
      <c r="J20" s="52">
        <f t="shared" si="21"/>
        <v>0.80000000000000004</v>
      </c>
      <c r="K20" s="52">
        <f t="shared" si="22"/>
        <v>0.80000000000000004</v>
      </c>
      <c r="L20" s="52">
        <f t="shared" si="23"/>
        <v>0.80000000000000004</v>
      </c>
      <c r="M20" s="52">
        <f t="shared" si="23"/>
        <v>0.80000000000000004</v>
      </c>
      <c r="N20" s="52">
        <f t="shared" si="23"/>
        <v>0.80000000000000004</v>
      </c>
      <c r="P20" s="52">
        <f t="shared" si="24"/>
        <v>0.80000000000000004</v>
      </c>
      <c r="Q20" s="52">
        <f t="shared" si="28"/>
        <v>0.80000000000000004</v>
      </c>
      <c r="R20" s="52">
        <f t="shared" si="28"/>
        <v>0.80000000000000004</v>
      </c>
      <c r="S20" s="52">
        <f t="shared" si="28"/>
        <v>0.80000000000000004</v>
      </c>
      <c r="T20" s="52">
        <f t="shared" si="28"/>
        <v>0.80000000000000004</v>
      </c>
      <c r="U20" s="52">
        <f t="shared" si="28"/>
        <v>0.80000000000000004</v>
      </c>
      <c r="V20" s="52">
        <f t="shared" si="28"/>
        <v>0.80000000000000004</v>
      </c>
      <c r="W20" s="52">
        <f t="shared" si="28"/>
        <v>0.80000000000000004</v>
      </c>
      <c r="X20" s="52">
        <f t="shared" si="28"/>
        <v>0.80000000000000004</v>
      </c>
      <c r="Y20" s="195"/>
      <c r="Z20" s="52">
        <f t="shared" si="26"/>
        <v>0.80000000000000004</v>
      </c>
      <c r="AA20" s="52">
        <f t="shared" si="29"/>
        <v>0.80000000000000004</v>
      </c>
      <c r="AB20" s="52">
        <f t="shared" si="29"/>
        <v>0.80000000000000004</v>
      </c>
      <c r="AC20" s="52">
        <f t="shared" si="29"/>
        <v>0.80000000000000004</v>
      </c>
      <c r="AD20" s="52">
        <f t="shared" si="29"/>
        <v>0.80000000000000004</v>
      </c>
      <c r="AE20" s="52">
        <f t="shared" si="29"/>
        <v>0.80000000000000004</v>
      </c>
      <c r="AF20" s="52">
        <f t="shared" si="29"/>
        <v>0.80000000000000004</v>
      </c>
      <c r="AG20" s="52">
        <f t="shared" si="29"/>
        <v>0.80000000000000004</v>
      </c>
      <c r="AH20" s="52">
        <f t="shared" si="29"/>
        <v>0.80000000000000004</v>
      </c>
      <c r="AI20" s="195"/>
      <c r="AJ20" s="195"/>
      <c r="AK20" s="195"/>
      <c r="AL20" s="195"/>
      <c r="AM20" s="195"/>
      <c r="AN20" s="195"/>
      <c r="AO20" s="195"/>
      <c r="AP20" s="195"/>
      <c r="AQ20" s="195"/>
      <c r="AR20" s="195"/>
      <c r="AS20" s="195"/>
      <c r="AT20" s="195"/>
      <c r="AU20" s="195"/>
      <c r="AV20" s="195"/>
      <c r="AW20" s="195"/>
    </row>
    <row r="21" spans="1:49" ht="15">
      <c r="A21" t="s">
        <v>16</v>
      </c>
      <c r="B21" s="9" t="s">
        <v>403</v>
      </c>
      <c r="C21" s="9" t="s">
        <v>752</v>
      </c>
      <c r="D21" s="9"/>
      <c r="F21" s="42">
        <f t="shared" si="30"/>
        <v>0.80000000000000004</v>
      </c>
      <c r="G21" s="52">
        <f t="shared" si="18"/>
        <v>0.80000000000000004</v>
      </c>
      <c r="H21" s="52">
        <f t="shared" si="19"/>
        <v>0.80000000000000004</v>
      </c>
      <c r="I21" s="52">
        <f t="shared" si="20"/>
        <v>0.80000000000000004</v>
      </c>
      <c r="J21" s="52">
        <f t="shared" si="21"/>
        <v>0.80000000000000004</v>
      </c>
      <c r="K21" s="52">
        <f t="shared" si="22"/>
        <v>0.80000000000000004</v>
      </c>
      <c r="L21" s="52">
        <f t="shared" si="23"/>
        <v>0.80000000000000004</v>
      </c>
      <c r="M21" s="52">
        <f t="shared" si="23"/>
        <v>0.80000000000000004</v>
      </c>
      <c r="N21" s="52">
        <f t="shared" si="23"/>
        <v>0.80000000000000004</v>
      </c>
      <c r="P21" s="52">
        <f t="shared" si="24"/>
        <v>0.80000000000000004</v>
      </c>
      <c r="Q21" s="52">
        <f t="shared" si="28"/>
        <v>0.80000000000000004</v>
      </c>
      <c r="R21" s="52">
        <f t="shared" si="28"/>
        <v>0.80000000000000004</v>
      </c>
      <c r="S21" s="52">
        <f t="shared" si="28"/>
        <v>0.80000000000000004</v>
      </c>
      <c r="T21" s="52">
        <f t="shared" si="28"/>
        <v>0.80000000000000004</v>
      </c>
      <c r="U21" s="52">
        <f t="shared" si="28"/>
        <v>0.80000000000000004</v>
      </c>
      <c r="V21" s="52">
        <f t="shared" si="28"/>
        <v>0.80000000000000004</v>
      </c>
      <c r="W21" s="52">
        <f t="shared" si="28"/>
        <v>0.80000000000000004</v>
      </c>
      <c r="X21" s="52">
        <f t="shared" si="28"/>
        <v>0.80000000000000004</v>
      </c>
      <c r="Y21" s="195"/>
      <c r="Z21" s="52">
        <f t="shared" si="26"/>
        <v>0.80000000000000004</v>
      </c>
      <c r="AA21" s="52">
        <f t="shared" si="29"/>
        <v>0.80000000000000004</v>
      </c>
      <c r="AB21" s="52">
        <f t="shared" si="29"/>
        <v>0.80000000000000004</v>
      </c>
      <c r="AC21" s="52">
        <f t="shared" si="29"/>
        <v>0.80000000000000004</v>
      </c>
      <c r="AD21" s="52">
        <f t="shared" si="29"/>
        <v>0.80000000000000004</v>
      </c>
      <c r="AE21" s="52">
        <f t="shared" si="29"/>
        <v>0.80000000000000004</v>
      </c>
      <c r="AF21" s="52">
        <f t="shared" si="29"/>
        <v>0.80000000000000004</v>
      </c>
      <c r="AG21" s="52">
        <f t="shared" si="29"/>
        <v>0.80000000000000004</v>
      </c>
      <c r="AH21" s="52">
        <f t="shared" si="29"/>
        <v>0.80000000000000004</v>
      </c>
      <c r="AI21" s="195"/>
      <c r="AJ21" s="195"/>
      <c r="AK21" s="195"/>
      <c r="AL21" s="195"/>
      <c r="AM21" s="195"/>
      <c r="AN21" s="195"/>
      <c r="AO21" s="195"/>
      <c r="AP21" s="195"/>
      <c r="AQ21" s="195"/>
      <c r="AR21" s="195"/>
      <c r="AS21" s="195"/>
      <c r="AT21" s="195"/>
      <c r="AU21" s="195"/>
      <c r="AV21" s="195"/>
      <c r="AW21" s="195"/>
    </row>
    <row r="22" spans="1:49" ht="15">
      <c r="A22" t="s">
        <v>16</v>
      </c>
      <c r="B22" s="9" t="s">
        <v>404</v>
      </c>
      <c r="C22" s="9" t="s">
        <v>753</v>
      </c>
      <c r="D22" s="9"/>
      <c r="F22" s="42">
        <f t="shared" si="30"/>
        <v>0.80000000000000004</v>
      </c>
      <c r="G22" s="52">
        <f t="shared" si="18"/>
        <v>0.80000000000000004</v>
      </c>
      <c r="H22" s="52">
        <f t="shared" si="19"/>
        <v>0.80000000000000004</v>
      </c>
      <c r="I22" s="52">
        <f t="shared" si="20"/>
        <v>0.80000000000000004</v>
      </c>
      <c r="J22" s="52">
        <f t="shared" si="21"/>
        <v>0.80000000000000004</v>
      </c>
      <c r="K22" s="52">
        <f t="shared" si="22"/>
        <v>0.80000000000000004</v>
      </c>
      <c r="L22" s="52">
        <f t="shared" si="23"/>
        <v>0.80000000000000004</v>
      </c>
      <c r="M22" s="52">
        <f t="shared" si="23"/>
        <v>0.80000000000000004</v>
      </c>
      <c r="N22" s="52">
        <f t="shared" si="23"/>
        <v>0.80000000000000004</v>
      </c>
      <c r="P22" s="52">
        <f t="shared" si="24"/>
        <v>0.80000000000000004</v>
      </c>
      <c r="Q22" s="52">
        <f t="shared" si="28"/>
        <v>0.80000000000000004</v>
      </c>
      <c r="R22" s="52">
        <f t="shared" si="28"/>
        <v>0.80000000000000004</v>
      </c>
      <c r="S22" s="52">
        <f t="shared" si="28"/>
        <v>0.80000000000000004</v>
      </c>
      <c r="T22" s="52">
        <f t="shared" si="28"/>
        <v>0.80000000000000004</v>
      </c>
      <c r="U22" s="52">
        <f t="shared" si="28"/>
        <v>0.80000000000000004</v>
      </c>
      <c r="V22" s="52">
        <f t="shared" si="28"/>
        <v>0.80000000000000004</v>
      </c>
      <c r="W22" s="52">
        <f t="shared" si="28"/>
        <v>0.80000000000000004</v>
      </c>
      <c r="X22" s="52">
        <f t="shared" si="28"/>
        <v>0.80000000000000004</v>
      </c>
      <c r="Y22" s="195"/>
      <c r="Z22" s="52">
        <f t="shared" si="26"/>
        <v>0.80000000000000004</v>
      </c>
      <c r="AA22" s="52">
        <f t="shared" si="29"/>
        <v>0.80000000000000004</v>
      </c>
      <c r="AB22" s="52">
        <f t="shared" si="29"/>
        <v>0.80000000000000004</v>
      </c>
      <c r="AC22" s="52">
        <f t="shared" si="29"/>
        <v>0.80000000000000004</v>
      </c>
      <c r="AD22" s="52">
        <f t="shared" si="29"/>
        <v>0.80000000000000004</v>
      </c>
      <c r="AE22" s="52">
        <f t="shared" si="29"/>
        <v>0.80000000000000004</v>
      </c>
      <c r="AF22" s="52">
        <f t="shared" si="29"/>
        <v>0.80000000000000004</v>
      </c>
      <c r="AG22" s="52">
        <f t="shared" si="29"/>
        <v>0.80000000000000004</v>
      </c>
      <c r="AH22" s="52">
        <f t="shared" si="29"/>
        <v>0.80000000000000004</v>
      </c>
      <c r="AI22" s="195"/>
      <c r="AJ22" s="195"/>
      <c r="AK22" s="195"/>
      <c r="AL22" s="195"/>
      <c r="AM22" s="195"/>
      <c r="AN22" s="195"/>
      <c r="AO22" s="195"/>
      <c r="AP22" s="195"/>
      <c r="AQ22" s="195"/>
      <c r="AR22" s="195"/>
      <c r="AS22" s="195"/>
      <c r="AT22" s="195"/>
      <c r="AU22" s="195"/>
      <c r="AV22" s="195"/>
      <c r="AW22" s="195"/>
    </row>
    <row r="23" spans="1:49" ht="15">
      <c r="A23" t="s">
        <v>16</v>
      </c>
      <c r="B23" s="9" t="s">
        <v>366</v>
      </c>
      <c r="C23" s="9" t="s">
        <v>754</v>
      </c>
      <c r="D23" s="9"/>
      <c r="F23" s="42">
        <f t="shared" si="30"/>
        <v>0.80000000000000004</v>
      </c>
      <c r="G23" s="52">
        <f t="shared" si="18"/>
        <v>0.80000000000000004</v>
      </c>
      <c r="H23" s="52">
        <f t="shared" si="19"/>
        <v>0.80000000000000004</v>
      </c>
      <c r="I23" s="52">
        <f t="shared" si="20"/>
        <v>0.80000000000000004</v>
      </c>
      <c r="J23" s="52">
        <f t="shared" si="21"/>
        <v>0.80000000000000004</v>
      </c>
      <c r="K23" s="52">
        <f t="shared" si="22"/>
        <v>0.80000000000000004</v>
      </c>
      <c r="L23" s="52">
        <f t="shared" si="23"/>
        <v>0.80000000000000004</v>
      </c>
      <c r="M23" s="52">
        <f t="shared" si="23"/>
        <v>0.80000000000000004</v>
      </c>
      <c r="N23" s="52">
        <f t="shared" si="23"/>
        <v>0.80000000000000004</v>
      </c>
      <c r="P23" s="52">
        <f t="shared" si="24"/>
        <v>0.80000000000000004</v>
      </c>
      <c r="Q23" s="52">
        <f t="shared" si="28"/>
        <v>0.80000000000000004</v>
      </c>
      <c r="R23" s="52">
        <f t="shared" si="28"/>
        <v>0.80000000000000004</v>
      </c>
      <c r="S23" s="52">
        <f t="shared" si="28"/>
        <v>0.80000000000000004</v>
      </c>
      <c r="T23" s="52">
        <f t="shared" si="28"/>
        <v>0.80000000000000004</v>
      </c>
      <c r="U23" s="52">
        <f t="shared" si="28"/>
        <v>0.80000000000000004</v>
      </c>
      <c r="V23" s="52">
        <f t="shared" si="28"/>
        <v>0.80000000000000004</v>
      </c>
      <c r="W23" s="52">
        <f t="shared" si="28"/>
        <v>0.80000000000000004</v>
      </c>
      <c r="X23" s="52">
        <f t="shared" si="28"/>
        <v>0.80000000000000004</v>
      </c>
      <c r="Y23" s="195"/>
      <c r="Z23" s="52">
        <f t="shared" si="26"/>
        <v>0.80000000000000004</v>
      </c>
      <c r="AA23" s="52">
        <f t="shared" si="29"/>
        <v>0.80000000000000004</v>
      </c>
      <c r="AB23" s="52">
        <f t="shared" si="29"/>
        <v>0.80000000000000004</v>
      </c>
      <c r="AC23" s="52">
        <f t="shared" si="29"/>
        <v>0.80000000000000004</v>
      </c>
      <c r="AD23" s="52">
        <f t="shared" si="29"/>
        <v>0.80000000000000004</v>
      </c>
      <c r="AE23" s="52">
        <f t="shared" si="29"/>
        <v>0.80000000000000004</v>
      </c>
      <c r="AF23" s="52">
        <f t="shared" si="29"/>
        <v>0.80000000000000004</v>
      </c>
      <c r="AG23" s="52">
        <f t="shared" si="29"/>
        <v>0.80000000000000004</v>
      </c>
      <c r="AH23" s="52">
        <f t="shared" si="29"/>
        <v>0.80000000000000004</v>
      </c>
      <c r="AI23" s="195"/>
      <c r="AJ23" s="195"/>
      <c r="AK23" s="195"/>
      <c r="AL23" s="195"/>
      <c r="AM23" s="195"/>
      <c r="AN23" s="195"/>
      <c r="AO23" s="195"/>
      <c r="AP23" s="195"/>
      <c r="AQ23" s="195"/>
      <c r="AR23" s="195"/>
      <c r="AS23" s="195"/>
      <c r="AT23" s="195"/>
      <c r="AU23" s="195"/>
      <c r="AV23" s="195"/>
      <c r="AW23" s="195"/>
    </row>
    <row r="24" spans="1:49" ht="15">
      <c r="A24" t="s">
        <v>16</v>
      </c>
      <c r="B24" s="9" t="s">
        <v>368</v>
      </c>
      <c r="C24" s="9" t="s">
        <v>755</v>
      </c>
      <c r="F24" s="289">
        <v>0</v>
      </c>
      <c r="G24" s="289">
        <v>0</v>
      </c>
      <c r="H24" s="289">
        <v>0</v>
      </c>
      <c r="I24" s="289">
        <v>0</v>
      </c>
      <c r="J24" s="289">
        <v>0.20</v>
      </c>
      <c r="K24" s="52">
        <f t="shared" si="22"/>
        <v>0.80000000000000004</v>
      </c>
      <c r="L24" s="52">
        <f t="shared" si="23"/>
        <v>0.80000000000000004</v>
      </c>
      <c r="M24" s="52">
        <f t="shared" si="23"/>
        <v>0.80000000000000004</v>
      </c>
      <c r="N24" s="52">
        <f t="shared" si="23"/>
        <v>0.80000000000000004</v>
      </c>
      <c r="P24" s="52">
        <f>F24</f>
        <v>0</v>
      </c>
      <c r="Q24" s="52">
        <f t="shared" si="31" ref="Q24:T24">G24</f>
        <v>0</v>
      </c>
      <c r="R24" s="52">
        <f t="shared" si="31"/>
        <v>0</v>
      </c>
      <c r="S24" s="52">
        <f t="shared" si="31"/>
        <v>0</v>
      </c>
      <c r="T24" s="52">
        <f t="shared" si="31"/>
        <v>0.20000000000000001</v>
      </c>
      <c r="U24" s="52">
        <v>0.80</v>
      </c>
      <c r="V24" s="52">
        <f t="shared" si="28"/>
        <v>0.80000000000000004</v>
      </c>
      <c r="W24" s="52">
        <f t="shared" si="28"/>
        <v>0.80000000000000004</v>
      </c>
      <c r="X24" s="52">
        <f t="shared" si="28"/>
        <v>0.80000000000000004</v>
      </c>
      <c r="Y24" s="195"/>
      <c r="Z24" s="52">
        <f>F24</f>
        <v>0</v>
      </c>
      <c r="AA24" s="52">
        <f t="shared" si="32" ref="AA24:AD24">G24</f>
        <v>0</v>
      </c>
      <c r="AB24" s="52">
        <f t="shared" si="32"/>
        <v>0</v>
      </c>
      <c r="AC24" s="52">
        <f t="shared" si="32"/>
        <v>0</v>
      </c>
      <c r="AD24" s="52">
        <f t="shared" si="32"/>
        <v>0.20000000000000001</v>
      </c>
      <c r="AE24" s="52">
        <v>0.80</v>
      </c>
      <c r="AF24" s="52">
        <f t="shared" si="29"/>
        <v>0.80000000000000004</v>
      </c>
      <c r="AG24" s="52">
        <f t="shared" si="29"/>
        <v>0.80000000000000004</v>
      </c>
      <c r="AH24" s="52">
        <f t="shared" si="29"/>
        <v>0.80000000000000004</v>
      </c>
      <c r="AI24" s="195"/>
      <c r="AJ24" s="195"/>
      <c r="AK24" s="195"/>
      <c r="AL24" s="195"/>
      <c r="AM24" s="195"/>
      <c r="AN24" s="195"/>
      <c r="AO24" s="195"/>
      <c r="AP24" s="195"/>
      <c r="AQ24" s="195"/>
      <c r="AR24" s="195"/>
      <c r="AS24" s="195"/>
      <c r="AT24" s="195"/>
      <c r="AU24" s="195"/>
      <c r="AV24" s="195"/>
      <c r="AW24" s="195"/>
    </row>
    <row r="25" spans="1:49" ht="15">
      <c r="A25" t="s">
        <v>16</v>
      </c>
      <c r="B25" s="9" t="s">
        <v>367</v>
      </c>
      <c r="C25" s="9" t="s">
        <v>756</v>
      </c>
      <c r="F25" s="42">
        <v>0.80</v>
      </c>
      <c r="G25" s="52">
        <f t="shared" si="18"/>
        <v>0.80000000000000004</v>
      </c>
      <c r="H25" s="52">
        <f t="shared" si="19"/>
        <v>0.80000000000000004</v>
      </c>
      <c r="I25" s="289">
        <v>0.40</v>
      </c>
      <c r="J25" s="289">
        <v>0.40</v>
      </c>
      <c r="K25" s="52">
        <f t="shared" si="22"/>
        <v>0.80000000000000004</v>
      </c>
      <c r="L25" s="52">
        <f t="shared" si="23"/>
        <v>0.80000000000000004</v>
      </c>
      <c r="M25" s="52">
        <f t="shared" si="23"/>
        <v>0.80000000000000004</v>
      </c>
      <c r="N25" s="52">
        <f t="shared" si="23"/>
        <v>0.80000000000000004</v>
      </c>
      <c r="P25" s="52">
        <f t="shared" si="24"/>
        <v>0.80000000000000004</v>
      </c>
      <c r="Q25" s="52">
        <f t="shared" si="28"/>
        <v>0.80000000000000004</v>
      </c>
      <c r="R25" s="52">
        <f t="shared" si="28"/>
        <v>0.80000000000000004</v>
      </c>
      <c r="S25" s="52">
        <f t="shared" si="28"/>
        <v>0.80000000000000004</v>
      </c>
      <c r="T25" s="52">
        <f t="shared" si="28"/>
        <v>0.80000000000000004</v>
      </c>
      <c r="U25" s="52">
        <f t="shared" si="28"/>
        <v>0.80000000000000004</v>
      </c>
      <c r="V25" s="52">
        <f t="shared" si="28"/>
        <v>0.80000000000000004</v>
      </c>
      <c r="W25" s="52">
        <f t="shared" si="28"/>
        <v>0.80000000000000004</v>
      </c>
      <c r="X25" s="52">
        <f t="shared" si="28"/>
        <v>0.80000000000000004</v>
      </c>
      <c r="Y25" s="195"/>
      <c r="Z25" s="52">
        <f t="shared" si="26"/>
        <v>0.80000000000000004</v>
      </c>
      <c r="AA25" s="52">
        <f t="shared" si="29"/>
        <v>0.80000000000000004</v>
      </c>
      <c r="AB25" s="52">
        <f t="shared" si="29"/>
        <v>0.80000000000000004</v>
      </c>
      <c r="AC25" s="52">
        <f t="shared" si="29"/>
        <v>0.80000000000000004</v>
      </c>
      <c r="AD25" s="52">
        <f t="shared" si="29"/>
        <v>0.80000000000000004</v>
      </c>
      <c r="AE25" s="52">
        <f t="shared" si="29"/>
        <v>0.80000000000000004</v>
      </c>
      <c r="AF25" s="52">
        <f t="shared" si="29"/>
        <v>0.80000000000000004</v>
      </c>
      <c r="AG25" s="52">
        <f t="shared" si="29"/>
        <v>0.80000000000000004</v>
      </c>
      <c r="AH25" s="52">
        <f t="shared" si="29"/>
        <v>0.80000000000000004</v>
      </c>
      <c r="AI25" s="195"/>
      <c r="AJ25" s="195"/>
      <c r="AK25" s="195"/>
      <c r="AL25" s="195"/>
      <c r="AM25" s="195"/>
      <c r="AN25" s="195"/>
      <c r="AO25" s="195"/>
      <c r="AP25" s="195"/>
      <c r="AQ25" s="195"/>
      <c r="AR25" s="195"/>
      <c r="AS25" s="195"/>
      <c r="AT25" s="195"/>
      <c r="AU25" s="195"/>
      <c r="AV25" s="195"/>
      <c r="AW25" s="195"/>
    </row>
    <row r="26" spans="1:49" ht="15.75" thickBot="1">
      <c r="A26" t="s">
        <v>16</v>
      </c>
      <c r="B26" s="9"/>
      <c r="C26" s="9"/>
      <c r="P26" s="9"/>
      <c r="R26" s="9"/>
      <c r="T26" s="9"/>
      <c r="U26" s="9"/>
      <c r="V26" s="9"/>
      <c r="W26" s="9"/>
      <c r="X26" s="9"/>
      <c r="Y26" s="9"/>
      <c r="Z26" s="9"/>
      <c r="AA26" s="9"/>
      <c r="AB26" s="9"/>
      <c r="AD26" s="216" t="s">
        <v>781</v>
      </c>
      <c r="AE26" s="9"/>
      <c r="AF26" s="9"/>
      <c r="AG26" s="9"/>
      <c r="AH26" s="9"/>
      <c r="AI26" s="9"/>
      <c r="AJ26" s="9"/>
      <c r="AK26" s="9"/>
      <c r="AL26" s="9"/>
      <c r="AM26" s="9"/>
      <c r="AN26" s="9"/>
      <c r="AO26" s="9"/>
      <c r="AP26" s="9"/>
      <c r="AQ26" s="9"/>
      <c r="AR26" s="9"/>
      <c r="AS26" s="9"/>
      <c r="AT26" s="9"/>
      <c r="AU26" s="9"/>
      <c r="AV26" s="9"/>
      <c r="AW26" s="9"/>
    </row>
    <row r="27" spans="1:30" ht="15.75" thickBot="1">
      <c r="A27" t="s">
        <v>16</v>
      </c>
      <c r="B27" s="15" t="s">
        <v>141</v>
      </c>
      <c r="C27" s="15"/>
      <c r="AD27" s="163">
        <v>0.95</v>
      </c>
    </row>
    <row r="28" spans="1:49" ht="15">
      <c r="A28" t="s">
        <v>16</v>
      </c>
      <c r="B28" s="9" t="s">
        <v>397</v>
      </c>
      <c r="C28" s="9" t="s">
        <v>746</v>
      </c>
      <c r="D28" t="s">
        <v>39</v>
      </c>
      <c r="F28" s="196">
        <f>F51/F$60</f>
        <v>0.011310877688817864</v>
      </c>
      <c r="G28" s="53">
        <f t="shared" si="33" ref="G28:G35">F28</f>
        <v>0.011310877688817864</v>
      </c>
      <c r="H28" s="53">
        <f t="shared" si="34" ref="H28:H35">G28</f>
        <v>0.011310877688817864</v>
      </c>
      <c r="I28" s="53">
        <f t="shared" si="35" ref="I28:I35">H28</f>
        <v>0.011310877688817864</v>
      </c>
      <c r="J28" s="53">
        <f t="shared" si="36" ref="J28:N35">IF($D$4,AD28,T28)</f>
        <v>0.011310877688817864</v>
      </c>
      <c r="K28" s="53">
        <f t="shared" si="36"/>
        <v>0.011310877688817864</v>
      </c>
      <c r="L28" s="53">
        <f t="shared" si="36"/>
        <v>0.011310877688817864</v>
      </c>
      <c r="M28" s="53">
        <f t="shared" si="36"/>
        <v>0.011310877688817864</v>
      </c>
      <c r="N28" s="53">
        <f t="shared" si="36"/>
        <v>0.011310877688817864</v>
      </c>
      <c r="P28" s="197">
        <f t="shared" si="37" ref="P28:P36">$F28</f>
        <v>0.011310877688817864</v>
      </c>
      <c r="Q28" s="197">
        <f>P28</f>
        <v>0.011310877688817864</v>
      </c>
      <c r="R28" s="197">
        <f>Q28</f>
        <v>0.011310877688817864</v>
      </c>
      <c r="S28" s="197">
        <f>R28</f>
        <v>0.011310877688817864</v>
      </c>
      <c r="T28" s="30">
        <f t="shared" si="38" ref="T28:T35">R28</f>
        <v>0.011310877688817864</v>
      </c>
      <c r="U28" s="30">
        <f t="shared" si="39" ref="U28:U35">T28</f>
        <v>0.011310877688817864</v>
      </c>
      <c r="V28" s="30">
        <f t="shared" si="40" ref="V28:X35">R28</f>
        <v>0.011310877688817864</v>
      </c>
      <c r="W28" s="30">
        <f t="shared" si="40"/>
        <v>0.011310877688817864</v>
      </c>
      <c r="X28" s="30">
        <f t="shared" si="40"/>
        <v>0.011310877688817864</v>
      </c>
      <c r="Y28" s="68"/>
      <c r="Z28" s="197">
        <f>P28</f>
        <v>0.011310877688817864</v>
      </c>
      <c r="AA28" s="197">
        <f>Q28</f>
        <v>0.011310877688817864</v>
      </c>
      <c r="AB28" s="197">
        <f>R28</f>
        <v>0.011310877688817864</v>
      </c>
      <c r="AC28" s="197">
        <f>S28</f>
        <v>0.011310877688817864</v>
      </c>
      <c r="AD28" s="217">
        <f>AC28*$AD$27</f>
        <v>0.010745333804376971</v>
      </c>
      <c r="AE28" s="217">
        <f t="shared" si="41" ref="AE28:AH28">AD28*$AD$27</f>
        <v>0.010208067114158122</v>
      </c>
      <c r="AF28" s="217">
        <f t="shared" si="41"/>
        <v>0.0096976637584502146</v>
      </c>
      <c r="AG28" s="217">
        <f t="shared" si="41"/>
        <v>0.0092127805705277035</v>
      </c>
      <c r="AH28" s="217">
        <f t="shared" si="41"/>
        <v>0.0087521415420013186</v>
      </c>
      <c r="AI28" s="68"/>
      <c r="AM28" s="68"/>
      <c r="AP28" s="217">
        <v>0.0097864749964441684</v>
      </c>
      <c r="AQ28" s="217">
        <v>0.0083185037469775437</v>
      </c>
      <c r="AR28" s="61">
        <v>0.0070707281849309118</v>
      </c>
      <c r="AS28" s="68"/>
      <c r="AT28" s="68"/>
      <c r="AU28" s="68"/>
      <c r="AV28" s="68"/>
      <c r="AW28" s="68"/>
    </row>
    <row r="29" spans="1:49" ht="15">
      <c r="A29" t="s">
        <v>16</v>
      </c>
      <c r="B29" s="9" t="s">
        <v>398</v>
      </c>
      <c r="C29" s="9" t="s">
        <v>747</v>
      </c>
      <c r="F29" s="196">
        <f>F52/F$60</f>
        <v>0.074488324862735031</v>
      </c>
      <c r="G29" s="53">
        <f t="shared" si="33"/>
        <v>0.074488324862735031</v>
      </c>
      <c r="H29" s="53">
        <f t="shared" si="34"/>
        <v>0.074488324862735031</v>
      </c>
      <c r="I29" s="53">
        <f t="shared" si="35"/>
        <v>0.074488324862735031</v>
      </c>
      <c r="J29" s="53">
        <f t="shared" si="36"/>
        <v>0.074488324862735031</v>
      </c>
      <c r="K29" s="53">
        <f t="shared" si="36"/>
        <v>0.074488324862735031</v>
      </c>
      <c r="L29" s="53">
        <f t="shared" si="36"/>
        <v>0.074488324862735031</v>
      </c>
      <c r="M29" s="53">
        <f t="shared" si="36"/>
        <v>0.074488324862735031</v>
      </c>
      <c r="N29" s="53">
        <f t="shared" si="36"/>
        <v>0.074488324862735031</v>
      </c>
      <c r="P29" s="197">
        <f t="shared" si="37"/>
        <v>0.074488324862735031</v>
      </c>
      <c r="Q29" s="197">
        <f t="shared" si="42" ref="Q29:R35">P29</f>
        <v>0.074488324862735031</v>
      </c>
      <c r="R29" s="197">
        <f t="shared" si="42"/>
        <v>0.074488324862735031</v>
      </c>
      <c r="S29" s="197">
        <f t="shared" si="43" ref="S29">R29</f>
        <v>0.074488324862735031</v>
      </c>
      <c r="T29" s="30">
        <f t="shared" si="38"/>
        <v>0.074488324862735031</v>
      </c>
      <c r="U29" s="30">
        <f t="shared" si="39"/>
        <v>0.074488324862735031</v>
      </c>
      <c r="V29" s="30">
        <f t="shared" si="40"/>
        <v>0.074488324862735031</v>
      </c>
      <c r="W29" s="30">
        <f t="shared" si="40"/>
        <v>0.074488324862735031</v>
      </c>
      <c r="X29" s="30">
        <f t="shared" si="40"/>
        <v>0.074488324862735031</v>
      </c>
      <c r="Y29" s="68"/>
      <c r="Z29" s="197">
        <f t="shared" si="44" ref="Z29:Z36">P29</f>
        <v>0.074488324862735031</v>
      </c>
      <c r="AA29" s="197">
        <f t="shared" si="45" ref="AA29:AA35">Q29</f>
        <v>0.074488324862735031</v>
      </c>
      <c r="AB29" s="197">
        <f t="shared" si="46" ref="AB29:AB35">R29</f>
        <v>0.074488324862735031</v>
      </c>
      <c r="AC29" s="197">
        <f t="shared" si="47" ref="AC29:AC35">S29</f>
        <v>0.074488324862735031</v>
      </c>
      <c r="AD29" s="217">
        <f t="shared" si="48" ref="AD29:AH29">AC29*$AD$27</f>
        <v>0.070763908619598276</v>
      </c>
      <c r="AE29" s="217">
        <f t="shared" si="48"/>
        <v>0.067225713188618363</v>
      </c>
      <c r="AF29" s="217">
        <f t="shared" si="48"/>
        <v>0.063864427529187445</v>
      </c>
      <c r="AG29" s="217">
        <f t="shared" si="48"/>
        <v>0.060671206152728072</v>
      </c>
      <c r="AH29" s="217">
        <f t="shared" si="48"/>
        <v>0.057637645845091665</v>
      </c>
      <c r="AI29" s="68"/>
      <c r="AM29" s="68"/>
      <c r="AP29" s="59">
        <v>0.065492845584742485</v>
      </c>
      <c r="AQ29" s="217">
        <v>0.055668918747031108</v>
      </c>
      <c r="AR29" s="61">
        <v>0.047318580934976442</v>
      </c>
      <c r="AS29" s="68"/>
      <c r="AT29" s="68"/>
      <c r="AU29" s="68"/>
      <c r="AV29" s="68"/>
      <c r="AW29" s="68"/>
    </row>
    <row r="30" spans="1:49" ht="15">
      <c r="A30" t="s">
        <v>16</v>
      </c>
      <c r="B30" s="9" t="s">
        <v>399</v>
      </c>
      <c r="C30" s="9" t="s">
        <v>748</v>
      </c>
      <c r="F30" s="196">
        <f t="shared" si="49" ref="F30:F35">F53/F$60</f>
        <v>0.021367810388246332</v>
      </c>
      <c r="G30" s="53">
        <f t="shared" si="33"/>
        <v>0.021367810388246332</v>
      </c>
      <c r="H30" s="53">
        <f t="shared" si="34"/>
        <v>0.021367810388246332</v>
      </c>
      <c r="I30" s="53">
        <f t="shared" si="35"/>
        <v>0.021367810388246332</v>
      </c>
      <c r="J30" s="53">
        <f t="shared" si="36"/>
        <v>0.021367810388246332</v>
      </c>
      <c r="K30" s="53">
        <f t="shared" si="36"/>
        <v>0.021367810388246332</v>
      </c>
      <c r="L30" s="53">
        <f t="shared" si="36"/>
        <v>0.021367810388246332</v>
      </c>
      <c r="M30" s="53">
        <f t="shared" si="36"/>
        <v>0.021367810388246332</v>
      </c>
      <c r="N30" s="53">
        <f t="shared" si="36"/>
        <v>0.021367810388246332</v>
      </c>
      <c r="P30" s="197">
        <f t="shared" si="37"/>
        <v>0.021367810388246332</v>
      </c>
      <c r="Q30" s="197">
        <f t="shared" si="42"/>
        <v>0.021367810388246332</v>
      </c>
      <c r="R30" s="197">
        <f t="shared" si="42"/>
        <v>0.021367810388246332</v>
      </c>
      <c r="S30" s="197">
        <f t="shared" si="50" ref="S30">R30</f>
        <v>0.021367810388246332</v>
      </c>
      <c r="T30" s="30">
        <f t="shared" si="38"/>
        <v>0.021367810388246332</v>
      </c>
      <c r="U30" s="30">
        <f t="shared" si="39"/>
        <v>0.021367810388246332</v>
      </c>
      <c r="V30" s="30">
        <f t="shared" si="40"/>
        <v>0.021367810388246332</v>
      </c>
      <c r="W30" s="30">
        <f t="shared" si="40"/>
        <v>0.021367810388246332</v>
      </c>
      <c r="X30" s="30">
        <f t="shared" si="40"/>
        <v>0.021367810388246332</v>
      </c>
      <c r="Y30" s="68"/>
      <c r="Z30" s="197">
        <f t="shared" si="44"/>
        <v>0.021367810388246332</v>
      </c>
      <c r="AA30" s="197">
        <f t="shared" si="45"/>
        <v>0.021367810388246332</v>
      </c>
      <c r="AB30" s="197">
        <f t="shared" si="46"/>
        <v>0.021367810388246332</v>
      </c>
      <c r="AC30" s="197">
        <f t="shared" si="47"/>
        <v>0.021367810388246332</v>
      </c>
      <c r="AD30" s="217">
        <f t="shared" si="51" ref="AD30:AH30">AC30*$AD$27</f>
        <v>0.020299419868834014</v>
      </c>
      <c r="AE30" s="217">
        <f t="shared" si="51"/>
        <v>0.019284448875392313</v>
      </c>
      <c r="AF30" s="217">
        <f t="shared" si="51"/>
        <v>0.018320226431622698</v>
      </c>
      <c r="AG30" s="217">
        <f t="shared" si="51"/>
        <v>0.017404215110041563</v>
      </c>
      <c r="AH30" s="217">
        <f t="shared" si="51"/>
        <v>0.016534004354539486</v>
      </c>
      <c r="AI30" s="68"/>
      <c r="AM30" s="68"/>
      <c r="AP30" s="59">
        <v>0.021843528378332117</v>
      </c>
      <c r="AQ30" s="217">
        <v>0.018566999121582297</v>
      </c>
      <c r="AR30" s="61">
        <v>0.015781949253344953</v>
      </c>
      <c r="AS30" s="68"/>
      <c r="AT30" s="68"/>
      <c r="AU30" s="68"/>
      <c r="AV30" s="68"/>
      <c r="AW30" s="68"/>
    </row>
    <row r="31" spans="1:49" ht="15">
      <c r="A31" t="s">
        <v>16</v>
      </c>
      <c r="B31" s="9" t="s">
        <v>400</v>
      </c>
      <c r="C31" s="9" t="s">
        <v>749</v>
      </c>
      <c r="F31" s="196">
        <f t="shared" si="49"/>
        <v>0.014627762918736976</v>
      </c>
      <c r="G31" s="53">
        <f t="shared" si="33"/>
        <v>0.014627762918736976</v>
      </c>
      <c r="H31" s="53">
        <f t="shared" si="34"/>
        <v>0.014627762918736976</v>
      </c>
      <c r="I31" s="53">
        <f t="shared" si="35"/>
        <v>0.014627762918736976</v>
      </c>
      <c r="J31" s="53">
        <f t="shared" si="36"/>
        <v>0.014627762918736976</v>
      </c>
      <c r="K31" s="53">
        <f t="shared" si="36"/>
        <v>0.014627762918736976</v>
      </c>
      <c r="L31" s="53">
        <f t="shared" si="36"/>
        <v>0.014627762918736976</v>
      </c>
      <c r="M31" s="53">
        <f t="shared" si="36"/>
        <v>0.014627762918736976</v>
      </c>
      <c r="N31" s="53">
        <f t="shared" si="36"/>
        <v>0.014627762918736976</v>
      </c>
      <c r="P31" s="197">
        <f t="shared" si="37"/>
        <v>0.014627762918736976</v>
      </c>
      <c r="Q31" s="197">
        <f t="shared" si="42"/>
        <v>0.014627762918736976</v>
      </c>
      <c r="R31" s="197">
        <f t="shared" si="42"/>
        <v>0.014627762918736976</v>
      </c>
      <c r="S31" s="197">
        <f t="shared" si="52" ref="S31">R31</f>
        <v>0.014627762918736976</v>
      </c>
      <c r="T31" s="30">
        <f t="shared" si="38"/>
        <v>0.014627762918736976</v>
      </c>
      <c r="U31" s="30">
        <f t="shared" si="39"/>
        <v>0.014627762918736976</v>
      </c>
      <c r="V31" s="30">
        <f t="shared" si="40"/>
        <v>0.014627762918736976</v>
      </c>
      <c r="W31" s="30">
        <f t="shared" si="40"/>
        <v>0.014627762918736976</v>
      </c>
      <c r="X31" s="30">
        <f t="shared" si="40"/>
        <v>0.014627762918736976</v>
      </c>
      <c r="Y31" s="68"/>
      <c r="Z31" s="197">
        <f t="shared" si="44"/>
        <v>0.014627762918736976</v>
      </c>
      <c r="AA31" s="197">
        <f t="shared" si="45"/>
        <v>0.014627762918736976</v>
      </c>
      <c r="AB31" s="197">
        <f t="shared" si="46"/>
        <v>0.014627762918736976</v>
      </c>
      <c r="AC31" s="197">
        <f t="shared" si="47"/>
        <v>0.014627762918736976</v>
      </c>
      <c r="AD31" s="217">
        <f t="shared" si="53" ref="AD31:AH31">AC31*$AD$27</f>
        <v>0.013896374772800127</v>
      </c>
      <c r="AE31" s="217">
        <f t="shared" si="53"/>
        <v>0.013201556034160121</v>
      </c>
      <c r="AF31" s="217">
        <f t="shared" si="53"/>
        <v>0.012541478232452115</v>
      </c>
      <c r="AG31" s="217">
        <f t="shared" si="53"/>
        <v>0.011914404320829509</v>
      </c>
      <c r="AH31" s="217">
        <f t="shared" si="53"/>
        <v>0.011318684104788033</v>
      </c>
      <c r="AI31" s="68"/>
      <c r="AM31" s="68"/>
      <c r="AP31" s="59">
        <v>0.01316775848625332</v>
      </c>
      <c r="AQ31" s="217">
        <v>0.011192594713315322</v>
      </c>
      <c r="AR31" s="61">
        <v>0.009513705506318023</v>
      </c>
      <c r="AS31" s="68"/>
      <c r="AT31" s="68"/>
      <c r="AU31" s="68"/>
      <c r="AV31" s="68"/>
      <c r="AW31" s="68"/>
    </row>
    <row r="32" spans="1:49" ht="15">
      <c r="A32" t="s">
        <v>16</v>
      </c>
      <c r="B32" s="9" t="s">
        <v>401</v>
      </c>
      <c r="C32" s="9" t="s">
        <v>750</v>
      </c>
      <c r="F32" s="196">
        <f t="shared" si="49"/>
        <v>0.58639103006054849</v>
      </c>
      <c r="G32" s="53">
        <v>0.60</v>
      </c>
      <c r="H32" s="53">
        <v>0.60599999999999998</v>
      </c>
      <c r="I32" s="275">
        <v>0.61</v>
      </c>
      <c r="J32" s="53">
        <f>F32</f>
        <v>0.58639103006054849</v>
      </c>
      <c r="K32" s="53">
        <f t="shared" si="36"/>
        <v>0.58639103006054849</v>
      </c>
      <c r="L32" s="53">
        <f t="shared" si="36"/>
        <v>0.58639103006054849</v>
      </c>
      <c r="M32" s="53">
        <f t="shared" si="36"/>
        <v>0.58639103006054849</v>
      </c>
      <c r="N32" s="53">
        <f t="shared" si="36"/>
        <v>0.58639103006054849</v>
      </c>
      <c r="P32" s="197">
        <f t="shared" si="37"/>
        <v>0.58639103006054849</v>
      </c>
      <c r="Q32" s="197">
        <f t="shared" si="42"/>
        <v>0.58639103006054849</v>
      </c>
      <c r="R32" s="275">
        <f>I32</f>
        <v>0.60999999999999999</v>
      </c>
      <c r="S32" s="197">
        <f>Q32</f>
        <v>0.58639103006054849</v>
      </c>
      <c r="T32" s="30">
        <f>S32</f>
        <v>0.58639103006054849</v>
      </c>
      <c r="U32" s="30">
        <f t="shared" si="39"/>
        <v>0.58639103006054849</v>
      </c>
      <c r="V32" s="30">
        <f t="shared" si="54" ref="V32:X32">U32</f>
        <v>0.58639103006054849</v>
      </c>
      <c r="W32" s="30">
        <f t="shared" si="54"/>
        <v>0.58639103006054849</v>
      </c>
      <c r="X32" s="30">
        <f t="shared" si="54"/>
        <v>0.58639103006054849</v>
      </c>
      <c r="Y32" s="68"/>
      <c r="Z32" s="197">
        <f t="shared" si="44"/>
        <v>0.58639103006054849</v>
      </c>
      <c r="AA32" s="197">
        <f t="shared" si="45"/>
        <v>0.58639103006054849</v>
      </c>
      <c r="AB32" s="197">
        <f t="shared" si="46"/>
        <v>0.60999999999999999</v>
      </c>
      <c r="AC32" s="197">
        <f t="shared" si="47"/>
        <v>0.58639103006054849</v>
      </c>
      <c r="AD32" s="217">
        <f t="shared" si="55" ref="AD32:AH32">AC32*$AD$27</f>
        <v>0.55707147855752104</v>
      </c>
      <c r="AE32" s="217">
        <f t="shared" si="55"/>
        <v>0.52921790462964491</v>
      </c>
      <c r="AF32" s="217">
        <f t="shared" si="55"/>
        <v>0.50275700939816259</v>
      </c>
      <c r="AG32" s="217">
        <f t="shared" si="55"/>
        <v>0.47761915892825446</v>
      </c>
      <c r="AH32" s="217">
        <f t="shared" si="55"/>
        <v>0.4537382009818417</v>
      </c>
      <c r="AI32" s="68"/>
      <c r="AM32" s="68"/>
      <c r="AP32" s="59">
        <v>0.43256392509058594</v>
      </c>
      <c r="AQ32" s="217">
        <v>0.36767933632699806</v>
      </c>
      <c r="AR32" s="61">
        <v>0.31252743587794835</v>
      </c>
      <c r="AS32" s="68"/>
      <c r="AT32" s="68"/>
      <c r="AU32" s="68"/>
      <c r="AV32" s="68"/>
      <c r="AW32" s="68"/>
    </row>
    <row r="33" spans="1:49" ht="15">
      <c r="A33" t="s">
        <v>16</v>
      </c>
      <c r="B33" s="9" t="s">
        <v>402</v>
      </c>
      <c r="C33" s="9" t="s">
        <v>751</v>
      </c>
      <c r="F33" s="196">
        <f t="shared" si="49"/>
        <v>0.17957151280249187</v>
      </c>
      <c r="G33" s="53">
        <f t="shared" si="33"/>
        <v>0.17957151280249187</v>
      </c>
      <c r="H33" s="53">
        <f t="shared" si="34"/>
        <v>0.17957151280249187</v>
      </c>
      <c r="I33" s="53">
        <f t="shared" si="35"/>
        <v>0.17957151280249187</v>
      </c>
      <c r="J33" s="53">
        <f t="shared" si="36"/>
        <v>0.17957151280249187</v>
      </c>
      <c r="K33" s="53">
        <f t="shared" si="36"/>
        <v>0.17957151280249187</v>
      </c>
      <c r="L33" s="53">
        <f t="shared" si="36"/>
        <v>0.17957151280249187</v>
      </c>
      <c r="M33" s="53">
        <f t="shared" si="36"/>
        <v>0.17957151280249187</v>
      </c>
      <c r="N33" s="53">
        <f t="shared" si="36"/>
        <v>0.17957151280249187</v>
      </c>
      <c r="P33" s="197">
        <f t="shared" si="37"/>
        <v>0.17957151280249187</v>
      </c>
      <c r="Q33" s="197">
        <f t="shared" si="42"/>
        <v>0.17957151280249187</v>
      </c>
      <c r="R33" s="197">
        <f t="shared" si="42"/>
        <v>0.17957151280249187</v>
      </c>
      <c r="S33" s="197">
        <f t="shared" si="56" ref="S33">R33</f>
        <v>0.17957151280249187</v>
      </c>
      <c r="T33" s="30">
        <f t="shared" si="38"/>
        <v>0.17957151280249187</v>
      </c>
      <c r="U33" s="30">
        <f t="shared" si="39"/>
        <v>0.17957151280249187</v>
      </c>
      <c r="V33" s="30">
        <f t="shared" si="40"/>
        <v>0.17957151280249187</v>
      </c>
      <c r="W33" s="30">
        <f t="shared" si="40"/>
        <v>0.17957151280249187</v>
      </c>
      <c r="X33" s="30">
        <f t="shared" si="40"/>
        <v>0.17957151280249187</v>
      </c>
      <c r="Y33" s="68"/>
      <c r="Z33" s="197">
        <f t="shared" si="44"/>
        <v>0.17957151280249187</v>
      </c>
      <c r="AA33" s="197">
        <f t="shared" si="45"/>
        <v>0.17957151280249187</v>
      </c>
      <c r="AB33" s="197">
        <f t="shared" si="46"/>
        <v>0.17957151280249187</v>
      </c>
      <c r="AC33" s="197">
        <f t="shared" si="47"/>
        <v>0.17957151280249187</v>
      </c>
      <c r="AD33" s="217">
        <f t="shared" si="57" ref="AD33:AH33">AC33*$AD$27</f>
        <v>0.17059293716236726</v>
      </c>
      <c r="AE33" s="217">
        <f t="shared" si="57"/>
        <v>0.16206329030424887</v>
      </c>
      <c r="AF33" s="217">
        <f t="shared" si="57"/>
        <v>0.15396012578903642</v>
      </c>
      <c r="AG33" s="217">
        <f t="shared" si="57"/>
        <v>0.14626211949958459</v>
      </c>
      <c r="AH33" s="217">
        <f t="shared" si="57"/>
        <v>0.13894901352460537</v>
      </c>
      <c r="AI33" s="68"/>
      <c r="AM33" s="68"/>
      <c r="AP33" s="59">
        <v>0.15199325034036584</v>
      </c>
      <c r="AQ33" s="217">
        <v>0.12919426278931095</v>
      </c>
      <c r="AR33" s="61">
        <v>0.10981512337091431</v>
      </c>
      <c r="AS33" s="68"/>
      <c r="AT33" s="68"/>
      <c r="AU33" s="68"/>
      <c r="AV33" s="68"/>
      <c r="AW33" s="68"/>
    </row>
    <row r="34" spans="1:49" ht="15">
      <c r="A34" t="s">
        <v>16</v>
      </c>
      <c r="B34" s="9" t="s">
        <v>403</v>
      </c>
      <c r="C34" s="9" t="s">
        <v>752</v>
      </c>
      <c r="F34" s="196">
        <f t="shared" si="49"/>
        <v>0.010141010242039481</v>
      </c>
      <c r="G34" s="53">
        <f t="shared" si="33"/>
        <v>0.010141010242039481</v>
      </c>
      <c r="H34" s="53">
        <f t="shared" si="34"/>
        <v>0.010141010242039481</v>
      </c>
      <c r="I34" s="53">
        <f t="shared" si="35"/>
        <v>0.010141010242039481</v>
      </c>
      <c r="J34" s="53">
        <f t="shared" si="36"/>
        <v>0.010141010242039481</v>
      </c>
      <c r="K34" s="53">
        <f t="shared" si="36"/>
        <v>0.010141010242039481</v>
      </c>
      <c r="L34" s="53">
        <f t="shared" si="36"/>
        <v>0.010141010242039481</v>
      </c>
      <c r="M34" s="53">
        <f t="shared" si="36"/>
        <v>0.010141010242039481</v>
      </c>
      <c r="N34" s="53">
        <f t="shared" si="36"/>
        <v>0.010141010242039481</v>
      </c>
      <c r="P34" s="197">
        <f t="shared" si="37"/>
        <v>0.010141010242039481</v>
      </c>
      <c r="Q34" s="197">
        <f t="shared" si="42"/>
        <v>0.010141010242039481</v>
      </c>
      <c r="R34" s="197">
        <f t="shared" si="42"/>
        <v>0.010141010242039481</v>
      </c>
      <c r="S34" s="197">
        <f t="shared" si="58" ref="S34">R34</f>
        <v>0.010141010242039481</v>
      </c>
      <c r="T34" s="30">
        <f t="shared" si="38"/>
        <v>0.010141010242039481</v>
      </c>
      <c r="U34" s="30">
        <f t="shared" si="39"/>
        <v>0.010141010242039481</v>
      </c>
      <c r="V34" s="30">
        <f t="shared" si="40"/>
        <v>0.010141010242039481</v>
      </c>
      <c r="W34" s="30">
        <f t="shared" si="40"/>
        <v>0.010141010242039481</v>
      </c>
      <c r="X34" s="30">
        <f t="shared" si="40"/>
        <v>0.010141010242039481</v>
      </c>
      <c r="Y34" s="68"/>
      <c r="Z34" s="197">
        <f t="shared" si="44"/>
        <v>0.010141010242039481</v>
      </c>
      <c r="AA34" s="197">
        <f t="shared" si="45"/>
        <v>0.010141010242039481</v>
      </c>
      <c r="AB34" s="197">
        <f t="shared" si="46"/>
        <v>0.010141010242039481</v>
      </c>
      <c r="AC34" s="197">
        <f t="shared" si="47"/>
        <v>0.010141010242039481</v>
      </c>
      <c r="AD34" s="217">
        <f t="shared" si="59" ref="AD34:AH34">AC34*$AD$27</f>
        <v>0.0096339597299375072</v>
      </c>
      <c r="AE34" s="217">
        <f t="shared" si="59"/>
        <v>0.009152261743440632</v>
      </c>
      <c r="AF34" s="217">
        <f t="shared" si="59"/>
        <v>0.0086946486562685995</v>
      </c>
      <c r="AG34" s="217">
        <f t="shared" si="59"/>
        <v>0.0082599162234551684</v>
      </c>
      <c r="AH34" s="217">
        <f t="shared" si="59"/>
        <v>0.0078469204122824099</v>
      </c>
      <c r="AI34" s="68"/>
      <c r="AM34" s="68"/>
      <c r="AP34" s="59">
        <v>0.0055938512554391424</v>
      </c>
      <c r="AQ34" s="217">
        <v>0.0047547735671232706</v>
      </c>
      <c r="AR34" s="61">
        <v>0.0040415575320547799</v>
      </c>
      <c r="AS34" s="68"/>
      <c r="AT34" s="68"/>
      <c r="AU34" s="68"/>
      <c r="AV34" s="68"/>
      <c r="AW34" s="68"/>
    </row>
    <row r="35" spans="1:49" ht="15">
      <c r="A35" t="s">
        <v>16</v>
      </c>
      <c r="B35" s="9" t="s">
        <v>404</v>
      </c>
      <c r="C35" s="9" t="s">
        <v>753</v>
      </c>
      <c r="F35" s="196">
        <f t="shared" si="49"/>
        <v>0.0029052410444323504</v>
      </c>
      <c r="G35" s="53">
        <f t="shared" si="33"/>
        <v>0.0029052410444323504</v>
      </c>
      <c r="H35" s="53">
        <f t="shared" si="34"/>
        <v>0.0029052410444323504</v>
      </c>
      <c r="I35" s="53">
        <f t="shared" si="35"/>
        <v>0.0029052410444323504</v>
      </c>
      <c r="J35" s="53">
        <f t="shared" si="36"/>
        <v>0.0029052410444323504</v>
      </c>
      <c r="K35" s="53">
        <f t="shared" si="36"/>
        <v>0.0029052410444323504</v>
      </c>
      <c r="L35" s="53">
        <f t="shared" si="36"/>
        <v>0.0029052410444323504</v>
      </c>
      <c r="M35" s="53">
        <f t="shared" si="36"/>
        <v>0.0029052410444323504</v>
      </c>
      <c r="N35" s="53">
        <f t="shared" si="36"/>
        <v>0.0029052410444323504</v>
      </c>
      <c r="P35" s="197">
        <f t="shared" si="37"/>
        <v>0.0029052410444323504</v>
      </c>
      <c r="Q35" s="197">
        <f t="shared" si="42"/>
        <v>0.0029052410444323504</v>
      </c>
      <c r="R35" s="197">
        <f t="shared" si="42"/>
        <v>0.0029052410444323504</v>
      </c>
      <c r="S35" s="197">
        <f t="shared" si="60" ref="S35">R35</f>
        <v>0.0029052410444323504</v>
      </c>
      <c r="T35" s="30">
        <f t="shared" si="38"/>
        <v>0.0029052410444323504</v>
      </c>
      <c r="U35" s="30">
        <f t="shared" si="39"/>
        <v>0.0029052410444323504</v>
      </c>
      <c r="V35" s="30">
        <f t="shared" si="40"/>
        <v>0.0029052410444323504</v>
      </c>
      <c r="W35" s="30">
        <f t="shared" si="40"/>
        <v>0.0029052410444323504</v>
      </c>
      <c r="X35" s="30">
        <f t="shared" si="40"/>
        <v>0.0029052410444323504</v>
      </c>
      <c r="Y35" s="68"/>
      <c r="Z35" s="197">
        <f t="shared" si="44"/>
        <v>0.0029052410444323504</v>
      </c>
      <c r="AA35" s="197">
        <f t="shared" si="45"/>
        <v>0.0029052410444323504</v>
      </c>
      <c r="AB35" s="197">
        <f t="shared" si="46"/>
        <v>0.0029052410444323504</v>
      </c>
      <c r="AC35" s="197">
        <f t="shared" si="47"/>
        <v>0.0029052410444323504</v>
      </c>
      <c r="AD35" s="217">
        <f t="shared" si="61" ref="AD35:AH35">AC35*$AD$27</f>
        <v>0.0027599789922107326</v>
      </c>
      <c r="AE35" s="217">
        <f t="shared" si="61"/>
        <v>0.0026219800426001958</v>
      </c>
      <c r="AF35" s="217">
        <f t="shared" si="61"/>
        <v>0.0024908810404701857</v>
      </c>
      <c r="AG35" s="217">
        <f t="shared" si="61"/>
        <v>0.0023663369884466762</v>
      </c>
      <c r="AH35" s="217">
        <f t="shared" si="61"/>
        <v>0.0022480201390243423</v>
      </c>
      <c r="AI35" s="68"/>
      <c r="AM35" s="68"/>
      <c r="AP35" s="59">
        <v>0.0049746960538483084</v>
      </c>
      <c r="AQ35" s="217">
        <v>0.0042284916457710616</v>
      </c>
      <c r="AR35" s="61">
        <v>0.0035942178989054022</v>
      </c>
      <c r="AS35" s="68"/>
      <c r="AT35" s="68"/>
      <c r="AU35" s="68"/>
      <c r="AV35" s="68"/>
      <c r="AW35" s="68"/>
    </row>
    <row r="36" spans="1:49" ht="15">
      <c r="A36" t="s">
        <v>16</v>
      </c>
      <c r="B36" s="9" t="s">
        <v>366</v>
      </c>
      <c r="C36" s="9" t="s">
        <v>754</v>
      </c>
      <c r="D36" t="s">
        <v>39</v>
      </c>
      <c r="F36" s="196">
        <f>F59/F$60</f>
        <v>0.099196429991951662</v>
      </c>
      <c r="G36" s="53">
        <f t="shared" si="62" ref="G36:I36">1-SUM(G28:G35)</f>
        <v>0.085587460052500175</v>
      </c>
      <c r="H36" s="53">
        <f t="shared" si="62"/>
        <v>0.07958746005250017</v>
      </c>
      <c r="I36" s="53">
        <f t="shared" si="62"/>
        <v>0.075587460052500166</v>
      </c>
      <c r="J36" s="53">
        <f>1-SUM(J28:J35)</f>
        <v>0.099196429991951662</v>
      </c>
      <c r="K36" s="53">
        <f>1-SUM(K28:K35)</f>
        <v>0.099196429991951662</v>
      </c>
      <c r="L36" s="53">
        <f>1-SUM(L28:L35)</f>
        <v>0.099196429991951662</v>
      </c>
      <c r="M36" s="53">
        <f>1-SUM(M28:M35)</f>
        <v>0.099196429991951662</v>
      </c>
      <c r="N36" s="53">
        <f>1-SUM(N28:N35)</f>
        <v>0.099196429991951662</v>
      </c>
      <c r="P36" s="197">
        <f t="shared" si="37"/>
        <v>0.099196429991951662</v>
      </c>
      <c r="Q36" s="53">
        <f t="shared" si="63" ref="Q36:X36">1-SUM(Q28:Q35)</f>
        <v>0.099196429991951662</v>
      </c>
      <c r="R36" s="53">
        <f t="shared" si="63"/>
        <v>0.075587460052500166</v>
      </c>
      <c r="S36" s="53">
        <f t="shared" si="63"/>
        <v>0.099196429991951662</v>
      </c>
      <c r="T36" s="53">
        <f t="shared" si="63"/>
        <v>0.099196429991951662</v>
      </c>
      <c r="U36" s="53">
        <f t="shared" si="63"/>
        <v>0.099196429991951662</v>
      </c>
      <c r="V36" s="53">
        <f t="shared" si="64" ref="V36:W36">1-SUM(V28:V35)</f>
        <v>0.099196429991951662</v>
      </c>
      <c r="W36" s="53">
        <f t="shared" si="64"/>
        <v>0.099196429991951662</v>
      </c>
      <c r="X36" s="53">
        <f t="shared" si="63"/>
        <v>0.099196429991951662</v>
      </c>
      <c r="Y36" s="68"/>
      <c r="Z36" s="197">
        <f t="shared" si="44"/>
        <v>0.099196429991951662</v>
      </c>
      <c r="AA36" s="53">
        <f t="shared" si="65" ref="AA36:AH36">1-SUM(AA28:AA35)</f>
        <v>0.099196429991951662</v>
      </c>
      <c r="AB36" s="53">
        <f t="shared" si="65"/>
        <v>0.075587460052500166</v>
      </c>
      <c r="AC36" s="53">
        <f t="shared" si="65"/>
        <v>0.099196429991951662</v>
      </c>
      <c r="AD36" s="53">
        <f t="shared" si="65"/>
        <v>0.14423660849235409</v>
      </c>
      <c r="AE36" s="53">
        <f t="shared" si="65"/>
        <v>0.18702477806773643</v>
      </c>
      <c r="AF36" s="53">
        <f t="shared" si="66" ref="AF36:AG36">1-SUM(AF28:AF35)</f>
        <v>0.22767353916434974</v>
      </c>
      <c r="AG36" s="53">
        <f t="shared" si="66"/>
        <v>0.26628986220613238</v>
      </c>
      <c r="AH36" s="53">
        <f t="shared" si="65"/>
        <v>0.30297536909582556</v>
      </c>
      <c r="AI36" s="68"/>
      <c r="AJ36" s="68"/>
      <c r="AK36" s="68"/>
      <c r="AL36" s="68"/>
      <c r="AM36" s="68"/>
      <c r="AN36" s="68"/>
      <c r="AO36" s="68"/>
      <c r="AP36" s="68"/>
      <c r="AQ36" s="68"/>
      <c r="AR36" s="68"/>
      <c r="AS36" s="68"/>
      <c r="AT36" s="68"/>
      <c r="AU36" s="68"/>
      <c r="AV36" s="68"/>
      <c r="AW36" s="68"/>
    </row>
    <row r="37" spans="1:1" ht="15">
      <c r="A37" t="s">
        <v>16</v>
      </c>
    </row>
    <row r="38" spans="1:4" ht="15.75" thickBot="1">
      <c r="A38" t="s">
        <v>16</v>
      </c>
      <c r="B38" s="15" t="s">
        <v>417</v>
      </c>
      <c r="C38" s="15"/>
      <c r="D38" s="15"/>
    </row>
    <row r="39" spans="1:49" ht="15">
      <c r="A39" t="s">
        <v>16</v>
      </c>
      <c r="B39" s="9" t="s">
        <v>396</v>
      </c>
      <c r="C39" s="9" t="s">
        <v>745</v>
      </c>
      <c r="D39" t="s">
        <v>39</v>
      </c>
      <c r="F39" s="196">
        <f>F46/F$48</f>
        <v>0.16642758048548645</v>
      </c>
      <c r="G39" s="290">
        <v>0.19</v>
      </c>
      <c r="H39" s="290">
        <f>G39</f>
        <v>0.19</v>
      </c>
      <c r="I39" s="290">
        <f>H39</f>
        <v>0.19</v>
      </c>
      <c r="J39" s="290">
        <v>0.19</v>
      </c>
      <c r="K39" s="53">
        <f>IF($D$4,AE39,U39)</f>
        <v>0.19</v>
      </c>
      <c r="L39" s="53">
        <f>IF($D$4,AF39,V39)</f>
        <v>0.19</v>
      </c>
      <c r="M39" s="53">
        <f>IF($D$4,AG39,W39)</f>
        <v>0.19</v>
      </c>
      <c r="N39" s="53">
        <f>IF($D$4,AH39,X39)</f>
        <v>0.19</v>
      </c>
      <c r="P39" s="197">
        <f>F39</f>
        <v>0.16642758048548645</v>
      </c>
      <c r="Q39" s="197">
        <f t="shared" si="67" ref="Q39:T39">G39</f>
        <v>0.19</v>
      </c>
      <c r="R39" s="197">
        <f t="shared" si="67"/>
        <v>0.19</v>
      </c>
      <c r="S39" s="197">
        <f t="shared" si="67"/>
        <v>0.19</v>
      </c>
      <c r="T39" s="197">
        <f t="shared" si="67"/>
        <v>0.19</v>
      </c>
      <c r="U39" s="30">
        <f>T39</f>
        <v>0.19</v>
      </c>
      <c r="V39" s="30">
        <f>U39</f>
        <v>0.19</v>
      </c>
      <c r="W39" s="30">
        <f t="shared" si="68" ref="W39:X39">V39</f>
        <v>0.19</v>
      </c>
      <c r="X39" s="30">
        <f t="shared" si="68"/>
        <v>0.19</v>
      </c>
      <c r="Y39" s="68"/>
      <c r="Z39" s="197">
        <f>P39</f>
        <v>0.16642758048548645</v>
      </c>
      <c r="AA39" s="197">
        <f>Q39</f>
        <v>0.19</v>
      </c>
      <c r="AB39" s="197">
        <f>R39</f>
        <v>0.19</v>
      </c>
      <c r="AC39" s="197">
        <f>S39</f>
        <v>0.19</v>
      </c>
      <c r="AD39" s="59">
        <f>AC39*$AD$27</f>
        <v>0.18049999999999999</v>
      </c>
      <c r="AE39" s="59">
        <f t="shared" si="69" ref="AE39:AH39">AD39*$AD$27</f>
        <v>0.17147499999999999</v>
      </c>
      <c r="AF39" s="59">
        <f t="shared" si="69"/>
        <v>0.16290124999999997</v>
      </c>
      <c r="AG39" s="59">
        <f t="shared" si="69"/>
        <v>0.15475618749999998</v>
      </c>
      <c r="AH39" s="59">
        <f t="shared" si="69"/>
        <v>0.14701837812499996</v>
      </c>
      <c r="AI39" s="68"/>
      <c r="AJ39" s="68"/>
      <c r="AK39" s="68"/>
      <c r="AL39" s="68"/>
      <c r="AM39" s="68"/>
      <c r="AN39" s="68"/>
      <c r="AO39" s="68"/>
      <c r="AP39" s="68"/>
      <c r="AQ39" s="68"/>
      <c r="AR39" s="68"/>
      <c r="AS39" s="68"/>
      <c r="AT39" s="68"/>
      <c r="AU39" s="68"/>
      <c r="AV39" s="68"/>
      <c r="AW39" s="68"/>
    </row>
    <row r="40" spans="1:49" ht="15">
      <c r="A40" t="s">
        <v>16</v>
      </c>
      <c r="B40" s="9" t="s">
        <v>368</v>
      </c>
      <c r="C40" s="9" t="s">
        <v>755</v>
      </c>
      <c r="D40" t="s">
        <v>39</v>
      </c>
      <c r="F40" s="196">
        <f>F47/F$48</f>
        <v>0.83357241951451344</v>
      </c>
      <c r="G40" s="53">
        <f t="shared" si="70" ref="G40">1-G39</f>
        <v>0.81000000000000005</v>
      </c>
      <c r="H40" s="53">
        <f t="shared" si="71" ref="H40:N40">1-H39</f>
        <v>0.81000000000000005</v>
      </c>
      <c r="I40" s="53">
        <f t="shared" si="71"/>
        <v>0.81000000000000005</v>
      </c>
      <c r="J40" s="53">
        <f t="shared" si="71"/>
        <v>0.81000000000000005</v>
      </c>
      <c r="K40" s="53">
        <f t="shared" si="71"/>
        <v>0.81000000000000005</v>
      </c>
      <c r="L40" s="53">
        <f t="shared" si="71"/>
        <v>0.81000000000000005</v>
      </c>
      <c r="M40" s="53">
        <f t="shared" si="71"/>
        <v>0.81000000000000005</v>
      </c>
      <c r="N40" s="53">
        <f t="shared" si="71"/>
        <v>0.81000000000000005</v>
      </c>
      <c r="P40" s="197">
        <f>F40</f>
        <v>0.83357241951451344</v>
      </c>
      <c r="Q40" s="53">
        <f t="shared" si="72" ref="Q40:X40">1-Q39</f>
        <v>0.81000000000000005</v>
      </c>
      <c r="R40" s="53">
        <f t="shared" si="72"/>
        <v>0.81000000000000005</v>
      </c>
      <c r="S40" s="53">
        <f t="shared" si="72"/>
        <v>0.81000000000000005</v>
      </c>
      <c r="T40" s="53">
        <f t="shared" si="72"/>
        <v>0.81000000000000005</v>
      </c>
      <c r="U40" s="53">
        <f t="shared" si="72"/>
        <v>0.81000000000000005</v>
      </c>
      <c r="V40" s="53">
        <f t="shared" si="73" ref="V40:W40">1-V39</f>
        <v>0.81000000000000005</v>
      </c>
      <c r="W40" s="53">
        <f t="shared" si="73"/>
        <v>0.81000000000000005</v>
      </c>
      <c r="X40" s="53">
        <f t="shared" si="72"/>
        <v>0.81000000000000005</v>
      </c>
      <c r="Y40" s="68"/>
      <c r="Z40" s="197">
        <f>P40</f>
        <v>0.83357241951451344</v>
      </c>
      <c r="AA40" s="197">
        <f t="shared" si="74" ref="AA40">Q40</f>
        <v>0.81000000000000005</v>
      </c>
      <c r="AB40" s="197">
        <f t="shared" si="75" ref="AB40">R40</f>
        <v>0.81000000000000005</v>
      </c>
      <c r="AC40" s="197">
        <f t="shared" si="76" ref="AC40">S40</f>
        <v>0.81000000000000005</v>
      </c>
      <c r="AD40" s="53">
        <f>1-AD39</f>
        <v>0.81950000000000001</v>
      </c>
      <c r="AE40" s="53">
        <f>1-AE39</f>
        <v>0.82852499999999996</v>
      </c>
      <c r="AF40" s="53">
        <f>1-AF39</f>
        <v>0.83709875</v>
      </c>
      <c r="AG40" s="53">
        <f>1-AG39</f>
        <v>0.84524381250000002</v>
      </c>
      <c r="AH40" s="53">
        <f>1-AH39</f>
        <v>0.85298162187500004</v>
      </c>
      <c r="AI40" s="68"/>
      <c r="AJ40" s="68"/>
      <c r="AK40" s="68"/>
      <c r="AL40" s="68"/>
      <c r="AM40" s="68"/>
      <c r="AN40" s="68"/>
      <c r="AO40" s="68"/>
      <c r="AP40" s="68"/>
      <c r="AQ40" s="68"/>
      <c r="AR40" s="68"/>
      <c r="AS40" s="68"/>
      <c r="AT40" s="68"/>
      <c r="AU40" s="68"/>
      <c r="AV40" s="68"/>
      <c r="AW40" s="68"/>
    </row>
    <row r="41" spans="1:1" ht="15">
      <c r="A41" t="s">
        <v>16</v>
      </c>
    </row>
    <row r="42" spans="1:7" ht="15.75" thickBot="1">
      <c r="A42" t="s">
        <v>16</v>
      </c>
      <c r="B42" s="15" t="s">
        <v>193</v>
      </c>
      <c r="C42" s="15"/>
      <c r="D42" s="15"/>
      <c r="F42" s="40"/>
      <c r="G42" s="40"/>
    </row>
    <row r="43" spans="1:34" ht="15">
      <c r="A43" t="s">
        <v>16</v>
      </c>
      <c r="B43" s="9"/>
      <c r="C43" s="7" t="s">
        <v>5</v>
      </c>
      <c r="D43" s="8" t="s">
        <v>137</v>
      </c>
      <c r="E43" s="8"/>
      <c r="F43" s="40">
        <f t="shared" si="77" ref="F43">F63*F92</f>
        <v>18.931145021834741</v>
      </c>
      <c r="G43" s="40">
        <f>F43*(1+(F13+G13)/2*((G7/F7)^(1/(G$4-F$4))-1))^(G$4-F$4)</f>
        <v>19.16679090850425</v>
      </c>
      <c r="H43" s="40">
        <f t="shared" si="78" ref="H43:N43">G43*(1+(G13+H13)/2*((H7/G7)^(1/(H$4-G$4))-1))^(H$4-G$4)</f>
        <v>18.454471209495399</v>
      </c>
      <c r="I43" s="40">
        <f t="shared" si="78"/>
        <v>19.349284618479778</v>
      </c>
      <c r="J43" s="40">
        <f t="shared" si="78"/>
        <v>23.950430699133722</v>
      </c>
      <c r="K43" s="40">
        <f t="shared" si="78"/>
        <v>31.341285376834229</v>
      </c>
      <c r="L43" s="40">
        <f t="shared" si="78"/>
        <v>39.842435446702936</v>
      </c>
      <c r="M43" s="40">
        <f t="shared" si="78"/>
        <v>48.354153414896246</v>
      </c>
      <c r="N43" s="40">
        <f t="shared" si="78"/>
        <v>51.945063099053954</v>
      </c>
      <c r="O43" s="40"/>
      <c r="P43" s="40">
        <f>$F43</f>
        <v>18.931145021834741</v>
      </c>
      <c r="Q43" s="40">
        <f>G43</f>
        <v>19.16679090850425</v>
      </c>
      <c r="R43" s="40">
        <f>H43</f>
        <v>18.454471209495399</v>
      </c>
      <c r="S43" s="40">
        <f>I43</f>
        <v>19.349284618479778</v>
      </c>
      <c r="T43" s="253">
        <f>R43*(1+(R13+T13)/2*((T7/R7)^(1/(T$4-R$4))-1))^(T$4-R$4)</f>
        <v>23.948985938636305</v>
      </c>
      <c r="U43" s="253">
        <f>T43*(1+(T13+U13)/2*((U7/T7)^(1/(U$4-T$4))-1))^(U$4-T$4)</f>
        <v>31.339394778221639</v>
      </c>
      <c r="V43" s="253">
        <f>S43*(1+(S13+V13)/2*((V7/S7)^(1/(V$4-S$4))-1))^(V$4-S$4)</f>
        <v>39.842142071991105</v>
      </c>
      <c r="W43" s="253">
        <f>T43*(1+(T13+W13)/2*((W7/T7)^(1/(W$4-T$4))-1))^(W$4-T$4)</f>
        <v>48.349540635112824</v>
      </c>
      <c r="X43" s="253">
        <f>U43*(1+(U13+X13)/2*((X7/U7)^(1/(X$4-U$4))-1))^(X$4-U$4)</f>
        <v>51.932297309836613</v>
      </c>
      <c r="Z43" s="40">
        <f>P43</f>
        <v>18.931145021834741</v>
      </c>
      <c r="AA43" s="40">
        <f>Q43</f>
        <v>19.16679090850425</v>
      </c>
      <c r="AB43" s="40">
        <f>R43</f>
        <v>18.454471209495399</v>
      </c>
      <c r="AC43" s="40">
        <f>S43</f>
        <v>19.349284618479778</v>
      </c>
      <c r="AD43" s="253">
        <f>AB43*(1+(AB13+AD13)/2*((AD7/AB7)^(1/(AD$4-AB$4))-1))^(AD$4-AB$4)</f>
        <v>23.948985938636305</v>
      </c>
      <c r="AE43" s="253">
        <f>AD43*(1+(AD13+AE13)/2*((AE7/AD7)^(1/(AE$4-AD$4))-1))^(AE$4-AD$4)</f>
        <v>31.339394778221639</v>
      </c>
      <c r="AF43" s="253">
        <f>AC43*(1+(AC13+AF13)/2*((AF7/AC7)^(1/(AF$4-AC$4))-1))^(AF$4-AC$4)</f>
        <v>39.842142071991105</v>
      </c>
      <c r="AG43" s="253">
        <f>AD43*(1+(AD13+AG13)/2*((AG7/AD7)^(1/(AG$4-AD$4))-1))^(AG$4-AD$4)</f>
        <v>48.349540635112824</v>
      </c>
      <c r="AH43" s="253">
        <f>AE43*(1+(AE13+AH13)/2*((AH7/AE7)^(1/(AH$4-AE$4))-1))^(AH$4-AE$4)</f>
        <v>51.932297309836613</v>
      </c>
    </row>
    <row r="44" spans="1:1" ht="15">
      <c r="A44" t="s">
        <v>16</v>
      </c>
    </row>
    <row r="45" spans="1:4" ht="15.75" thickBot="1">
      <c r="A45" t="s">
        <v>16</v>
      </c>
      <c r="B45" s="15" t="s">
        <v>395</v>
      </c>
      <c r="C45" s="15"/>
      <c r="D45" s="15"/>
    </row>
    <row r="46" spans="1:49" ht="15">
      <c r="A46" t="s">
        <v>16</v>
      </c>
      <c r="B46" s="9" t="s">
        <v>396</v>
      </c>
      <c r="C46" s="9" t="s">
        <v>745</v>
      </c>
      <c r="D46" t="s">
        <v>137</v>
      </c>
      <c r="F46" s="42">
        <f>F64*F93</f>
        <v>5.4191590500230697</v>
      </c>
      <c r="G46" s="12">
        <f t="shared" si="79" ref="G46:N46">G39*G$48</f>
        <v>6.263725567965813</v>
      </c>
      <c r="H46" s="12">
        <f t="shared" si="79"/>
        <v>6.0309388102583563</v>
      </c>
      <c r="I46" s="12">
        <f t="shared" si="79"/>
        <v>6.3233646866176194</v>
      </c>
      <c r="J46" s="12">
        <f t="shared" si="79"/>
        <v>7.8270236186170452</v>
      </c>
      <c r="K46" s="12">
        <f t="shared" si="79"/>
        <v>10.242361983543422</v>
      </c>
      <c r="L46" s="12">
        <f t="shared" si="80" ref="L46:M46">L39*L$48</f>
        <v>13.020545942660158</v>
      </c>
      <c r="M46" s="12">
        <f t="shared" si="80"/>
        <v>15.80218350103884</v>
      </c>
      <c r="N46" s="12">
        <f t="shared" si="79"/>
        <v>16.975696214162603</v>
      </c>
      <c r="P46" s="12">
        <f t="shared" si="81" ref="P46">P39*P$48</f>
        <v>5.4191590500230697</v>
      </c>
      <c r="Q46" s="12">
        <f>$G46</f>
        <v>6.263725567965813</v>
      </c>
      <c r="R46" s="12">
        <f t="shared" si="82" ref="R46:X47">R39*R$48</f>
        <v>6.0299454950865155</v>
      </c>
      <c r="S46" s="12">
        <f t="shared" si="82"/>
        <v>6.3205108376017174</v>
      </c>
      <c r="T46" s="252">
        <f t="shared" si="82"/>
        <v>7.8252624111096889</v>
      </c>
      <c r="U46" s="252">
        <f t="shared" si="82"/>
        <v>10.240057285653464</v>
      </c>
      <c r="V46" s="252">
        <f t="shared" si="83" ref="V46:W46">V39*V$48</f>
        <v>13.014573702574031</v>
      </c>
      <c r="W46" s="252">
        <f t="shared" si="83"/>
        <v>15.798073617638634</v>
      </c>
      <c r="X46" s="252">
        <f t="shared" si="82"/>
        <v>16.968729076984772</v>
      </c>
      <c r="Y46" s="12"/>
      <c r="Z46" s="12">
        <f t="shared" si="84" ref="Z46:AH47">Z39*Z$48</f>
        <v>5.4191590500230697</v>
      </c>
      <c r="AA46" s="12">
        <f t="shared" si="84"/>
        <v>6.263725567965813</v>
      </c>
      <c r="AB46" s="12">
        <f t="shared" si="84"/>
        <v>6.0299454950865155</v>
      </c>
      <c r="AC46" s="12">
        <f t="shared" si="84"/>
        <v>6.3205108376017174</v>
      </c>
      <c r="AD46" s="252">
        <f t="shared" si="84"/>
        <v>7.4339992905542038</v>
      </c>
      <c r="AE46" s="252">
        <f t="shared" si="84"/>
        <v>9.2416517003022491</v>
      </c>
      <c r="AF46" s="252">
        <f t="shared" si="85" ref="AF46:AG46">AF39*AF$48</f>
        <v>11.158370128244409</v>
      </c>
      <c r="AG46" s="252">
        <f t="shared" si="85"/>
        <v>12.867629699526775</v>
      </c>
      <c r="AH46" s="252">
        <f t="shared" si="84"/>
        <v>13.130079093372782</v>
      </c>
      <c r="AI46" s="12"/>
      <c r="AJ46" s="12"/>
      <c r="AK46" s="12"/>
      <c r="AL46" s="12"/>
      <c r="AM46" s="12"/>
      <c r="AN46" s="12"/>
      <c r="AO46" s="12"/>
      <c r="AP46" s="12"/>
      <c r="AQ46" s="12"/>
      <c r="AR46" s="12"/>
      <c r="AS46" s="12"/>
      <c r="AT46" s="12"/>
      <c r="AU46" s="12"/>
      <c r="AV46" s="12"/>
      <c r="AW46" s="12"/>
    </row>
    <row r="47" spans="1:49" ht="15">
      <c r="A47" t="s">
        <v>16</v>
      </c>
      <c r="B47" s="9" t="s">
        <v>368</v>
      </c>
      <c r="C47" s="9" t="s">
        <v>755</v>
      </c>
      <c r="D47" t="s">
        <v>137</v>
      </c>
      <c r="F47" s="42">
        <f>F103</f>
        <v>27.142505514316699</v>
      </c>
      <c r="G47" s="12">
        <f t="shared" si="86" ref="G47">G40*G$48</f>
        <v>26.703251105538467</v>
      </c>
      <c r="H47" s="12">
        <f t="shared" si="87" ref="H47:N47">H40*H$48</f>
        <v>25.710844401627732</v>
      </c>
      <c r="I47" s="12">
        <f t="shared" si="87"/>
        <v>26.957502085054063</v>
      </c>
      <c r="J47" s="12">
        <f t="shared" si="87"/>
        <v>33.367837531998987</v>
      </c>
      <c r="K47" s="12">
        <f t="shared" si="87"/>
        <v>43.664806350895645</v>
      </c>
      <c r="L47" s="12">
        <f t="shared" si="87"/>
        <v>55.50864322923541</v>
      </c>
      <c r="M47" s="12">
        <f t="shared" si="87"/>
        <v>67.367203346533998</v>
      </c>
      <c r="N47" s="12">
        <f t="shared" si="87"/>
        <v>72.37007333406163</v>
      </c>
      <c r="P47" s="12">
        <f>P40*P$48</f>
        <v>27.142505514316699</v>
      </c>
      <c r="Q47" s="12">
        <f>$G47</f>
        <v>26.703251105538467</v>
      </c>
      <c r="R47" s="12">
        <f t="shared" si="82"/>
        <v>25.706609742210937</v>
      </c>
      <c r="S47" s="12">
        <f t="shared" si="82"/>
        <v>26.945335676091531</v>
      </c>
      <c r="T47" s="252">
        <f t="shared" si="82"/>
        <v>33.36032922630973</v>
      </c>
      <c r="U47" s="252">
        <f t="shared" si="82"/>
        <v>43.654981059891085</v>
      </c>
      <c r="V47" s="252">
        <f t="shared" si="88" ref="V47:W47">V40*V$48</f>
        <v>55.483182626762982</v>
      </c>
      <c r="W47" s="252">
        <f t="shared" si="88"/>
        <v>67.349682264669966</v>
      </c>
      <c r="X47" s="252">
        <f t="shared" si="82"/>
        <v>72.340371328198231</v>
      </c>
      <c r="Y47" s="12"/>
      <c r="Z47" s="12">
        <f t="shared" si="84"/>
        <v>27.142505514316699</v>
      </c>
      <c r="AA47" s="12">
        <f t="shared" si="84"/>
        <v>26.703251105538467</v>
      </c>
      <c r="AB47" s="12">
        <f t="shared" si="84"/>
        <v>25.706609742210937</v>
      </c>
      <c r="AC47" s="12">
        <f t="shared" si="84"/>
        <v>26.945335676091531</v>
      </c>
      <c r="AD47" s="252">
        <f t="shared" si="84"/>
        <v>33.751592346865209</v>
      </c>
      <c r="AE47" s="252">
        <f t="shared" si="84"/>
        <v>44.653386645242293</v>
      </c>
      <c r="AF47" s="252">
        <f t="shared" si="89" ref="AF47:AG47">AF40*AF$48</f>
        <v>57.339386201092601</v>
      </c>
      <c r="AG47" s="252">
        <f t="shared" si="89"/>
        <v>70.280126182781828</v>
      </c>
      <c r="AH47" s="252">
        <f t="shared" si="84"/>
        <v>76.179021311810217</v>
      </c>
      <c r="AI47" s="12"/>
      <c r="AJ47" s="12"/>
      <c r="AK47" s="12"/>
      <c r="AL47" s="12"/>
      <c r="AM47" s="12"/>
      <c r="AN47" s="12"/>
      <c r="AO47" s="12"/>
      <c r="AP47" s="12"/>
      <c r="AQ47" s="12"/>
      <c r="AR47" s="12"/>
      <c r="AS47" s="12"/>
      <c r="AT47" s="12"/>
      <c r="AU47" s="12"/>
      <c r="AV47" s="12"/>
      <c r="AW47" s="12"/>
    </row>
    <row r="48" spans="1:49" ht="15">
      <c r="A48" t="s">
        <v>16</v>
      </c>
      <c r="B48" s="9"/>
      <c r="C48" s="7" t="s">
        <v>5</v>
      </c>
      <c r="D48" s="8" t="s">
        <v>137</v>
      </c>
      <c r="E48" s="8"/>
      <c r="F48" s="40">
        <f>SUM(F46:F47)</f>
        <v>32.561664564339772</v>
      </c>
      <c r="G48" s="40">
        <f>F48*(1+(F21+G21)/2*((G7/F7)^(1/(G$4-F$4))-1))^(G$4-F$4)</f>
        <v>32.966976673504277</v>
      </c>
      <c r="H48" s="40">
        <f t="shared" si="90" ref="H48:N48">G48*(1+(G21+H21)/2*((H7/G7)^(1/(H$4-G$4))-1))^(H$4-G$4)</f>
        <v>31.741783211886087</v>
      </c>
      <c r="I48" s="40">
        <f t="shared" si="90"/>
        <v>33.280866771671683</v>
      </c>
      <c r="J48" s="40">
        <f t="shared" si="90"/>
        <v>41.194861150616028</v>
      </c>
      <c r="K48" s="40">
        <f t="shared" si="90"/>
        <v>53.907168334439064</v>
      </c>
      <c r="L48" s="40">
        <f t="shared" si="90"/>
        <v>68.529189171895567</v>
      </c>
      <c r="M48" s="40">
        <f t="shared" si="90"/>
        <v>83.169386847572838</v>
      </c>
      <c r="N48" s="40">
        <f t="shared" si="90"/>
        <v>89.345769548224226</v>
      </c>
      <c r="P48" s="40">
        <f>$F48</f>
        <v>32.561664564339772</v>
      </c>
      <c r="Q48" s="40">
        <f>$G48</f>
        <v>32.966976673504277</v>
      </c>
      <c r="R48" s="40">
        <f>P48*(1+(P21+R21)/2*((R7/P7)^(1/(R$4-P$4))-1))^(R$4-P$4)</f>
        <v>31.736555237297448</v>
      </c>
      <c r="S48" s="40">
        <f>Q48*(1+(Q21+S21)/2*((S7/Q7)^(1/(S$4-Q$4))-1))^(S$4-Q$4)</f>
        <v>33.265846513693248</v>
      </c>
      <c r="T48" s="253">
        <f>R48*(1+(R21+T21)/2*((T7/R7)^(1/(T$4-R$4))-1))^(T$4-R$4)</f>
        <v>41.185591637419414</v>
      </c>
      <c r="U48" s="253">
        <f>T48*(1+(T21+U21)/2*((U7/T7)^(1/(U$4-T$4))-1))^(U$4-T$4)</f>
        <v>53.895038345544542</v>
      </c>
      <c r="V48" s="253">
        <f>S48*(1+(S21+V21)/2*((V7/S7)^(1/(V$4-S$4))-1))^(V$4-S$4)</f>
        <v>68.497756329337008</v>
      </c>
      <c r="W48" s="253">
        <f>T48*(1+(T21+W21)/2*((W7/T7)^(1/(W$4-T$4))-1))^(W$4-T$4)</f>
        <v>83.147755882308601</v>
      </c>
      <c r="X48" s="253">
        <f>U48*(1+(U21+X21)/2*((X7/U7)^(1/(X$4-U$4))-1))^(X$4-U$4)</f>
        <v>89.309100405183003</v>
      </c>
      <c r="Y48" s="9"/>
      <c r="Z48" s="40">
        <f>P48</f>
        <v>32.561664564339772</v>
      </c>
      <c r="AA48" s="40">
        <f>Q48</f>
        <v>32.966976673504277</v>
      </c>
      <c r="AB48" s="40">
        <f>R48</f>
        <v>31.736555237297448</v>
      </c>
      <c r="AC48" s="40">
        <f>S48</f>
        <v>33.265846513693248</v>
      </c>
      <c r="AD48" s="253">
        <f>AB48*(1+(AB21+AD21)/2*((AD7/AB7)^(1/(AD$4-AB$4))-1))^(AD$4-AB$4)</f>
        <v>41.185591637419414</v>
      </c>
      <c r="AE48" s="253">
        <f>AD48*(1+(AD21+AE21)/2*((AE7/AD7)^(1/(AE$4-AD$4))-1))^(AE$4-AD$4)</f>
        <v>53.895038345544542</v>
      </c>
      <c r="AF48" s="253">
        <f>AC48*(1+(AC21+AF21)/2*((AF7/AC7)^(1/(AF$4-AC$4))-1))^(AF$4-AC$4)</f>
        <v>68.497756329337008</v>
      </c>
      <c r="AG48" s="253">
        <f>AD48*(1+(AD21+AG21)/2*((AG7/AD7)^(1/(AG$4-AD$4))-1))^(AG$4-AD$4)</f>
        <v>83.147755882308601</v>
      </c>
      <c r="AH48" s="253">
        <f>AE48*(1+(AE21+AH21)/2*((AH7/AE7)^(1/(AH$4-AE$4))-1))^(AH$4-AE$4)</f>
        <v>89.309100405183003</v>
      </c>
      <c r="AI48" s="9"/>
      <c r="AJ48" s="9"/>
      <c r="AK48" s="9"/>
      <c r="AL48" s="9"/>
      <c r="AM48" s="9"/>
      <c r="AN48" s="9"/>
      <c r="AO48" s="9"/>
      <c r="AP48" s="9"/>
      <c r="AQ48" s="9"/>
      <c r="AR48" s="9"/>
      <c r="AS48" s="9"/>
      <c r="AT48" s="9"/>
      <c r="AU48" s="9"/>
      <c r="AV48" s="9"/>
      <c r="AW48" s="9"/>
    </row>
    <row r="49" spans="1:49" ht="15">
      <c r="A49" t="s">
        <v>16</v>
      </c>
      <c r="B49" s="9"/>
      <c r="C49" s="7"/>
      <c r="D49" s="8"/>
      <c r="E49" s="8"/>
      <c r="F49" s="40"/>
      <c r="G49" s="40"/>
      <c r="H49" s="40"/>
      <c r="I49" s="40"/>
      <c r="J49" s="40"/>
      <c r="K49" s="40"/>
      <c r="L49" s="40"/>
      <c r="M49" s="40"/>
      <c r="N49" s="40"/>
      <c r="P49" s="12"/>
      <c r="R49" s="9"/>
      <c r="T49" s="9"/>
      <c r="U49" s="9"/>
      <c r="V49" s="9"/>
      <c r="W49" s="9"/>
      <c r="X49" s="9"/>
      <c r="Y49" s="9"/>
      <c r="Z49" s="9"/>
      <c r="AB49" s="9"/>
      <c r="AD49" s="9"/>
      <c r="AE49" s="9"/>
      <c r="AF49" s="9"/>
      <c r="AG49" s="9"/>
      <c r="AH49" s="9"/>
      <c r="AI49" s="9"/>
      <c r="AJ49" s="9"/>
      <c r="AK49" s="9"/>
      <c r="AL49" s="9"/>
      <c r="AM49" s="9"/>
      <c r="AN49" s="9"/>
      <c r="AO49" s="9"/>
      <c r="AP49" s="9"/>
      <c r="AQ49" s="9"/>
      <c r="AR49" s="9"/>
      <c r="AS49" s="9"/>
      <c r="AT49" s="9"/>
      <c r="AU49" s="9"/>
      <c r="AV49" s="9"/>
      <c r="AW49" s="9"/>
    </row>
    <row r="50" spans="1:4" ht="15.75" thickBot="1">
      <c r="A50" t="s">
        <v>16</v>
      </c>
      <c r="B50" s="15" t="s">
        <v>194</v>
      </c>
      <c r="C50" s="15"/>
      <c r="D50" s="15"/>
    </row>
    <row r="51" spans="1:49" ht="15">
      <c r="A51" t="s">
        <v>16</v>
      </c>
      <c r="B51" s="9" t="s">
        <v>397</v>
      </c>
      <c r="C51" s="9" t="s">
        <v>746</v>
      </c>
      <c r="D51" t="s">
        <v>137</v>
      </c>
      <c r="F51" s="42">
        <f>F65*F94</f>
        <v>2.508551055458172</v>
      </c>
      <c r="G51" s="12">
        <f t="shared" si="91" ref="G51">G28*G$60</f>
        <v>2.539776305544069</v>
      </c>
      <c r="H51" s="12">
        <f t="shared" si="92" ref="H51:N59">H28*H$60</f>
        <v>2.4453873855547426</v>
      </c>
      <c r="I51" s="12">
        <f t="shared" si="92"/>
        <v>2.5639584027307731</v>
      </c>
      <c r="J51" s="12">
        <f t="shared" si="92"/>
        <v>3.1736526311374105</v>
      </c>
      <c r="K51" s="12">
        <f t="shared" si="92"/>
        <v>4.1530089395434571</v>
      </c>
      <c r="L51" s="12">
        <f t="shared" si="93" ref="L51:M51">L28*L$60</f>
        <v>5.2794896123068344</v>
      </c>
      <c r="M51" s="12">
        <f t="shared" si="93"/>
        <v>6.4073706289197565</v>
      </c>
      <c r="N51" s="12">
        <f t="shared" si="92"/>
        <v>6.8831992313555412</v>
      </c>
      <c r="P51" s="12">
        <f t="shared" si="94" ref="P51:X51">P28*P$60</f>
        <v>2.508551055458172</v>
      </c>
      <c r="Q51" s="12">
        <f t="shared" si="94"/>
        <v>2.539776305544069</v>
      </c>
      <c r="R51" s="12">
        <f t="shared" si="94"/>
        <v>2.4453873855547426</v>
      </c>
      <c r="S51" s="12">
        <f t="shared" si="94"/>
        <v>2.5639584027307731</v>
      </c>
      <c r="T51" s="252">
        <f t="shared" si="94"/>
        <v>3.1736526311374105</v>
      </c>
      <c r="U51" s="252">
        <f t="shared" si="94"/>
        <v>4.1530089395434571</v>
      </c>
      <c r="V51" s="252">
        <f t="shared" si="95" ref="V51:W51">V28*V$60</f>
        <v>5.2794896123068344</v>
      </c>
      <c r="W51" s="252">
        <f t="shared" si="95"/>
        <v>6.4073706289197565</v>
      </c>
      <c r="X51" s="252">
        <f t="shared" si="94"/>
        <v>6.8831992313555412</v>
      </c>
      <c r="Y51" s="12"/>
      <c r="Z51" s="12">
        <f>P51</f>
        <v>2.508551055458172</v>
      </c>
      <c r="AA51" s="12">
        <f>Q51</f>
        <v>2.539776305544069</v>
      </c>
      <c r="AB51" s="12">
        <f>R51</f>
        <v>2.4453873855547426</v>
      </c>
      <c r="AC51" s="12">
        <f>S51</f>
        <v>2.5639584027307731</v>
      </c>
      <c r="AD51" s="252">
        <f t="shared" si="96" ref="AD51:AH59">AD28*AD$60</f>
        <v>3.014788127713139</v>
      </c>
      <c r="AE51" s="252">
        <f t="shared" si="96"/>
        <v>3.7478644720793466</v>
      </c>
      <c r="AF51" s="252">
        <f t="shared" si="97" ref="AF51:AG51">AF28*AF$60</f>
        <v>4.5264690760261486</v>
      </c>
      <c r="AG51" s="252">
        <f t="shared" si="97"/>
        <v>5.2183455679413022</v>
      </c>
      <c r="AH51" s="252">
        <f t="shared" si="96"/>
        <v>5.3247794382939402</v>
      </c>
      <c r="AI51" s="12"/>
      <c r="AJ51" s="12"/>
      <c r="AK51" s="12"/>
      <c r="AL51" s="12"/>
      <c r="AM51" s="12"/>
      <c r="AN51" s="12"/>
      <c r="AO51" s="12"/>
      <c r="AP51" s="12"/>
      <c r="AQ51" s="12"/>
      <c r="AR51" s="12"/>
      <c r="AS51" s="12"/>
      <c r="AT51" s="12"/>
      <c r="AU51" s="12"/>
      <c r="AV51" s="12"/>
      <c r="AW51" s="12"/>
    </row>
    <row r="52" spans="1:49" ht="15">
      <c r="A52" t="s">
        <v>16</v>
      </c>
      <c r="B52" s="9" t="s">
        <v>398</v>
      </c>
      <c r="C52" s="9" t="s">
        <v>747</v>
      </c>
      <c r="D52" t="s">
        <v>137</v>
      </c>
      <c r="F52" s="42">
        <f t="shared" si="98" ref="F52:F58">F66*F95</f>
        <v>16.520182703280053</v>
      </c>
      <c r="G52" s="12">
        <f t="shared" si="99" ref="G52">G29*G$60</f>
        <v>16.725818078032439</v>
      </c>
      <c r="H52" s="12">
        <f t="shared" si="92"/>
        <v>16.104215340469594</v>
      </c>
      <c r="I52" s="12">
        <f t="shared" si="92"/>
        <v>16.885070433213169</v>
      </c>
      <c r="J52" s="12">
        <f t="shared" si="92"/>
        <v>20.900240873734013</v>
      </c>
      <c r="K52" s="12">
        <f t="shared" si="92"/>
        <v>27.349838585239532</v>
      </c>
      <c r="L52" s="12">
        <f t="shared" si="100" ref="L52:M52">L29*L$60</f>
        <v>34.768330820138807</v>
      </c>
      <c r="M52" s="12">
        <f t="shared" si="100"/>
        <v>42.196045086294546</v>
      </c>
      <c r="N52" s="12">
        <f t="shared" si="92"/>
        <v>45.329637057875871</v>
      </c>
      <c r="P52" s="12">
        <f t="shared" si="101" ref="P52:P59">P29*P$60</f>
        <v>16.520182703280053</v>
      </c>
      <c r="Q52" s="12">
        <f t="shared" si="102" ref="Q52:X59">Q29*Q$60</f>
        <v>16.725818078032439</v>
      </c>
      <c r="R52" s="12">
        <f t="shared" si="102"/>
        <v>16.104215340469594</v>
      </c>
      <c r="S52" s="12">
        <f t="shared" si="102"/>
        <v>16.885070433213169</v>
      </c>
      <c r="T52" s="252">
        <f t="shared" si="102"/>
        <v>20.900240873734013</v>
      </c>
      <c r="U52" s="252">
        <f t="shared" si="102"/>
        <v>27.349838585239532</v>
      </c>
      <c r="V52" s="252">
        <f t="shared" si="103" ref="V52:W52">V29*V$60</f>
        <v>34.768330820138807</v>
      </c>
      <c r="W52" s="252">
        <f t="shared" si="103"/>
        <v>42.196045086294546</v>
      </c>
      <c r="X52" s="252">
        <f t="shared" si="102"/>
        <v>45.329637057875871</v>
      </c>
      <c r="Y52" s="12"/>
      <c r="Z52" s="12">
        <f t="shared" si="104" ref="Z52:Z59">P52</f>
        <v>16.520182703280053</v>
      </c>
      <c r="AA52" s="12">
        <f t="shared" si="105" ref="AA52:AA60">Q52</f>
        <v>16.725818078032439</v>
      </c>
      <c r="AB52" s="12">
        <f t="shared" si="106" ref="AB52:AB60">R52</f>
        <v>16.104215340469594</v>
      </c>
      <c r="AC52" s="12">
        <f t="shared" si="107" ref="AC52:AC60">S52</f>
        <v>16.885070433213169</v>
      </c>
      <c r="AD52" s="252">
        <f t="shared" si="96"/>
        <v>19.854031104184202</v>
      </c>
      <c r="AE52" s="252">
        <f t="shared" si="96"/>
        <v>24.681740358110659</v>
      </c>
      <c r="AF52" s="252">
        <f t="shared" si="108" ref="AF52:AG52">AF29*AF$60</f>
        <v>29.809278138467651</v>
      </c>
      <c r="AG52" s="252">
        <f t="shared" si="108"/>
        <v>34.365663797700407</v>
      </c>
      <c r="AH52" s="252">
        <f t="shared" si="96"/>
        <v>35.06658913075951</v>
      </c>
      <c r="AI52" s="12"/>
      <c r="AJ52" s="12"/>
      <c r="AK52" s="12"/>
      <c r="AL52" s="12"/>
      <c r="AM52" s="12"/>
      <c r="AN52" s="12"/>
      <c r="AO52" s="12"/>
      <c r="AP52" s="12"/>
      <c r="AQ52" s="12"/>
      <c r="AR52" s="12"/>
      <c r="AS52" s="12"/>
      <c r="AT52" s="12"/>
      <c r="AU52" s="12"/>
      <c r="AV52" s="12"/>
      <c r="AW52" s="12"/>
    </row>
    <row r="53" spans="1:49" ht="15">
      <c r="A53" t="s">
        <v>16</v>
      </c>
      <c r="B53" s="9" t="s">
        <v>399</v>
      </c>
      <c r="C53" s="9" t="s">
        <v>748</v>
      </c>
      <c r="D53" t="s">
        <v>137</v>
      </c>
      <c r="F53" s="42">
        <f t="shared" si="98"/>
        <v>4.7389994637867545</v>
      </c>
      <c r="G53" s="12">
        <f t="shared" si="109" ref="G53">G30*G$60</f>
        <v>4.7979882745154434</v>
      </c>
      <c r="H53" s="12">
        <f t="shared" si="92"/>
        <v>4.6196745661922405</v>
      </c>
      <c r="I53" s="12">
        <f t="shared" si="92"/>
        <v>4.8436715965079067</v>
      </c>
      <c r="J53" s="12">
        <f t="shared" si="92"/>
        <v>5.995468214402619</v>
      </c>
      <c r="K53" s="12">
        <f t="shared" si="92"/>
        <v>7.8456075648830694</v>
      </c>
      <c r="L53" s="12">
        <f t="shared" si="110" ref="L53:M53">L30*L$60</f>
        <v>9.9736851627363698</v>
      </c>
      <c r="M53" s="12">
        <f t="shared" si="110"/>
        <v>12.104408203558698</v>
      </c>
      <c r="N53" s="12">
        <f t="shared" si="92"/>
        <v>13.003314162395455</v>
      </c>
      <c r="P53" s="12">
        <f t="shared" si="101"/>
        <v>4.7389994637867545</v>
      </c>
      <c r="Q53" s="12">
        <f t="shared" si="102"/>
        <v>4.7979882745154434</v>
      </c>
      <c r="R53" s="12">
        <f t="shared" si="102"/>
        <v>4.6196745661922405</v>
      </c>
      <c r="S53" s="12">
        <f t="shared" si="102"/>
        <v>4.8436715965079067</v>
      </c>
      <c r="T53" s="252">
        <f t="shared" si="102"/>
        <v>5.995468214402619</v>
      </c>
      <c r="U53" s="252">
        <f t="shared" si="102"/>
        <v>7.8456075648830694</v>
      </c>
      <c r="V53" s="252">
        <f t="shared" si="111" ref="V53:W53">V30*V$60</f>
        <v>9.9736851627363698</v>
      </c>
      <c r="W53" s="252">
        <f t="shared" si="111"/>
        <v>12.104408203558698</v>
      </c>
      <c r="X53" s="252">
        <f t="shared" si="102"/>
        <v>13.003314162395455</v>
      </c>
      <c r="Y53" s="12"/>
      <c r="Z53" s="12">
        <f t="shared" si="104"/>
        <v>4.7389994637867545</v>
      </c>
      <c r="AA53" s="12">
        <f t="shared" si="105"/>
        <v>4.7979882745154434</v>
      </c>
      <c r="AB53" s="12">
        <f t="shared" si="106"/>
        <v>4.6196745661922405</v>
      </c>
      <c r="AC53" s="12">
        <f t="shared" si="107"/>
        <v>4.8436715965079067</v>
      </c>
      <c r="AD53" s="252">
        <f t="shared" si="96"/>
        <v>5.6953512226020013</v>
      </c>
      <c r="AE53" s="252">
        <f t="shared" si="96"/>
        <v>7.0802337009981597</v>
      </c>
      <c r="AF53" s="252">
        <f t="shared" si="112" ref="AF53:AG53">AF30*AF$60</f>
        <v>8.5511253508122689</v>
      </c>
      <c r="AG53" s="252">
        <f t="shared" si="112"/>
        <v>9.8581756167649868</v>
      </c>
      <c r="AH53" s="252">
        <f t="shared" si="96"/>
        <v>10.059243900160071</v>
      </c>
      <c r="AI53" s="12"/>
      <c r="AJ53" s="12"/>
      <c r="AK53" s="12"/>
      <c r="AL53" s="12"/>
      <c r="AM53" s="12"/>
      <c r="AN53" s="12"/>
      <c r="AO53" s="12"/>
      <c r="AP53" s="12"/>
      <c r="AQ53" s="12"/>
      <c r="AR53" s="12"/>
      <c r="AS53" s="12"/>
      <c r="AT53" s="12"/>
      <c r="AU53" s="12"/>
      <c r="AV53" s="12"/>
      <c r="AW53" s="12"/>
    </row>
    <row r="54" spans="1:49" ht="15">
      <c r="A54" t="s">
        <v>16</v>
      </c>
      <c r="B54" s="9" t="s">
        <v>400</v>
      </c>
      <c r="C54" s="9" t="s">
        <v>749</v>
      </c>
      <c r="D54" t="s">
        <v>137</v>
      </c>
      <c r="F54" s="42">
        <f t="shared" si="98"/>
        <v>3.2441770761137643</v>
      </c>
      <c r="G54" s="12">
        <f t="shared" si="113" ref="G54">G31*G$60</f>
        <v>3.284559048927981</v>
      </c>
      <c r="H54" s="12">
        <f t="shared" si="92"/>
        <v>3.1624908255995221</v>
      </c>
      <c r="I54" s="12">
        <f t="shared" si="92"/>
        <v>3.3158324827194776</v>
      </c>
      <c r="J54" s="12">
        <f t="shared" si="92"/>
        <v>4.1043179452465379</v>
      </c>
      <c r="K54" s="12">
        <f t="shared" si="92"/>
        <v>5.370867923635557</v>
      </c>
      <c r="L54" s="12">
        <f t="shared" si="114" ref="L54:M54">L31*L$60</f>
        <v>6.8276861005319756</v>
      </c>
      <c r="M54" s="12">
        <f t="shared" si="114"/>
        <v>8.2863152684407098</v>
      </c>
      <c r="N54" s="12">
        <f t="shared" si="92"/>
        <v>8.901679361119891</v>
      </c>
      <c r="P54" s="12">
        <f t="shared" si="101"/>
        <v>3.2441770761137643</v>
      </c>
      <c r="Q54" s="12">
        <f t="shared" si="102"/>
        <v>3.284559048927981</v>
      </c>
      <c r="R54" s="12">
        <f t="shared" si="102"/>
        <v>3.1624908255995221</v>
      </c>
      <c r="S54" s="12">
        <f t="shared" si="102"/>
        <v>3.3158324827194776</v>
      </c>
      <c r="T54" s="252">
        <f t="shared" si="102"/>
        <v>4.1043179452465379</v>
      </c>
      <c r="U54" s="252">
        <f t="shared" si="102"/>
        <v>5.370867923635557</v>
      </c>
      <c r="V54" s="252">
        <f t="shared" si="115" ref="V54:W54">V31*V$60</f>
        <v>6.8276861005319756</v>
      </c>
      <c r="W54" s="252">
        <f t="shared" si="115"/>
        <v>8.2863152684407098</v>
      </c>
      <c r="X54" s="252">
        <f t="shared" si="102"/>
        <v>8.901679361119891</v>
      </c>
      <c r="Y54" s="12"/>
      <c r="Z54" s="12">
        <f t="shared" si="104"/>
        <v>3.2441770761137643</v>
      </c>
      <c r="AA54" s="12">
        <f t="shared" si="105"/>
        <v>3.284559048927981</v>
      </c>
      <c r="AB54" s="12">
        <f t="shared" si="106"/>
        <v>3.1624908255995221</v>
      </c>
      <c r="AC54" s="12">
        <f t="shared" si="107"/>
        <v>3.3158324827194776</v>
      </c>
      <c r="AD54" s="252">
        <f t="shared" si="96"/>
        <v>3.8988668426684865</v>
      </c>
      <c r="AE54" s="252">
        <f t="shared" si="96"/>
        <v>4.8469159032046534</v>
      </c>
      <c r="AF54" s="252">
        <f t="shared" si="116" ref="AF54:AG54">AF31*AF$60</f>
        <v>5.853844266087628</v>
      </c>
      <c r="AG54" s="252">
        <f t="shared" si="116"/>
        <v>6.7486117254500178</v>
      </c>
      <c r="AH54" s="252">
        <f t="shared" si="96"/>
        <v>6.8862570492590756</v>
      </c>
      <c r="AI54" s="12"/>
      <c r="AJ54" s="12"/>
      <c r="AK54" s="12"/>
      <c r="AL54" s="12"/>
      <c r="AM54" s="12"/>
      <c r="AN54" s="12"/>
      <c r="AO54" s="12"/>
      <c r="AP54" s="12"/>
      <c r="AQ54" s="12"/>
      <c r="AR54" s="12"/>
      <c r="AS54" s="12"/>
      <c r="AT54" s="12"/>
      <c r="AU54" s="12"/>
      <c r="AV54" s="12"/>
      <c r="AW54" s="12"/>
    </row>
    <row r="55" spans="1:49" ht="15">
      <c r="A55" t="s">
        <v>16</v>
      </c>
      <c r="B55" s="9" t="s">
        <v>401</v>
      </c>
      <c r="C55" s="9" t="s">
        <v>750</v>
      </c>
      <c r="D55" t="s">
        <v>137</v>
      </c>
      <c r="F55" s="42">
        <f>F69*F98</f>
        <v>130.05107807184956</v>
      </c>
      <c r="G55" s="12">
        <f>G32*G$60</f>
        <v>134.72568842583829</v>
      </c>
      <c r="H55" s="12">
        <f t="shared" si="92"/>
        <v>131.01589429361536</v>
      </c>
      <c r="I55" s="12">
        <f t="shared" si="92"/>
        <v>138.27526640235746</v>
      </c>
      <c r="J55" s="12">
        <f t="shared" si="92"/>
        <v>164.53200950681796</v>
      </c>
      <c r="K55" s="12">
        <f t="shared" si="92"/>
        <v>215.3048823361535</v>
      </c>
      <c r="L55" s="12">
        <f t="shared" si="117" ref="L55:M55">L32*L$60</f>
        <v>273.70513917016171</v>
      </c>
      <c r="M55" s="12">
        <f t="shared" si="117"/>
        <v>332.17799417868514</v>
      </c>
      <c r="N55" s="12">
        <f t="shared" si="92"/>
        <v>356.84642681415045</v>
      </c>
      <c r="P55" s="12">
        <f t="shared" si="101"/>
        <v>130.05107807184956</v>
      </c>
      <c r="Q55" s="12">
        <f t="shared" si="102"/>
        <v>131.66989201940638</v>
      </c>
      <c r="R55" s="12">
        <f t="shared" si="102"/>
        <v>131.88068567509137</v>
      </c>
      <c r="S55" s="12">
        <f t="shared" si="102"/>
        <v>132.92356704520515</v>
      </c>
      <c r="T55" s="252">
        <f t="shared" si="102"/>
        <v>164.53200950681796</v>
      </c>
      <c r="U55" s="252">
        <f t="shared" si="102"/>
        <v>215.3048823361535</v>
      </c>
      <c r="V55" s="252">
        <f t="shared" si="118" ref="V55:W55">V32*V$60</f>
        <v>273.70513917016171</v>
      </c>
      <c r="W55" s="252">
        <f t="shared" si="118"/>
        <v>332.17799417868514</v>
      </c>
      <c r="X55" s="252">
        <f t="shared" si="102"/>
        <v>356.84642681415045</v>
      </c>
      <c r="Y55" s="12"/>
      <c r="Z55" s="12">
        <f t="shared" si="104"/>
        <v>130.05107807184956</v>
      </c>
      <c r="AA55" s="12">
        <f t="shared" si="105"/>
        <v>131.66989201940638</v>
      </c>
      <c r="AB55" s="12">
        <f t="shared" si="106"/>
        <v>131.88068567509137</v>
      </c>
      <c r="AC55" s="12">
        <f t="shared" si="107"/>
        <v>132.92356704520515</v>
      </c>
      <c r="AD55" s="252">
        <f t="shared" si="96"/>
        <v>156.29598022899168</v>
      </c>
      <c r="AE55" s="252">
        <f t="shared" si="96"/>
        <v>194.300934796832</v>
      </c>
      <c r="AF55" s="252">
        <f t="shared" si="119" ref="AF55:AG55">AF32*AF$60</f>
        <v>234.66621574842611</v>
      </c>
      <c r="AG55" s="252">
        <f t="shared" si="119"/>
        <v>270.53524200179083</v>
      </c>
      <c r="AH55" s="252">
        <f t="shared" si="96"/>
        <v>276.05310441587346</v>
      </c>
      <c r="AI55" s="12"/>
      <c r="AJ55" s="12"/>
      <c r="AK55" s="12"/>
      <c r="AL55" s="12"/>
      <c r="AM55" s="12"/>
      <c r="AN55" s="12"/>
      <c r="AO55" s="12"/>
      <c r="AP55" s="12"/>
      <c r="AQ55" s="12"/>
      <c r="AR55" s="12"/>
      <c r="AS55" s="12"/>
      <c r="AT55" s="12"/>
      <c r="AU55" s="12"/>
      <c r="AV55" s="12"/>
      <c r="AW55" s="12"/>
    </row>
    <row r="56" spans="1:49" ht="15">
      <c r="A56" t="s">
        <v>16</v>
      </c>
      <c r="B56" s="9" t="s">
        <v>402</v>
      </c>
      <c r="C56" s="9" t="s">
        <v>751</v>
      </c>
      <c r="D56" t="s">
        <v>137</v>
      </c>
      <c r="F56" s="42">
        <f t="shared" si="98"/>
        <v>39.825760684889083</v>
      </c>
      <c r="G56" s="12">
        <f t="shared" si="120" ref="G56">G33*G$60</f>
        <v>40.321492806641579</v>
      </c>
      <c r="H56" s="12">
        <f t="shared" si="92"/>
        <v>38.822974157550945</v>
      </c>
      <c r="I56" s="12">
        <f t="shared" si="92"/>
        <v>40.70540782137526</v>
      </c>
      <c r="J56" s="12">
        <f t="shared" si="92"/>
        <v>50.384914394960212</v>
      </c>
      <c r="K56" s="12">
        <f t="shared" si="92"/>
        <v>65.933176758985269</v>
      </c>
      <c r="L56" s="12">
        <f t="shared" si="121" ref="L56:M56">L33*L$60</f>
        <v>83.817185773676499</v>
      </c>
      <c r="M56" s="12">
        <f t="shared" si="121"/>
        <v>101.7234266496277</v>
      </c>
      <c r="N56" s="12">
        <f t="shared" si="92"/>
        <v>109.27768232499072</v>
      </c>
      <c r="P56" s="12">
        <f t="shared" si="101"/>
        <v>39.825760684889083</v>
      </c>
      <c r="Q56" s="12">
        <f t="shared" si="102"/>
        <v>40.321492806641579</v>
      </c>
      <c r="R56" s="12">
        <f t="shared" si="102"/>
        <v>38.822974157550945</v>
      </c>
      <c r="S56" s="12">
        <f t="shared" si="102"/>
        <v>40.70540782137526</v>
      </c>
      <c r="T56" s="252">
        <f t="shared" si="102"/>
        <v>50.384914394960212</v>
      </c>
      <c r="U56" s="252">
        <f t="shared" si="102"/>
        <v>65.933176758985269</v>
      </c>
      <c r="V56" s="252">
        <f t="shared" si="122" ref="V56:W56">V33*V$60</f>
        <v>83.817185773676499</v>
      </c>
      <c r="W56" s="252">
        <f t="shared" si="122"/>
        <v>101.7234266496277</v>
      </c>
      <c r="X56" s="252">
        <f t="shared" si="102"/>
        <v>109.27768232499072</v>
      </c>
      <c r="Y56" s="12"/>
      <c r="Z56" s="12">
        <f t="shared" si="104"/>
        <v>39.825760684889083</v>
      </c>
      <c r="AA56" s="12">
        <f t="shared" si="105"/>
        <v>40.321492806641579</v>
      </c>
      <c r="AB56" s="12">
        <f t="shared" si="106"/>
        <v>38.822974157550945</v>
      </c>
      <c r="AC56" s="12">
        <f t="shared" si="107"/>
        <v>40.70540782137526</v>
      </c>
      <c r="AD56" s="252">
        <f t="shared" si="96"/>
        <v>47.862781277146027</v>
      </c>
      <c r="AE56" s="252">
        <f t="shared" si="96"/>
        <v>59.501102526760604</v>
      </c>
      <c r="AF56" s="252">
        <f t="shared" si="123" ref="AF56:AG56">AF33*AF$60</f>
        <v>71.862230500404607</v>
      </c>
      <c r="AG56" s="252">
        <f t="shared" si="123"/>
        <v>82.846462824701788</v>
      </c>
      <c r="AH56" s="252">
        <f t="shared" si="96"/>
        <v>84.536207125583275</v>
      </c>
      <c r="AI56" s="12"/>
      <c r="AJ56" s="12"/>
      <c r="AK56" s="12"/>
      <c r="AL56" s="12"/>
      <c r="AM56" s="12"/>
      <c r="AN56" s="12"/>
      <c r="AO56" s="12"/>
      <c r="AP56" s="12"/>
      <c r="AQ56" s="12"/>
      <c r="AR56" s="12"/>
      <c r="AS56" s="12"/>
      <c r="AT56" s="12"/>
      <c r="AU56" s="12"/>
      <c r="AV56" s="12"/>
      <c r="AW56" s="12"/>
    </row>
    <row r="57" spans="1:49" ht="15">
      <c r="A57" t="s">
        <v>16</v>
      </c>
      <c r="B57" s="9" t="s">
        <v>403</v>
      </c>
      <c r="C57" s="9" t="s">
        <v>752</v>
      </c>
      <c r="D57" t="s">
        <v>137</v>
      </c>
      <c r="F57" s="42">
        <f t="shared" si="98"/>
        <v>2.2490953086010257</v>
      </c>
      <c r="G57" s="12">
        <f t="shared" si="124" ref="G57">G34*G$60</f>
        <v>2.2770909769870764</v>
      </c>
      <c r="H57" s="12">
        <f t="shared" si="92"/>
        <v>2.1924645641939198</v>
      </c>
      <c r="I57" s="12">
        <f t="shared" si="92"/>
        <v>2.298771955421385</v>
      </c>
      <c r="J57" s="12">
        <f t="shared" si="92"/>
        <v>2.8454064063355355</v>
      </c>
      <c r="K57" s="12">
        <f t="shared" si="92"/>
        <v>3.7234693319005707</v>
      </c>
      <c r="L57" s="12">
        <f t="shared" si="125" ref="L57:M57">L34*L$60</f>
        <v>4.7334397651629301</v>
      </c>
      <c r="M57" s="12">
        <f t="shared" si="125"/>
        <v>5.7446657067696734</v>
      </c>
      <c r="N57" s="12">
        <f t="shared" si="92"/>
        <v>6.1712800565585564</v>
      </c>
      <c r="P57" s="12">
        <f t="shared" si="101"/>
        <v>2.2490953086010257</v>
      </c>
      <c r="Q57" s="12">
        <f t="shared" si="102"/>
        <v>2.2770909769870764</v>
      </c>
      <c r="R57" s="12">
        <f t="shared" si="102"/>
        <v>2.1924645641939198</v>
      </c>
      <c r="S57" s="12">
        <f t="shared" si="102"/>
        <v>2.298771955421385</v>
      </c>
      <c r="T57" s="252">
        <f t="shared" si="102"/>
        <v>2.8454064063355355</v>
      </c>
      <c r="U57" s="252">
        <f t="shared" si="102"/>
        <v>3.7234693319005707</v>
      </c>
      <c r="V57" s="252">
        <f t="shared" si="126" ref="V57:W57">V34*V$60</f>
        <v>4.7334397651629301</v>
      </c>
      <c r="W57" s="252">
        <f t="shared" si="126"/>
        <v>5.7446657067696734</v>
      </c>
      <c r="X57" s="252">
        <f t="shared" si="102"/>
        <v>6.1712800565585564</v>
      </c>
      <c r="Y57" s="12"/>
      <c r="Z57" s="12">
        <f t="shared" si="104"/>
        <v>2.2490953086010257</v>
      </c>
      <c r="AA57" s="12">
        <f t="shared" si="105"/>
        <v>2.2770909769870764</v>
      </c>
      <c r="AB57" s="12">
        <f t="shared" si="106"/>
        <v>2.1924645641939198</v>
      </c>
      <c r="AC57" s="12">
        <f t="shared" si="107"/>
        <v>2.298771955421385</v>
      </c>
      <c r="AD57" s="252">
        <f t="shared" si="96"/>
        <v>2.7029730248911616</v>
      </c>
      <c r="AE57" s="252">
        <f t="shared" si="96"/>
        <v>3.3602283609438266</v>
      </c>
      <c r="AF57" s="252">
        <f t="shared" si="127" ref="AF57:AG57">AF34*AF$60</f>
        <v>4.0583030356376906</v>
      </c>
      <c r="AG57" s="252">
        <f t="shared" si="127"/>
        <v>4.6786197593941834</v>
      </c>
      <c r="AH57" s="252">
        <f t="shared" si="96"/>
        <v>4.7740453310466</v>
      </c>
      <c r="AI57" s="12"/>
      <c r="AJ57" s="12"/>
      <c r="AK57" s="12"/>
      <c r="AL57" s="12"/>
      <c r="AM57" s="12"/>
      <c r="AN57" s="12"/>
      <c r="AO57" s="12"/>
      <c r="AP57" s="12"/>
      <c r="AQ57" s="12"/>
      <c r="AR57" s="12"/>
      <c r="AS57" s="12"/>
      <c r="AT57" s="12"/>
      <c r="AU57" s="12"/>
      <c r="AV57" s="12"/>
      <c r="AW57" s="12"/>
    </row>
    <row r="58" spans="1:49" ht="15">
      <c r="A58" t="s">
        <v>16</v>
      </c>
      <c r="B58" s="9" t="s">
        <v>404</v>
      </c>
      <c r="C58" s="9" t="s">
        <v>753</v>
      </c>
      <c r="D58" t="s">
        <v>137</v>
      </c>
      <c r="F58" s="42">
        <f t="shared" si="98"/>
        <v>0.64433067785501452</v>
      </c>
      <c r="G58" s="12">
        <f t="shared" si="128" ref="G58">G35*G$60</f>
        <v>0.65235099959024967</v>
      </c>
      <c r="H58" s="12">
        <f t="shared" si="92"/>
        <v>0.62810685408386391</v>
      </c>
      <c r="I58" s="12">
        <f t="shared" si="92"/>
        <v>0.65856226128187945</v>
      </c>
      <c r="J58" s="12">
        <f t="shared" si="92"/>
        <v>0.81516449372150912</v>
      </c>
      <c r="K58" s="12">
        <f t="shared" si="92"/>
        <v>1.0667158076498593</v>
      </c>
      <c r="L58" s="12">
        <f t="shared" si="129" ref="L58:M58">L35*L$60</f>
        <v>1.3560565623029999</v>
      </c>
      <c r="M58" s="12">
        <f t="shared" si="129"/>
        <v>1.6457570004873343</v>
      </c>
      <c r="N58" s="12">
        <f t="shared" si="92"/>
        <v>1.7679753485186269</v>
      </c>
      <c r="P58" s="12">
        <f t="shared" si="101"/>
        <v>0.64433067785501452</v>
      </c>
      <c r="Q58" s="12">
        <f t="shared" si="102"/>
        <v>0.65235099959024967</v>
      </c>
      <c r="R58" s="12">
        <f t="shared" si="102"/>
        <v>0.62810685408386391</v>
      </c>
      <c r="S58" s="12">
        <f t="shared" si="102"/>
        <v>0.65856226128187945</v>
      </c>
      <c r="T58" s="252">
        <f t="shared" si="102"/>
        <v>0.81516449372150912</v>
      </c>
      <c r="U58" s="252">
        <f t="shared" si="102"/>
        <v>1.0667158076498593</v>
      </c>
      <c r="V58" s="252">
        <f t="shared" si="130" ref="V58:W58">V35*V$60</f>
        <v>1.3560565623029999</v>
      </c>
      <c r="W58" s="252">
        <f t="shared" si="130"/>
        <v>1.6457570004873343</v>
      </c>
      <c r="X58" s="252">
        <f t="shared" si="102"/>
        <v>1.7679753485186269</v>
      </c>
      <c r="Y58" s="12"/>
      <c r="Z58" s="12">
        <f t="shared" si="104"/>
        <v>0.64433067785501452</v>
      </c>
      <c r="AA58" s="12">
        <f t="shared" si="105"/>
        <v>0.65235099959024967</v>
      </c>
      <c r="AB58" s="12">
        <f t="shared" si="106"/>
        <v>0.62810685408386391</v>
      </c>
      <c r="AC58" s="12">
        <f t="shared" si="107"/>
        <v>0.65856226128187945</v>
      </c>
      <c r="AD58" s="252">
        <f t="shared" si="96"/>
        <v>0.77435955456918815</v>
      </c>
      <c r="AE58" s="252">
        <f t="shared" si="96"/>
        <v>0.96265294284096237</v>
      </c>
      <c r="AF58" s="252">
        <f t="shared" si="131" ref="AF58:AG58">AF35*AF$60</f>
        <v>1.1626404340863614</v>
      </c>
      <c r="AG58" s="252">
        <f t="shared" si="131"/>
        <v>1.3403514868702633</v>
      </c>
      <c r="AH58" s="252">
        <f t="shared" si="96"/>
        <v>1.3676894227204557</v>
      </c>
      <c r="AI58" s="12"/>
      <c r="AJ58" s="12"/>
      <c r="AK58" s="12"/>
      <c r="AL58" s="12"/>
      <c r="AM58" s="12"/>
      <c r="AN58" s="12"/>
      <c r="AO58" s="12"/>
      <c r="AP58" s="12"/>
      <c r="AQ58" s="12"/>
      <c r="AR58" s="12"/>
      <c r="AS58" s="12"/>
      <c r="AT58" s="12"/>
      <c r="AU58" s="12"/>
      <c r="AV58" s="12"/>
      <c r="AW58" s="12"/>
    </row>
    <row r="59" spans="1:49" ht="15">
      <c r="A59" t="s">
        <v>16</v>
      </c>
      <c r="B59" s="9" t="s">
        <v>366</v>
      </c>
      <c r="C59" s="9" t="s">
        <v>754</v>
      </c>
      <c r="D59" t="s">
        <v>137</v>
      </c>
      <c r="F59" s="42">
        <f>F102</f>
        <v>22</v>
      </c>
      <c r="G59" s="12">
        <f t="shared" si="132" ref="G59">G36*G$60</f>
        <v>19.218049126986699</v>
      </c>
      <c r="H59" s="12">
        <f t="shared" si="92"/>
        <v>17.206637381742077</v>
      </c>
      <c r="I59" s="12">
        <f t="shared" si="92"/>
        <v>17.134223238421335</v>
      </c>
      <c r="J59" s="12">
        <f t="shared" si="92"/>
        <v>27.83294273923827</v>
      </c>
      <c r="K59" s="12">
        <f t="shared" si="92"/>
        <v>36.421900391925078</v>
      </c>
      <c r="L59" s="12">
        <f t="shared" si="133" ref="L59:M59">L36*L$60</f>
        <v>46.301139144858453</v>
      </c>
      <c r="M59" s="12">
        <f t="shared" si="133"/>
        <v>56.192658917395939</v>
      </c>
      <c r="N59" s="12">
        <f t="shared" si="92"/>
        <v>60.365677134749021</v>
      </c>
      <c r="P59" s="12">
        <f t="shared" si="101"/>
        <v>22</v>
      </c>
      <c r="Q59" s="12">
        <f t="shared" si="102"/>
        <v>22.273845533418598</v>
      </c>
      <c r="R59" s="12">
        <f t="shared" si="102"/>
        <v>16.341846000266067</v>
      </c>
      <c r="S59" s="12">
        <f t="shared" si="102"/>
        <v>22.485922595573637</v>
      </c>
      <c r="T59" s="252">
        <f t="shared" si="102"/>
        <v>27.83294273923827</v>
      </c>
      <c r="U59" s="252">
        <f t="shared" si="102"/>
        <v>36.421900391925078</v>
      </c>
      <c r="V59" s="252">
        <f t="shared" si="134" ref="V59:W59">V36*V$60</f>
        <v>46.301139144858453</v>
      </c>
      <c r="W59" s="252">
        <f t="shared" si="134"/>
        <v>56.192658917395939</v>
      </c>
      <c r="X59" s="252">
        <f t="shared" si="102"/>
        <v>60.365677134749021</v>
      </c>
      <c r="Y59" s="12"/>
      <c r="Z59" s="12">
        <f t="shared" si="104"/>
        <v>22</v>
      </c>
      <c r="AA59" s="12">
        <f t="shared" si="105"/>
        <v>22.273845533418598</v>
      </c>
      <c r="AB59" s="12">
        <f t="shared" si="106"/>
        <v>16.341846000266067</v>
      </c>
      <c r="AC59" s="12">
        <f t="shared" si="107"/>
        <v>22.485922595573637</v>
      </c>
      <c r="AD59" s="252">
        <f t="shared" si="96"/>
        <v>40.468060162749872</v>
      </c>
      <c r="AE59" s="252">
        <f t="shared" si="96"/>
        <v>68.665645834794461</v>
      </c>
      <c r="AF59" s="252">
        <f t="shared" si="135" ref="AF59:AG59">AF36*AF$60</f>
        <v>106.26860861811844</v>
      </c>
      <c r="AG59" s="252">
        <f t="shared" si="135"/>
        <v>150.83312921578417</v>
      </c>
      <c r="AH59" s="252">
        <f t="shared" si="96"/>
        <v>184.32940188739994</v>
      </c>
      <c r="AI59" s="12"/>
      <c r="AJ59" s="12"/>
      <c r="AK59" s="12"/>
      <c r="AL59" s="12"/>
      <c r="AM59" s="12"/>
      <c r="AN59" s="12"/>
      <c r="AO59" s="12"/>
      <c r="AP59" s="12"/>
      <c r="AQ59" s="12"/>
      <c r="AR59" s="12"/>
      <c r="AS59" s="12"/>
      <c r="AT59" s="12"/>
      <c r="AU59" s="12"/>
      <c r="AV59" s="12"/>
      <c r="AW59" s="12"/>
    </row>
    <row r="60" spans="1:34" ht="15">
      <c r="A60" t="s">
        <v>16</v>
      </c>
      <c r="B60" s="9"/>
      <c r="C60" s="7" t="s">
        <v>5</v>
      </c>
      <c r="D60" s="8" t="s">
        <v>137</v>
      </c>
      <c r="E60" s="8"/>
      <c r="F60" s="40">
        <f>SUM(F51:F59)</f>
        <v>221.78217504183343</v>
      </c>
      <c r="G60" s="40">
        <f>F60*(1+(F22+G22)/2*((G7/F7)^(1/(G$4-F$4))-1))^(G$4-F$4)</f>
        <v>224.5428140430638</v>
      </c>
      <c r="H60" s="40">
        <f t="shared" si="136" ref="H60:N60">G60*(1+(G22+H22)/2*((H7/G7)^(1/(H$4-G$4))-1))^(H$4-G$4)</f>
        <v>216.19784536900227</v>
      </c>
      <c r="I60" s="40">
        <f t="shared" si="136"/>
        <v>226.68076459402863</v>
      </c>
      <c r="J60" s="40">
        <f t="shared" si="136"/>
        <v>280.58411720559405</v>
      </c>
      <c r="K60" s="40">
        <f t="shared" si="136"/>
        <v>367.16946763991587</v>
      </c>
      <c r="L60" s="40">
        <f t="shared" si="136"/>
        <v>466.76215211187656</v>
      </c>
      <c r="M60" s="40">
        <f t="shared" si="136"/>
        <v>566.47864164017949</v>
      </c>
      <c r="N60" s="40">
        <f t="shared" si="136"/>
        <v>608.54687149171411</v>
      </c>
      <c r="P60" s="66">
        <f>$F60</f>
        <v>221.78217504183343</v>
      </c>
      <c r="Q60" s="40">
        <f>P60*(1+(P22+Q22)/2*((Q7/P7)^(1/(Q$4-P$4))-1))^(Q$4-P$4)</f>
        <v>224.5428140430638</v>
      </c>
      <c r="R60" s="40">
        <f t="shared" si="137" ref="R60:X60">Q60*(1+(Q22+R22)/2*((R7/Q7)^(1/(R$4-Q$4))-1))^(R$4-Q$4)</f>
        <v>216.19784536900227</v>
      </c>
      <c r="S60" s="40">
        <f t="shared" si="137"/>
        <v>226.68076459402863</v>
      </c>
      <c r="T60" s="40">
        <f t="shared" si="137"/>
        <v>280.58411720559405</v>
      </c>
      <c r="U60" s="40">
        <f t="shared" si="137"/>
        <v>367.16946763991587</v>
      </c>
      <c r="V60" s="40">
        <f t="shared" si="137"/>
        <v>466.76215211187656</v>
      </c>
      <c r="W60" s="40">
        <f t="shared" si="137"/>
        <v>566.47864164017949</v>
      </c>
      <c r="X60" s="40">
        <f t="shared" si="137"/>
        <v>608.54687149171411</v>
      </c>
      <c r="Z60" s="66">
        <f>P60</f>
        <v>221.78217504183343</v>
      </c>
      <c r="AA60" s="66">
        <f t="shared" si="105"/>
        <v>224.5428140430638</v>
      </c>
      <c r="AB60" s="66">
        <f t="shared" si="106"/>
        <v>216.19784536900227</v>
      </c>
      <c r="AC60" s="66">
        <f t="shared" si="107"/>
        <v>226.68076459402863</v>
      </c>
      <c r="AD60" s="253">
        <f>AB60*(1+(AB22+AD22)/2*((AD7/AB7)^(1/(AD$4-AB$4))-1))^(AD$4-AB$4)</f>
        <v>280.56719154551575</v>
      </c>
      <c r="AE60" s="253">
        <f>AD60*(1+(AD22+AE22)/2*((AE7/AD7)^(1/(AE$4-AD$4))-1))^(AE$4-AD$4)</f>
        <v>367.14731889656468</v>
      </c>
      <c r="AF60" s="253">
        <f>AC60*(1+(AC22+AF22)/2*((AF7/AC7)^(1/(AF$4-AC$4))-1))^(AF$4-AC$4)</f>
        <v>466.75871516806689</v>
      </c>
      <c r="AG60" s="253">
        <f>AD60*(1+(AD22+AG22)/2*((AG7/AD7)^(1/(AG$4-AD$4))-1))^(AG$4-AD$4)</f>
        <v>566.42460199639788</v>
      </c>
      <c r="AH60" s="253">
        <f>AE60*(1+(AE22+AH22)/2*((AH7/AE7)^(1/(AH$4-AE$4))-1))^(AH$4-AE$4)</f>
        <v>608.39731770109643</v>
      </c>
    </row>
    <row r="61" spans="1:14" ht="15">
      <c r="A61" t="s">
        <v>16</v>
      </c>
      <c r="B61" s="9"/>
      <c r="C61" s="7"/>
      <c r="D61" s="8"/>
      <c r="E61" s="8"/>
      <c r="F61" s="12"/>
      <c r="H61" s="12"/>
      <c r="J61" s="12"/>
      <c r="K61" s="12"/>
      <c r="L61" s="12"/>
      <c r="M61" s="12"/>
      <c r="N61" s="12"/>
    </row>
    <row r="62" spans="1:6" ht="15.75" thickBot="1">
      <c r="A62" t="s">
        <v>16</v>
      </c>
      <c r="B62" s="15" t="s">
        <v>136</v>
      </c>
      <c r="C62" s="15"/>
      <c r="D62" s="15"/>
      <c r="F62" s="42" t="s">
        <v>765</v>
      </c>
    </row>
    <row r="63" spans="1:49" ht="15">
      <c r="A63" t="s">
        <v>16</v>
      </c>
      <c r="B63" t="s">
        <v>139</v>
      </c>
      <c r="C63" t="s">
        <v>140</v>
      </c>
      <c r="D63" t="s">
        <v>135</v>
      </c>
      <c r="F63" s="42">
        <v>0.39784000000000003</v>
      </c>
      <c r="G63" s="52">
        <f t="shared" si="138" ref="G63:G72">F63</f>
        <v>0.39784000000000003</v>
      </c>
      <c r="H63" s="52">
        <f t="shared" si="139" ref="H63:H72">IF($D$4,AB63,R63)</f>
        <v>0.39784000000000003</v>
      </c>
      <c r="I63" s="52">
        <f t="shared" si="140" ref="I63:I72">IF($D$4,AD63,T63)</f>
        <v>0.39784000000000003</v>
      </c>
      <c r="J63" s="52">
        <f t="shared" si="141" ref="J63:J72">IF($D$4,AD63,T63)</f>
        <v>0.39784000000000003</v>
      </c>
      <c r="K63" s="52">
        <f t="shared" si="142" ref="K63:K72">IF($D$4,AE63,U63)</f>
        <v>0.39784000000000003</v>
      </c>
      <c r="L63" s="52">
        <f t="shared" si="143" ref="L63:N72">IF($D$4,AF63,V63)</f>
        <v>0.39784000000000003</v>
      </c>
      <c r="M63" s="52">
        <f t="shared" si="143"/>
        <v>0.39784000000000003</v>
      </c>
      <c r="N63" s="52">
        <f t="shared" si="143"/>
        <v>0.39784000000000003</v>
      </c>
      <c r="O63" s="9"/>
      <c r="P63" s="52">
        <f t="shared" si="144" ref="P63:P72">$F63</f>
        <v>0.39784000000000003</v>
      </c>
      <c r="Q63" s="52">
        <f>P63</f>
        <v>0.39784000000000003</v>
      </c>
      <c r="R63" s="52">
        <f t="shared" si="145" ref="R63:S63">Q63</f>
        <v>0.39784000000000003</v>
      </c>
      <c r="S63" s="52">
        <f t="shared" si="145"/>
        <v>0.39784000000000003</v>
      </c>
      <c r="T63" s="39">
        <f t="shared" si="146" ref="T63:T72">R63</f>
        <v>0.39784000000000003</v>
      </c>
      <c r="U63" s="39">
        <f t="shared" si="147" ref="U63:U72">T63</f>
        <v>0.39784000000000003</v>
      </c>
      <c r="V63" s="39">
        <f t="shared" si="148" ref="V63:V72">R63</f>
        <v>0.39784000000000003</v>
      </c>
      <c r="W63" s="39">
        <f t="shared" si="149" ref="W63:W72">S63</f>
        <v>0.39784000000000003</v>
      </c>
      <c r="X63" s="39">
        <f t="shared" si="150" ref="X63:X72">T63</f>
        <v>0.39784000000000003</v>
      </c>
      <c r="Y63" s="198"/>
      <c r="Z63" s="52">
        <f>P63</f>
        <v>0.39784000000000003</v>
      </c>
      <c r="AA63" s="52">
        <f>Q63</f>
        <v>0.39784000000000003</v>
      </c>
      <c r="AB63" s="52">
        <f>R63</f>
        <v>0.39784000000000003</v>
      </c>
      <c r="AC63" s="52">
        <f>S63</f>
        <v>0.39784000000000003</v>
      </c>
      <c r="AD63" s="39">
        <f t="shared" si="151" ref="AD63:AD72">AB63</f>
        <v>0.39784000000000003</v>
      </c>
      <c r="AE63" s="39">
        <f t="shared" si="152" ref="AE63:AE72">AD63</f>
        <v>0.39784000000000003</v>
      </c>
      <c r="AF63" s="39">
        <f t="shared" si="153" ref="AF63:AF72">AB63</f>
        <v>0.39784000000000003</v>
      </c>
      <c r="AG63" s="39">
        <f t="shared" si="154" ref="AG63:AG72">AC63</f>
        <v>0.39784000000000003</v>
      </c>
      <c r="AH63" s="39">
        <f t="shared" si="155" ref="AH63:AH72">AD63</f>
        <v>0.39784000000000003</v>
      </c>
      <c r="AI63" s="198"/>
      <c r="AJ63" s="198"/>
      <c r="AK63" s="198"/>
      <c r="AL63" s="198"/>
      <c r="AM63" s="198"/>
      <c r="AN63" s="198"/>
      <c r="AO63" s="198"/>
      <c r="AP63" s="198"/>
      <c r="AQ63" s="198"/>
      <c r="AR63" s="198"/>
      <c r="AS63" s="198"/>
      <c r="AT63" s="198"/>
      <c r="AU63" s="198"/>
      <c r="AV63" s="198"/>
      <c r="AW63" s="198"/>
    </row>
    <row r="64" spans="1:49" ht="15">
      <c r="A64" t="s">
        <v>16</v>
      </c>
      <c r="B64" t="s">
        <v>396</v>
      </c>
      <c r="C64" t="s">
        <v>405</v>
      </c>
      <c r="D64" t="s">
        <v>135</v>
      </c>
      <c r="F64" s="42">
        <v>1.4841</v>
      </c>
      <c r="G64" s="52">
        <f t="shared" si="138"/>
        <v>1.4841</v>
      </c>
      <c r="H64" s="52">
        <f t="shared" si="139"/>
        <v>1.4841</v>
      </c>
      <c r="I64" s="52">
        <f t="shared" si="140"/>
        <v>1.4841</v>
      </c>
      <c r="J64" s="52">
        <f t="shared" si="141"/>
        <v>1.4841</v>
      </c>
      <c r="K64" s="52">
        <f t="shared" si="142"/>
        <v>1.4841</v>
      </c>
      <c r="L64" s="52">
        <f t="shared" si="143"/>
        <v>1.4841</v>
      </c>
      <c r="M64" s="52">
        <f t="shared" si="143"/>
        <v>1.4841</v>
      </c>
      <c r="N64" s="52">
        <f t="shared" si="143"/>
        <v>1.4841</v>
      </c>
      <c r="O64" s="9"/>
      <c r="P64" s="52">
        <f t="shared" si="144"/>
        <v>1.4841</v>
      </c>
      <c r="Q64" s="52">
        <f t="shared" si="156" ref="Q64:Q71">P64</f>
        <v>1.4841</v>
      </c>
      <c r="R64" s="52">
        <f t="shared" si="157" ref="R64:S64">Q64</f>
        <v>1.4841</v>
      </c>
      <c r="S64" s="52">
        <f t="shared" si="157"/>
        <v>1.4841</v>
      </c>
      <c r="T64" s="39">
        <f t="shared" si="146"/>
        <v>1.4841</v>
      </c>
      <c r="U64" s="39">
        <f t="shared" si="147"/>
        <v>1.4841</v>
      </c>
      <c r="V64" s="39">
        <f t="shared" si="148"/>
        <v>1.4841</v>
      </c>
      <c r="W64" s="39">
        <f t="shared" si="149"/>
        <v>1.4841</v>
      </c>
      <c r="X64" s="39">
        <f t="shared" si="150"/>
        <v>1.4841</v>
      </c>
      <c r="Y64" s="198"/>
      <c r="Z64" s="52">
        <f t="shared" si="158" ref="Z64:Z72">P64</f>
        <v>1.4841</v>
      </c>
      <c r="AA64" s="52">
        <f t="shared" si="159" ref="AA64:AA72">Q64</f>
        <v>1.4841</v>
      </c>
      <c r="AB64" s="52">
        <f t="shared" si="160" ref="AB64:AB72">R64</f>
        <v>1.4841</v>
      </c>
      <c r="AC64" s="52">
        <f t="shared" si="161" ref="AC64:AC72">S64</f>
        <v>1.4841</v>
      </c>
      <c r="AD64" s="39">
        <f t="shared" si="151"/>
        <v>1.4841</v>
      </c>
      <c r="AE64" s="39">
        <f t="shared" si="152"/>
        <v>1.4841</v>
      </c>
      <c r="AF64" s="39">
        <f t="shared" si="153"/>
        <v>1.4841</v>
      </c>
      <c r="AG64" s="39">
        <f t="shared" si="154"/>
        <v>1.4841</v>
      </c>
      <c r="AH64" s="39">
        <f t="shared" si="155"/>
        <v>1.4841</v>
      </c>
      <c r="AI64" s="198"/>
      <c r="AJ64" s="198"/>
      <c r="AK64" s="198"/>
      <c r="AL64" s="198"/>
      <c r="AM64" s="198"/>
      <c r="AN64" s="198"/>
      <c r="AO64" s="198"/>
      <c r="AP64" s="198"/>
      <c r="AQ64" s="198"/>
      <c r="AR64" s="198"/>
      <c r="AS64" s="198"/>
      <c r="AT64" s="198"/>
      <c r="AU64" s="198"/>
      <c r="AV64" s="198"/>
      <c r="AW64" s="198"/>
    </row>
    <row r="65" spans="1:49" ht="15">
      <c r="A65" t="s">
        <v>16</v>
      </c>
      <c r="B65" t="s">
        <v>397</v>
      </c>
      <c r="C65" t="s">
        <v>406</v>
      </c>
      <c r="D65" t="s">
        <v>135</v>
      </c>
      <c r="F65" s="42">
        <v>2.5009999999999999</v>
      </c>
      <c r="G65" s="52">
        <f t="shared" si="138"/>
        <v>2.5009999999999999</v>
      </c>
      <c r="H65" s="52">
        <f t="shared" si="139"/>
        <v>2.5009999999999999</v>
      </c>
      <c r="I65" s="52">
        <f t="shared" si="140"/>
        <v>2.5009999999999999</v>
      </c>
      <c r="J65" s="52">
        <f t="shared" si="141"/>
        <v>2.5009999999999999</v>
      </c>
      <c r="K65" s="52">
        <f t="shared" si="142"/>
        <v>2.5009999999999999</v>
      </c>
      <c r="L65" s="52">
        <f t="shared" si="143"/>
        <v>2.5009999999999999</v>
      </c>
      <c r="M65" s="52">
        <f t="shared" si="143"/>
        <v>2.5009999999999999</v>
      </c>
      <c r="N65" s="52">
        <f t="shared" si="143"/>
        <v>2.5009999999999999</v>
      </c>
      <c r="O65" s="9"/>
      <c r="P65" s="52">
        <f t="shared" si="144"/>
        <v>2.5009999999999999</v>
      </c>
      <c r="Q65" s="52">
        <f t="shared" si="156"/>
        <v>2.5009999999999999</v>
      </c>
      <c r="R65" s="52">
        <f t="shared" si="162" ref="R65:S65">Q65</f>
        <v>2.5009999999999999</v>
      </c>
      <c r="S65" s="52">
        <f t="shared" si="162"/>
        <v>2.5009999999999999</v>
      </c>
      <c r="T65" s="39">
        <f t="shared" si="146"/>
        <v>2.5009999999999999</v>
      </c>
      <c r="U65" s="39">
        <f t="shared" si="147"/>
        <v>2.5009999999999999</v>
      </c>
      <c r="V65" s="39">
        <f t="shared" si="148"/>
        <v>2.5009999999999999</v>
      </c>
      <c r="W65" s="39">
        <f t="shared" si="149"/>
        <v>2.5009999999999999</v>
      </c>
      <c r="X65" s="39">
        <f t="shared" si="150"/>
        <v>2.5009999999999999</v>
      </c>
      <c r="Y65" s="198"/>
      <c r="Z65" s="52">
        <f t="shared" si="158"/>
        <v>2.5009999999999999</v>
      </c>
      <c r="AA65" s="52">
        <f t="shared" si="159"/>
        <v>2.5009999999999999</v>
      </c>
      <c r="AB65" s="52">
        <f t="shared" si="160"/>
        <v>2.5009999999999999</v>
      </c>
      <c r="AC65" s="52">
        <f t="shared" si="161"/>
        <v>2.5009999999999999</v>
      </c>
      <c r="AD65" s="39">
        <f t="shared" si="151"/>
        <v>2.5009999999999999</v>
      </c>
      <c r="AE65" s="39">
        <f t="shared" si="152"/>
        <v>2.5009999999999999</v>
      </c>
      <c r="AF65" s="39">
        <f t="shared" si="153"/>
        <v>2.5009999999999999</v>
      </c>
      <c r="AG65" s="39">
        <f t="shared" si="154"/>
        <v>2.5009999999999999</v>
      </c>
      <c r="AH65" s="39">
        <f t="shared" si="155"/>
        <v>2.5009999999999999</v>
      </c>
      <c r="AI65" s="198"/>
      <c r="AJ65" s="198"/>
      <c r="AK65" s="198"/>
      <c r="AL65" s="198"/>
      <c r="AM65" s="198"/>
      <c r="AN65" s="198"/>
      <c r="AO65" s="198"/>
      <c r="AP65" s="198"/>
      <c r="AQ65" s="198"/>
      <c r="AR65" s="198"/>
      <c r="AS65" s="198"/>
      <c r="AT65" s="198"/>
      <c r="AU65" s="198"/>
      <c r="AV65" s="198"/>
      <c r="AW65" s="198"/>
    </row>
    <row r="66" spans="1:49" ht="15">
      <c r="A66" t="s">
        <v>16</v>
      </c>
      <c r="B66" t="s">
        <v>398</v>
      </c>
      <c r="C66" t="s">
        <v>407</v>
      </c>
      <c r="D66" t="s">
        <v>135</v>
      </c>
      <c r="F66" s="42">
        <v>5.0070955734014992</v>
      </c>
      <c r="G66" s="52">
        <f t="shared" si="138"/>
        <v>5.0070955734014992</v>
      </c>
      <c r="H66" s="52">
        <f t="shared" si="139"/>
        <v>5.0070955734014992</v>
      </c>
      <c r="I66" s="52">
        <f t="shared" si="140"/>
        <v>5.0070955734014992</v>
      </c>
      <c r="J66" s="52">
        <f t="shared" si="141"/>
        <v>5.0070955734014992</v>
      </c>
      <c r="K66" s="52">
        <f t="shared" si="142"/>
        <v>5.0070955734014992</v>
      </c>
      <c r="L66" s="52">
        <f t="shared" si="143"/>
        <v>5.0070955734014992</v>
      </c>
      <c r="M66" s="52">
        <f t="shared" si="143"/>
        <v>5.0070955734014992</v>
      </c>
      <c r="N66" s="52">
        <f t="shared" si="143"/>
        <v>5.0070955734014992</v>
      </c>
      <c r="O66" s="9"/>
      <c r="P66" s="52">
        <f t="shared" si="144"/>
        <v>5.0070955734014992</v>
      </c>
      <c r="Q66" s="52">
        <f t="shared" si="156"/>
        <v>5.0070955734014992</v>
      </c>
      <c r="R66" s="52">
        <f t="shared" si="163" ref="R66:S66">Q66</f>
        <v>5.0070955734014992</v>
      </c>
      <c r="S66" s="52">
        <f t="shared" si="163"/>
        <v>5.0070955734014992</v>
      </c>
      <c r="T66" s="39">
        <f t="shared" si="146"/>
        <v>5.0070955734014992</v>
      </c>
      <c r="U66" s="39">
        <f t="shared" si="147"/>
        <v>5.0070955734014992</v>
      </c>
      <c r="V66" s="39">
        <f t="shared" si="148"/>
        <v>5.0070955734014992</v>
      </c>
      <c r="W66" s="39">
        <f t="shared" si="149"/>
        <v>5.0070955734014992</v>
      </c>
      <c r="X66" s="39">
        <f t="shared" si="150"/>
        <v>5.0070955734014992</v>
      </c>
      <c r="Y66" s="198"/>
      <c r="Z66" s="52">
        <f t="shared" si="158"/>
        <v>5.0070955734014992</v>
      </c>
      <c r="AA66" s="52">
        <f t="shared" si="159"/>
        <v>5.0070955734014992</v>
      </c>
      <c r="AB66" s="52">
        <f t="shared" si="160"/>
        <v>5.0070955734014992</v>
      </c>
      <c r="AC66" s="52">
        <f t="shared" si="161"/>
        <v>5.0070955734014992</v>
      </c>
      <c r="AD66" s="39">
        <f t="shared" si="151"/>
        <v>5.0070955734014992</v>
      </c>
      <c r="AE66" s="39">
        <f t="shared" si="152"/>
        <v>5.0070955734014992</v>
      </c>
      <c r="AF66" s="39">
        <f t="shared" si="153"/>
        <v>5.0070955734014992</v>
      </c>
      <c r="AG66" s="39">
        <f t="shared" si="154"/>
        <v>5.0070955734014992</v>
      </c>
      <c r="AH66" s="39">
        <f t="shared" si="155"/>
        <v>5.0070955734014992</v>
      </c>
      <c r="AI66" s="198"/>
      <c r="AJ66" s="198"/>
      <c r="AK66" s="198"/>
      <c r="AL66" s="198"/>
      <c r="AM66" s="198"/>
      <c r="AN66" s="198"/>
      <c r="AO66" s="198"/>
      <c r="AP66" s="198"/>
      <c r="AQ66" s="198"/>
      <c r="AR66" s="198"/>
      <c r="AS66" s="198"/>
      <c r="AT66" s="198"/>
      <c r="AU66" s="198"/>
      <c r="AV66" s="198"/>
      <c r="AW66" s="198"/>
    </row>
    <row r="67" spans="1:49" ht="15">
      <c r="A67" t="s">
        <v>16</v>
      </c>
      <c r="B67" t="s">
        <v>399</v>
      </c>
      <c r="C67" t="s">
        <v>408</v>
      </c>
      <c r="D67" t="s">
        <v>135</v>
      </c>
      <c r="F67" s="42">
        <v>7.9193584801965402</v>
      </c>
      <c r="G67" s="52">
        <f t="shared" si="138"/>
        <v>7.9193584801965402</v>
      </c>
      <c r="H67" s="52">
        <f t="shared" si="139"/>
        <v>7.9193584801965402</v>
      </c>
      <c r="I67" s="52">
        <f t="shared" si="140"/>
        <v>7.9193584801965402</v>
      </c>
      <c r="J67" s="52">
        <f t="shared" si="141"/>
        <v>7.9193584801965402</v>
      </c>
      <c r="K67" s="52">
        <f t="shared" si="142"/>
        <v>7.9193584801965402</v>
      </c>
      <c r="L67" s="52">
        <f t="shared" si="143"/>
        <v>7.9193584801965402</v>
      </c>
      <c r="M67" s="52">
        <f t="shared" si="143"/>
        <v>7.9193584801965402</v>
      </c>
      <c r="N67" s="52">
        <f t="shared" si="143"/>
        <v>7.9193584801965402</v>
      </c>
      <c r="O67" s="9"/>
      <c r="P67" s="52">
        <f t="shared" si="144"/>
        <v>7.9193584801965402</v>
      </c>
      <c r="Q67" s="52">
        <f t="shared" si="156"/>
        <v>7.9193584801965402</v>
      </c>
      <c r="R67" s="52">
        <f t="shared" si="164" ref="R67:S67">Q67</f>
        <v>7.9193584801965402</v>
      </c>
      <c r="S67" s="52">
        <f t="shared" si="164"/>
        <v>7.9193584801965402</v>
      </c>
      <c r="T67" s="39">
        <f t="shared" si="146"/>
        <v>7.9193584801965402</v>
      </c>
      <c r="U67" s="39">
        <f t="shared" si="147"/>
        <v>7.9193584801965402</v>
      </c>
      <c r="V67" s="39">
        <f t="shared" si="148"/>
        <v>7.9193584801965402</v>
      </c>
      <c r="W67" s="39">
        <f t="shared" si="149"/>
        <v>7.9193584801965402</v>
      </c>
      <c r="X67" s="39">
        <f t="shared" si="150"/>
        <v>7.9193584801965402</v>
      </c>
      <c r="Y67" s="198"/>
      <c r="Z67" s="52">
        <f t="shared" si="158"/>
        <v>7.9193584801965402</v>
      </c>
      <c r="AA67" s="52">
        <f t="shared" si="159"/>
        <v>7.9193584801965402</v>
      </c>
      <c r="AB67" s="52">
        <f t="shared" si="160"/>
        <v>7.9193584801965402</v>
      </c>
      <c r="AC67" s="52">
        <f t="shared" si="161"/>
        <v>7.9193584801965402</v>
      </c>
      <c r="AD67" s="39">
        <f t="shared" si="151"/>
        <v>7.9193584801965402</v>
      </c>
      <c r="AE67" s="39">
        <f t="shared" si="152"/>
        <v>7.9193584801965402</v>
      </c>
      <c r="AF67" s="39">
        <f t="shared" si="153"/>
        <v>7.9193584801965402</v>
      </c>
      <c r="AG67" s="39">
        <f t="shared" si="154"/>
        <v>7.9193584801965402</v>
      </c>
      <c r="AH67" s="39">
        <f t="shared" si="155"/>
        <v>7.9193584801965402</v>
      </c>
      <c r="AI67" s="198"/>
      <c r="AJ67" s="198"/>
      <c r="AK67" s="198"/>
      <c r="AL67" s="198"/>
      <c r="AM67" s="198"/>
      <c r="AN67" s="198"/>
      <c r="AO67" s="198"/>
      <c r="AP67" s="198"/>
      <c r="AQ67" s="198"/>
      <c r="AR67" s="198"/>
      <c r="AS67" s="198"/>
      <c r="AT67" s="198"/>
      <c r="AU67" s="198"/>
      <c r="AV67" s="198"/>
      <c r="AW67" s="198"/>
    </row>
    <row r="68" spans="1:49" ht="15">
      <c r="A68" t="s">
        <v>16</v>
      </c>
      <c r="B68" t="s">
        <v>400</v>
      </c>
      <c r="C68" t="s">
        <v>409</v>
      </c>
      <c r="D68" t="s">
        <v>135</v>
      </c>
      <c r="F68" s="42">
        <v>10.886935146339562</v>
      </c>
      <c r="G68" s="52">
        <f t="shared" si="138"/>
        <v>10.886935146339562</v>
      </c>
      <c r="H68" s="52">
        <f t="shared" si="139"/>
        <v>10.886935146339562</v>
      </c>
      <c r="I68" s="52">
        <f t="shared" si="140"/>
        <v>10.886935146339562</v>
      </c>
      <c r="J68" s="52">
        <f t="shared" si="141"/>
        <v>10.886935146339562</v>
      </c>
      <c r="K68" s="52">
        <f t="shared" si="142"/>
        <v>10.886935146339562</v>
      </c>
      <c r="L68" s="52">
        <f t="shared" si="143"/>
        <v>10.886935146339562</v>
      </c>
      <c r="M68" s="52">
        <f t="shared" si="143"/>
        <v>10.886935146339562</v>
      </c>
      <c r="N68" s="52">
        <f t="shared" si="143"/>
        <v>10.886935146339562</v>
      </c>
      <c r="O68" s="9"/>
      <c r="P68" s="52">
        <f t="shared" si="144"/>
        <v>10.886935146339562</v>
      </c>
      <c r="Q68" s="52">
        <f t="shared" si="156"/>
        <v>10.886935146339562</v>
      </c>
      <c r="R68" s="52">
        <f t="shared" si="165" ref="R68:S68">Q68</f>
        <v>10.886935146339562</v>
      </c>
      <c r="S68" s="52">
        <f t="shared" si="165"/>
        <v>10.886935146339562</v>
      </c>
      <c r="T68" s="39">
        <f t="shared" si="146"/>
        <v>10.886935146339562</v>
      </c>
      <c r="U68" s="39">
        <f t="shared" si="147"/>
        <v>10.886935146339562</v>
      </c>
      <c r="V68" s="39">
        <f t="shared" si="148"/>
        <v>10.886935146339562</v>
      </c>
      <c r="W68" s="39">
        <f t="shared" si="149"/>
        <v>10.886935146339562</v>
      </c>
      <c r="X68" s="39">
        <f t="shared" si="150"/>
        <v>10.886935146339562</v>
      </c>
      <c r="Y68" s="198"/>
      <c r="Z68" s="52">
        <f t="shared" si="158"/>
        <v>10.886935146339562</v>
      </c>
      <c r="AA68" s="52">
        <f t="shared" si="159"/>
        <v>10.886935146339562</v>
      </c>
      <c r="AB68" s="52">
        <f t="shared" si="160"/>
        <v>10.886935146339562</v>
      </c>
      <c r="AC68" s="52">
        <f t="shared" si="161"/>
        <v>10.886935146339562</v>
      </c>
      <c r="AD68" s="39">
        <f t="shared" si="151"/>
        <v>10.886935146339562</v>
      </c>
      <c r="AE68" s="39">
        <f t="shared" si="152"/>
        <v>10.886935146339562</v>
      </c>
      <c r="AF68" s="39">
        <f t="shared" si="153"/>
        <v>10.886935146339562</v>
      </c>
      <c r="AG68" s="39">
        <f t="shared" si="154"/>
        <v>10.886935146339562</v>
      </c>
      <c r="AH68" s="39">
        <f t="shared" si="155"/>
        <v>10.886935146339562</v>
      </c>
      <c r="AI68" s="198"/>
      <c r="AJ68" s="198"/>
      <c r="AK68" s="198"/>
      <c r="AL68" s="198"/>
      <c r="AM68" s="198"/>
      <c r="AN68" s="198"/>
      <c r="AO68" s="198"/>
      <c r="AP68" s="198"/>
      <c r="AQ68" s="198"/>
      <c r="AR68" s="198"/>
      <c r="AS68" s="198"/>
      <c r="AT68" s="198"/>
      <c r="AU68" s="198"/>
      <c r="AV68" s="198"/>
      <c r="AW68" s="198"/>
    </row>
    <row r="69" spans="1:49" ht="15">
      <c r="A69" t="s">
        <v>16</v>
      </c>
      <c r="B69" t="s">
        <v>401</v>
      </c>
      <c r="C69" t="s">
        <v>410</v>
      </c>
      <c r="D69" t="s">
        <v>135</v>
      </c>
      <c r="F69" s="42">
        <v>19.520776457571557</v>
      </c>
      <c r="G69" s="52">
        <v>19.520776457571557</v>
      </c>
      <c r="H69" s="52">
        <f t="shared" si="139"/>
        <v>19.520776457571557</v>
      </c>
      <c r="I69" s="52">
        <f t="shared" si="140"/>
        <v>19.520776457571557</v>
      </c>
      <c r="J69" s="52">
        <f t="shared" si="141"/>
        <v>19.520776457571557</v>
      </c>
      <c r="K69" s="52">
        <f t="shared" si="142"/>
        <v>19.520776457571557</v>
      </c>
      <c r="L69" s="52">
        <f t="shared" si="143"/>
        <v>19.520776457571557</v>
      </c>
      <c r="M69" s="52">
        <f t="shared" si="143"/>
        <v>19.520776457571557</v>
      </c>
      <c r="N69" s="52">
        <f t="shared" si="143"/>
        <v>19.520776457571557</v>
      </c>
      <c r="O69" s="9"/>
      <c r="P69" s="52">
        <f t="shared" si="144"/>
        <v>19.520776457571557</v>
      </c>
      <c r="Q69" s="52">
        <f t="shared" si="156"/>
        <v>19.520776457571557</v>
      </c>
      <c r="R69" s="52">
        <f t="shared" si="166" ref="R69:S69">Q69</f>
        <v>19.520776457571557</v>
      </c>
      <c r="S69" s="52">
        <f t="shared" si="166"/>
        <v>19.520776457571557</v>
      </c>
      <c r="T69" s="39">
        <f t="shared" si="146"/>
        <v>19.520776457571557</v>
      </c>
      <c r="U69" s="39">
        <f t="shared" si="147"/>
        <v>19.520776457571557</v>
      </c>
      <c r="V69" s="39">
        <f t="shared" si="148"/>
        <v>19.520776457571557</v>
      </c>
      <c r="W69" s="39">
        <f t="shared" si="149"/>
        <v>19.520776457571557</v>
      </c>
      <c r="X69" s="39">
        <f t="shared" si="150"/>
        <v>19.520776457571557</v>
      </c>
      <c r="Y69" s="198"/>
      <c r="Z69" s="52">
        <f t="shared" si="158"/>
        <v>19.520776457571557</v>
      </c>
      <c r="AA69" s="52">
        <f t="shared" si="159"/>
        <v>19.520776457571557</v>
      </c>
      <c r="AB69" s="52">
        <f t="shared" si="160"/>
        <v>19.520776457571557</v>
      </c>
      <c r="AC69" s="52">
        <f t="shared" si="161"/>
        <v>19.520776457571557</v>
      </c>
      <c r="AD69" s="39">
        <f t="shared" si="151"/>
        <v>19.520776457571557</v>
      </c>
      <c r="AE69" s="39">
        <f t="shared" si="152"/>
        <v>19.520776457571557</v>
      </c>
      <c r="AF69" s="39">
        <f t="shared" si="153"/>
        <v>19.520776457571557</v>
      </c>
      <c r="AG69" s="39">
        <f t="shared" si="154"/>
        <v>19.520776457571557</v>
      </c>
      <c r="AH69" s="39">
        <f t="shared" si="155"/>
        <v>19.520776457571557</v>
      </c>
      <c r="AI69" s="198"/>
      <c r="AJ69" s="198"/>
      <c r="AK69" s="198"/>
      <c r="AL69" s="198"/>
      <c r="AM69" s="198"/>
      <c r="AN69" s="198"/>
      <c r="AO69" s="198"/>
      <c r="AP69" s="198"/>
      <c r="AQ69" s="198"/>
      <c r="AR69" s="198"/>
      <c r="AS69" s="198"/>
      <c r="AT69" s="198"/>
      <c r="AU69" s="198"/>
      <c r="AV69" s="198"/>
      <c r="AW69" s="198"/>
    </row>
    <row r="70" spans="1:49" ht="15">
      <c r="A70" t="s">
        <v>16</v>
      </c>
      <c r="B70" t="s">
        <v>402</v>
      </c>
      <c r="C70" t="s">
        <v>411</v>
      </c>
      <c r="D70" t="s">
        <v>135</v>
      </c>
      <c r="F70" s="42">
        <v>17.889918497338776</v>
      </c>
      <c r="G70" s="52">
        <f t="shared" si="138"/>
        <v>17.889918497338776</v>
      </c>
      <c r="H70" s="52">
        <f t="shared" si="139"/>
        <v>17.889918497338776</v>
      </c>
      <c r="I70" s="52">
        <f t="shared" si="140"/>
        <v>17.889918497338776</v>
      </c>
      <c r="J70" s="52">
        <f t="shared" si="141"/>
        <v>17.889918497338776</v>
      </c>
      <c r="K70" s="52">
        <f t="shared" si="142"/>
        <v>17.889918497338776</v>
      </c>
      <c r="L70" s="52">
        <f t="shared" si="143"/>
        <v>17.889918497338776</v>
      </c>
      <c r="M70" s="52">
        <f t="shared" si="143"/>
        <v>17.889918497338776</v>
      </c>
      <c r="N70" s="52">
        <f t="shared" si="143"/>
        <v>17.889918497338776</v>
      </c>
      <c r="O70" s="9"/>
      <c r="P70" s="52">
        <f t="shared" si="144"/>
        <v>17.889918497338776</v>
      </c>
      <c r="Q70" s="52">
        <f t="shared" si="156"/>
        <v>17.889918497338776</v>
      </c>
      <c r="R70" s="52">
        <f t="shared" si="167" ref="R70:S70">Q70</f>
        <v>17.889918497338776</v>
      </c>
      <c r="S70" s="52">
        <f t="shared" si="167"/>
        <v>17.889918497338776</v>
      </c>
      <c r="T70" s="39">
        <f t="shared" si="146"/>
        <v>17.889918497338776</v>
      </c>
      <c r="U70" s="39">
        <f t="shared" si="147"/>
        <v>17.889918497338776</v>
      </c>
      <c r="V70" s="39">
        <f t="shared" si="148"/>
        <v>17.889918497338776</v>
      </c>
      <c r="W70" s="39">
        <f t="shared" si="149"/>
        <v>17.889918497338776</v>
      </c>
      <c r="X70" s="39">
        <f t="shared" si="150"/>
        <v>17.889918497338776</v>
      </c>
      <c r="Y70" s="198"/>
      <c r="Z70" s="52">
        <f t="shared" si="158"/>
        <v>17.889918497338776</v>
      </c>
      <c r="AA70" s="52">
        <f t="shared" si="159"/>
        <v>17.889918497338776</v>
      </c>
      <c r="AB70" s="52">
        <f t="shared" si="160"/>
        <v>17.889918497338776</v>
      </c>
      <c r="AC70" s="52">
        <f t="shared" si="161"/>
        <v>17.889918497338776</v>
      </c>
      <c r="AD70" s="39">
        <f t="shared" si="151"/>
        <v>17.889918497338776</v>
      </c>
      <c r="AE70" s="39">
        <f t="shared" si="152"/>
        <v>17.889918497338776</v>
      </c>
      <c r="AF70" s="39">
        <f t="shared" si="153"/>
        <v>17.889918497338776</v>
      </c>
      <c r="AG70" s="39">
        <f t="shared" si="154"/>
        <v>17.889918497338776</v>
      </c>
      <c r="AH70" s="39">
        <f t="shared" si="155"/>
        <v>17.889918497338776</v>
      </c>
      <c r="AI70" s="198"/>
      <c r="AJ70" s="198"/>
      <c r="AK70" s="198"/>
      <c r="AL70" s="198"/>
      <c r="AM70" s="198"/>
      <c r="AN70" s="198"/>
      <c r="AO70" s="198"/>
      <c r="AP70" s="198"/>
      <c r="AQ70" s="198"/>
      <c r="AR70" s="198"/>
      <c r="AS70" s="198"/>
      <c r="AT70" s="198"/>
      <c r="AU70" s="198"/>
      <c r="AV70" s="198"/>
      <c r="AW70" s="198"/>
    </row>
    <row r="71" spans="1:49" ht="15">
      <c r="A71" t="s">
        <v>16</v>
      </c>
      <c r="B71" t="s">
        <v>403</v>
      </c>
      <c r="C71" t="s">
        <v>412</v>
      </c>
      <c r="D71" t="s">
        <v>135</v>
      </c>
      <c r="F71" s="42">
        <v>18.402975262404723</v>
      </c>
      <c r="G71" s="52">
        <f t="shared" si="138"/>
        <v>18.402975262404723</v>
      </c>
      <c r="H71" s="52">
        <f t="shared" si="139"/>
        <v>18.402975262404723</v>
      </c>
      <c r="I71" s="52">
        <f t="shared" si="140"/>
        <v>18.402975262404723</v>
      </c>
      <c r="J71" s="52">
        <f t="shared" si="141"/>
        <v>18.402975262404723</v>
      </c>
      <c r="K71" s="52">
        <f t="shared" si="142"/>
        <v>18.402975262404723</v>
      </c>
      <c r="L71" s="52">
        <f t="shared" si="143"/>
        <v>18.402975262404723</v>
      </c>
      <c r="M71" s="52">
        <f t="shared" si="143"/>
        <v>18.402975262404723</v>
      </c>
      <c r="N71" s="52">
        <f t="shared" si="143"/>
        <v>18.402975262404723</v>
      </c>
      <c r="O71" s="9"/>
      <c r="P71" s="52">
        <f t="shared" si="144"/>
        <v>18.402975262404723</v>
      </c>
      <c r="Q71" s="52">
        <f t="shared" si="156"/>
        <v>18.402975262404723</v>
      </c>
      <c r="R71" s="52">
        <f t="shared" si="168" ref="R71:S71">Q71</f>
        <v>18.402975262404723</v>
      </c>
      <c r="S71" s="52">
        <f t="shared" si="168"/>
        <v>18.402975262404723</v>
      </c>
      <c r="T71" s="39">
        <f t="shared" si="146"/>
        <v>18.402975262404723</v>
      </c>
      <c r="U71" s="39">
        <f t="shared" si="147"/>
        <v>18.402975262404723</v>
      </c>
      <c r="V71" s="39">
        <f t="shared" si="148"/>
        <v>18.402975262404723</v>
      </c>
      <c r="W71" s="39">
        <f t="shared" si="149"/>
        <v>18.402975262404723</v>
      </c>
      <c r="X71" s="39">
        <f t="shared" si="150"/>
        <v>18.402975262404723</v>
      </c>
      <c r="Y71" s="198"/>
      <c r="Z71" s="52">
        <f t="shared" si="158"/>
        <v>18.402975262404723</v>
      </c>
      <c r="AA71" s="52">
        <f t="shared" si="159"/>
        <v>18.402975262404723</v>
      </c>
      <c r="AB71" s="52">
        <f t="shared" si="160"/>
        <v>18.402975262404723</v>
      </c>
      <c r="AC71" s="52">
        <f t="shared" si="161"/>
        <v>18.402975262404723</v>
      </c>
      <c r="AD71" s="39">
        <f t="shared" si="151"/>
        <v>18.402975262404723</v>
      </c>
      <c r="AE71" s="39">
        <f t="shared" si="152"/>
        <v>18.402975262404723</v>
      </c>
      <c r="AF71" s="39">
        <f t="shared" si="153"/>
        <v>18.402975262404723</v>
      </c>
      <c r="AG71" s="39">
        <f t="shared" si="154"/>
        <v>18.402975262404723</v>
      </c>
      <c r="AH71" s="39">
        <f t="shared" si="155"/>
        <v>18.402975262404723</v>
      </c>
      <c r="AI71" s="198"/>
      <c r="AJ71" s="198"/>
      <c r="AK71" s="198"/>
      <c r="AL71" s="198"/>
      <c r="AM71" s="198"/>
      <c r="AN71" s="198"/>
      <c r="AO71" s="198"/>
      <c r="AP71" s="198"/>
      <c r="AQ71" s="198"/>
      <c r="AR71" s="198"/>
      <c r="AS71" s="198"/>
      <c r="AT71" s="198"/>
      <c r="AU71" s="198"/>
      <c r="AV71" s="198"/>
      <c r="AW71" s="198"/>
    </row>
    <row r="72" spans="1:49" ht="15">
      <c r="A72" t="s">
        <v>16</v>
      </c>
      <c r="B72" t="s">
        <v>404</v>
      </c>
      <c r="C72" t="s">
        <v>413</v>
      </c>
      <c r="D72" t="s">
        <v>135</v>
      </c>
      <c r="F72" s="42">
        <v>21.907017031495844</v>
      </c>
      <c r="G72" s="52">
        <f t="shared" si="138"/>
        <v>21.907017031495844</v>
      </c>
      <c r="H72" s="52">
        <f t="shared" si="139"/>
        <v>21.907017031495844</v>
      </c>
      <c r="I72" s="52">
        <f t="shared" si="140"/>
        <v>21.907017031495844</v>
      </c>
      <c r="J72" s="52">
        <f t="shared" si="141"/>
        <v>21.907017031495844</v>
      </c>
      <c r="K72" s="52">
        <f t="shared" si="142"/>
        <v>21.907017031495844</v>
      </c>
      <c r="L72" s="52">
        <f t="shared" si="143"/>
        <v>21.907017031495844</v>
      </c>
      <c r="M72" s="52">
        <f t="shared" si="143"/>
        <v>21.907017031495844</v>
      </c>
      <c r="N72" s="52">
        <f t="shared" si="143"/>
        <v>21.907017031495844</v>
      </c>
      <c r="O72" s="9"/>
      <c r="P72" s="52">
        <f t="shared" si="144"/>
        <v>21.907017031495844</v>
      </c>
      <c r="Q72" s="52">
        <f>P72</f>
        <v>21.907017031495844</v>
      </c>
      <c r="R72" s="52">
        <f t="shared" si="169" ref="R72:S72">Q72</f>
        <v>21.907017031495844</v>
      </c>
      <c r="S72" s="52">
        <f t="shared" si="169"/>
        <v>21.907017031495844</v>
      </c>
      <c r="T72" s="39">
        <f t="shared" si="146"/>
        <v>21.907017031495844</v>
      </c>
      <c r="U72" s="39">
        <f t="shared" si="147"/>
        <v>21.907017031495844</v>
      </c>
      <c r="V72" s="39">
        <f t="shared" si="148"/>
        <v>21.907017031495844</v>
      </c>
      <c r="W72" s="39">
        <f t="shared" si="149"/>
        <v>21.907017031495844</v>
      </c>
      <c r="X72" s="39">
        <f t="shared" si="150"/>
        <v>21.907017031495844</v>
      </c>
      <c r="Y72" s="198"/>
      <c r="Z72" s="52">
        <f t="shared" si="158"/>
        <v>21.907017031495844</v>
      </c>
      <c r="AA72" s="52">
        <f t="shared" si="159"/>
        <v>21.907017031495844</v>
      </c>
      <c r="AB72" s="52">
        <f t="shared" si="160"/>
        <v>21.907017031495844</v>
      </c>
      <c r="AC72" s="52">
        <f t="shared" si="161"/>
        <v>21.907017031495844</v>
      </c>
      <c r="AD72" s="39">
        <f t="shared" si="151"/>
        <v>21.907017031495844</v>
      </c>
      <c r="AE72" s="39">
        <f t="shared" si="152"/>
        <v>21.907017031495844</v>
      </c>
      <c r="AF72" s="39">
        <f t="shared" si="153"/>
        <v>21.907017031495844</v>
      </c>
      <c r="AG72" s="39">
        <f t="shared" si="154"/>
        <v>21.907017031495844</v>
      </c>
      <c r="AH72" s="39">
        <f t="shared" si="155"/>
        <v>21.907017031495844</v>
      </c>
      <c r="AI72" s="198"/>
      <c r="AJ72" s="198"/>
      <c r="AK72" s="198"/>
      <c r="AL72" s="198"/>
      <c r="AM72" s="198"/>
      <c r="AN72" s="198"/>
      <c r="AO72" s="198"/>
      <c r="AP72" s="198"/>
      <c r="AQ72" s="198"/>
      <c r="AR72" s="198"/>
      <c r="AS72" s="198"/>
      <c r="AT72" s="198"/>
      <c r="AU72" s="198"/>
      <c r="AV72" s="198"/>
      <c r="AW72" s="198"/>
    </row>
    <row r="73" spans="1:19" ht="15">
      <c r="A73" t="s">
        <v>16</v>
      </c>
      <c r="P73" s="52">
        <f>SUM(P86:P88)/P89</f>
        <v>0.38076006063089379</v>
      </c>
      <c r="Q73" s="52"/>
      <c r="R73" s="52"/>
      <c r="S73" s="52"/>
    </row>
    <row r="74" spans="1:39" ht="15">
      <c r="A74" t="s">
        <v>16</v>
      </c>
      <c r="P74" s="8" t="s">
        <v>32</v>
      </c>
      <c r="Z74" s="8" t="s">
        <v>185</v>
      </c>
      <c r="AM74" t="s">
        <v>460</v>
      </c>
    </row>
    <row r="75" spans="1:46" ht="15.75" thickBot="1">
      <c r="A75" t="s">
        <v>16</v>
      </c>
      <c r="B75" s="15" t="s">
        <v>196</v>
      </c>
      <c r="C75" s="15"/>
      <c r="D75" s="15"/>
      <c r="E75" s="218"/>
      <c r="F75">
        <f t="shared" si="170" ref="F75:I75">F$4</f>
        <v>2017</v>
      </c>
      <c r="G75">
        <f t="shared" si="170"/>
        <v>2019</v>
      </c>
      <c r="H75">
        <f t="shared" si="170"/>
        <v>2020</v>
      </c>
      <c r="I75">
        <f t="shared" si="170"/>
        <v>2021</v>
      </c>
      <c r="J75">
        <f>J$4</f>
        <v>2030</v>
      </c>
      <c r="K75">
        <f>K$4</f>
        <v>2040</v>
      </c>
      <c r="L75">
        <f>L$4</f>
        <v>2050</v>
      </c>
      <c r="M75">
        <f>M$4</f>
        <v>2060</v>
      </c>
      <c r="N75">
        <f>N$4</f>
        <v>2070</v>
      </c>
      <c r="P75" s="10">
        <f t="shared" si="171" ref="P75:T75">P$4</f>
        <v>2017</v>
      </c>
      <c r="Q75" s="10">
        <f t="shared" si="171"/>
        <v>2019</v>
      </c>
      <c r="R75" s="10">
        <f t="shared" si="171"/>
        <v>2020</v>
      </c>
      <c r="S75" s="10">
        <f t="shared" si="171"/>
        <v>2021</v>
      </c>
      <c r="T75" s="10">
        <f t="shared" si="171"/>
        <v>2030</v>
      </c>
      <c r="U75" s="10">
        <f>U$4</f>
        <v>2040</v>
      </c>
      <c r="V75" s="10">
        <f>V$4</f>
        <v>2050</v>
      </c>
      <c r="W75" s="10">
        <f>W$4</f>
        <v>2060</v>
      </c>
      <c r="X75" s="10">
        <f>X$4</f>
        <v>2070</v>
      </c>
      <c r="Y75">
        <f>Y$4</f>
        <v>0</v>
      </c>
      <c r="Z75" s="10">
        <f t="shared" si="172" ref="Z75:AH75">P75</f>
        <v>2017</v>
      </c>
      <c r="AA75" s="10">
        <f t="shared" si="172"/>
        <v>2019</v>
      </c>
      <c r="AB75" s="10">
        <f t="shared" si="172"/>
        <v>2020</v>
      </c>
      <c r="AC75" s="10">
        <f t="shared" si="172"/>
        <v>2021</v>
      </c>
      <c r="AD75" s="10">
        <f t="shared" si="172"/>
        <v>2030</v>
      </c>
      <c r="AE75" s="10">
        <f t="shared" si="172"/>
        <v>2040</v>
      </c>
      <c r="AF75" s="10">
        <f t="shared" si="172"/>
        <v>2050</v>
      </c>
      <c r="AG75" s="10">
        <f t="shared" si="172"/>
        <v>2060</v>
      </c>
      <c r="AH75" s="10">
        <f t="shared" si="172"/>
        <v>2070</v>
      </c>
      <c r="AN75" s="10" t="str">
        <f>P74</f>
        <v>Reference</v>
      </c>
      <c r="AT75" s="10" t="s">
        <v>608</v>
      </c>
    </row>
    <row r="76" spans="1:50" ht="15">
      <c r="A76" t="s">
        <v>16</v>
      </c>
      <c r="B76" s="9" t="s">
        <v>139</v>
      </c>
      <c r="C76" s="9" t="s">
        <v>744</v>
      </c>
      <c r="D76" t="s">
        <v>137</v>
      </c>
      <c r="E76" s="219"/>
      <c r="F76" s="199">
        <f t="shared" si="173" ref="F76">F63*F92</f>
        <v>18.931145021834741</v>
      </c>
      <c r="G76" s="199">
        <f t="shared" si="174" ref="G76:N85">G63*G92</f>
        <v>19.16679090850425</v>
      </c>
      <c r="H76" s="199">
        <f t="shared" si="174"/>
        <v>18.454471209495399</v>
      </c>
      <c r="I76" s="199">
        <f>I63*I92</f>
        <v>19.349284618479778</v>
      </c>
      <c r="J76" s="199">
        <f t="shared" si="174"/>
        <v>23.950430699133722</v>
      </c>
      <c r="K76" s="199">
        <f t="shared" si="174"/>
        <v>31.341285376834229</v>
      </c>
      <c r="L76" s="199">
        <f t="shared" si="175" ref="L76:M76">L63*L92</f>
        <v>39.842435446702936</v>
      </c>
      <c r="M76" s="199">
        <f t="shared" si="175"/>
        <v>48.354153414896246</v>
      </c>
      <c r="N76" s="199">
        <f t="shared" si="174"/>
        <v>51.945063099053954</v>
      </c>
      <c r="O76" s="11"/>
      <c r="P76" s="199">
        <f>P43</f>
        <v>18.931145021834741</v>
      </c>
      <c r="Q76" s="199">
        <f t="shared" si="176" ref="Q76:X76">Q43</f>
        <v>19.16679090850425</v>
      </c>
      <c r="R76" s="199">
        <f t="shared" si="176"/>
        <v>18.454471209495399</v>
      </c>
      <c r="S76" s="199">
        <f t="shared" si="176"/>
        <v>19.349284618479778</v>
      </c>
      <c r="T76" s="199">
        <f t="shared" si="176"/>
        <v>23.948985938636305</v>
      </c>
      <c r="U76" s="199">
        <f t="shared" si="176"/>
        <v>31.339394778221639</v>
      </c>
      <c r="V76" s="199">
        <f t="shared" si="177" ref="V76:W76">V43</f>
        <v>39.842142071991105</v>
      </c>
      <c r="W76" s="199">
        <f t="shared" si="177"/>
        <v>48.349540635112824</v>
      </c>
      <c r="X76" s="199">
        <f t="shared" si="176"/>
        <v>51.932297309836613</v>
      </c>
      <c r="Y76" s="11"/>
      <c r="Z76" s="199">
        <f>Z43</f>
        <v>18.931145021834741</v>
      </c>
      <c r="AA76" s="199">
        <f>AA43</f>
        <v>19.16679090850425</v>
      </c>
      <c r="AB76" s="199">
        <f t="shared" si="178" ref="AB76:AH76">AB43</f>
        <v>18.454471209495399</v>
      </c>
      <c r="AC76" s="199">
        <f t="shared" si="178"/>
        <v>19.349284618479778</v>
      </c>
      <c r="AD76" s="199">
        <f t="shared" si="178"/>
        <v>23.948985938636305</v>
      </c>
      <c r="AE76" s="199">
        <f t="shared" si="178"/>
        <v>31.339394778221639</v>
      </c>
      <c r="AF76" s="199">
        <f t="shared" si="179" ref="AF76:AG76">AF43</f>
        <v>39.842142071991105</v>
      </c>
      <c r="AG76" s="199">
        <f t="shared" si="179"/>
        <v>48.349540635112824</v>
      </c>
      <c r="AH76" s="199">
        <f t="shared" si="178"/>
        <v>51.932297309836613</v>
      </c>
      <c r="AN76" s="10">
        <f>P75</f>
        <v>2017</v>
      </c>
      <c r="AO76" s="10">
        <f>R75</f>
        <v>2020</v>
      </c>
      <c r="AP76" s="10">
        <f>T75</f>
        <v>2030</v>
      </c>
      <c r="AQ76" s="10">
        <f>U75</f>
        <v>2040</v>
      </c>
      <c r="AR76" s="10">
        <f>X75</f>
        <v>2070</v>
      </c>
      <c r="AS76" s="10"/>
      <c r="AT76" s="10">
        <f>Z75</f>
        <v>2017</v>
      </c>
      <c r="AU76" s="10">
        <f>AB75</f>
        <v>2020</v>
      </c>
      <c r="AV76" s="10">
        <f>AD75</f>
        <v>2030</v>
      </c>
      <c r="AW76" s="10">
        <f>AE75</f>
        <v>2040</v>
      </c>
      <c r="AX76" s="10">
        <f>AH75</f>
        <v>2070</v>
      </c>
    </row>
    <row r="77" spans="1:50" ht="15">
      <c r="A77" t="s">
        <v>16</v>
      </c>
      <c r="B77" s="9" t="s">
        <v>396</v>
      </c>
      <c r="C77" s="9" t="s">
        <v>745</v>
      </c>
      <c r="D77" t="s">
        <v>137</v>
      </c>
      <c r="E77" s="219"/>
      <c r="F77" s="199">
        <f t="shared" si="180" ref="F77">F64*F93</f>
        <v>5.4191590500230697</v>
      </c>
      <c r="G77" s="199">
        <f t="shared" si="174"/>
        <v>6.263725567965813</v>
      </c>
      <c r="H77" s="199">
        <f>H64*H93</f>
        <v>6.0309388102583563</v>
      </c>
      <c r="I77" s="199">
        <f t="shared" si="174"/>
        <v>6.3233646866176194</v>
      </c>
      <c r="J77" s="199">
        <f t="shared" si="174"/>
        <v>7.8270236186170461</v>
      </c>
      <c r="K77" s="199">
        <f t="shared" si="174"/>
        <v>10.242361983543423</v>
      </c>
      <c r="L77" s="199">
        <f t="shared" si="181" ref="L77:M77">L64*L93</f>
        <v>13.020545942660158</v>
      </c>
      <c r="M77" s="199">
        <f t="shared" si="181"/>
        <v>15.802183501038844</v>
      </c>
      <c r="N77" s="199">
        <f t="shared" si="174"/>
        <v>16.975696214162607</v>
      </c>
      <c r="O77" s="11"/>
      <c r="P77" s="199">
        <f>P46</f>
        <v>5.4191590500230697</v>
      </c>
      <c r="Q77" s="199">
        <f t="shared" si="182" ref="Q77:X77">Q46</f>
        <v>6.263725567965813</v>
      </c>
      <c r="R77" s="199">
        <f t="shared" si="182"/>
        <v>6.0299454950865155</v>
      </c>
      <c r="S77" s="199">
        <f t="shared" si="182"/>
        <v>6.3205108376017174</v>
      </c>
      <c r="T77" s="199">
        <f t="shared" si="182"/>
        <v>7.8252624111096889</v>
      </c>
      <c r="U77" s="199">
        <f t="shared" si="182"/>
        <v>10.240057285653464</v>
      </c>
      <c r="V77" s="199">
        <f t="shared" si="183" ref="V77:W77">V46</f>
        <v>13.014573702574031</v>
      </c>
      <c r="W77" s="199">
        <f t="shared" si="183"/>
        <v>15.798073617638634</v>
      </c>
      <c r="X77" s="199">
        <f t="shared" si="182"/>
        <v>16.968729076984772</v>
      </c>
      <c r="Y77" s="11"/>
      <c r="Z77" s="199">
        <f>Z46</f>
        <v>5.4191590500230697</v>
      </c>
      <c r="AA77" s="199">
        <f>AA46</f>
        <v>6.263725567965813</v>
      </c>
      <c r="AB77" s="199">
        <f t="shared" si="184" ref="AB77:AH77">AB46</f>
        <v>6.0299454950865155</v>
      </c>
      <c r="AC77" s="199">
        <f t="shared" si="184"/>
        <v>6.3205108376017174</v>
      </c>
      <c r="AD77" s="199">
        <f t="shared" si="184"/>
        <v>7.4339992905542038</v>
      </c>
      <c r="AE77" s="199">
        <f t="shared" si="184"/>
        <v>9.2416517003022491</v>
      </c>
      <c r="AF77" s="199">
        <f t="shared" si="185" ref="AF77:AG77">AF46</f>
        <v>11.158370128244409</v>
      </c>
      <c r="AG77" s="199">
        <f t="shared" si="185"/>
        <v>12.867629699526775</v>
      </c>
      <c r="AH77" s="199">
        <f t="shared" si="184"/>
        <v>13.130079093372782</v>
      </c>
      <c r="AM77" t="s">
        <v>575</v>
      </c>
      <c r="AN77" s="9">
        <f>SUM(P78:P85)</f>
        <v>199.78217504183343</v>
      </c>
      <c r="AO77" s="9">
        <f>SUM(R78:R85)</f>
        <v>199.85599936873621</v>
      </c>
      <c r="AP77" s="9">
        <f>SUM(T78:T85)</f>
        <v>252.75117446635579</v>
      </c>
      <c r="AQ77" s="9">
        <f>SUM(U78:U85)</f>
        <v>330.74756724799079</v>
      </c>
      <c r="AR77" s="9">
        <f>SUM(X78:X85)</f>
        <v>548.18119435696508</v>
      </c>
      <c r="AS77" s="9"/>
      <c r="AT77" s="9" t="e">
        <f>SUM(#REF!)</f>
        <v>#REF!</v>
      </c>
      <c r="AU77" s="9">
        <f>SUM(H78:H85)</f>
        <v>198.99120798726022</v>
      </c>
      <c r="AV77" s="9">
        <f>SUM(J78:J85)</f>
        <v>252.75117446635585</v>
      </c>
      <c r="AW77" s="9">
        <f>SUM(K78:K85)</f>
        <v>330.74756724799084</v>
      </c>
      <c r="AX77" s="9">
        <f>SUM(N78:N85)</f>
        <v>548.18119435696508</v>
      </c>
    </row>
    <row r="78" spans="1:50" ht="15">
      <c r="A78" t="s">
        <v>16</v>
      </c>
      <c r="B78" s="9" t="s">
        <v>397</v>
      </c>
      <c r="C78" s="9" t="s">
        <v>746</v>
      </c>
      <c r="D78" t="s">
        <v>137</v>
      </c>
      <c r="E78" s="219"/>
      <c r="F78" s="199">
        <f t="shared" si="186" ref="F78">F65*F94</f>
        <v>2.508551055458172</v>
      </c>
      <c r="G78" s="199">
        <f t="shared" si="174"/>
        <v>2.539776305544069</v>
      </c>
      <c r="H78" s="199">
        <f t="shared" si="174"/>
        <v>2.4453873855547426</v>
      </c>
      <c r="I78" s="199">
        <f t="shared" si="174"/>
        <v>2.5639584027307731</v>
      </c>
      <c r="J78" s="199">
        <f t="shared" si="174"/>
        <v>3.1736526311374109</v>
      </c>
      <c r="K78" s="199">
        <f t="shared" si="174"/>
        <v>4.153008939543458</v>
      </c>
      <c r="L78" s="199">
        <f t="shared" si="187" ref="L78:M78">L65*L94</f>
        <v>5.2794896123068353</v>
      </c>
      <c r="M78" s="199">
        <f t="shared" si="187"/>
        <v>6.4073706289197574</v>
      </c>
      <c r="N78" s="199">
        <f t="shared" si="174"/>
        <v>6.8831992313555421</v>
      </c>
      <c r="O78" s="11"/>
      <c r="P78" s="199">
        <f>P51</f>
        <v>2.508551055458172</v>
      </c>
      <c r="Q78" s="199">
        <f t="shared" si="188" ref="Q78:X78">Q51</f>
        <v>2.539776305544069</v>
      </c>
      <c r="R78" s="199">
        <f t="shared" si="188"/>
        <v>2.4453873855547426</v>
      </c>
      <c r="S78" s="199">
        <f t="shared" si="188"/>
        <v>2.5639584027307731</v>
      </c>
      <c r="T78" s="199">
        <f t="shared" si="188"/>
        <v>3.1736526311374105</v>
      </c>
      <c r="U78" s="199">
        <f t="shared" si="188"/>
        <v>4.1530089395434571</v>
      </c>
      <c r="V78" s="199">
        <f t="shared" si="189" ref="V78:W78">V51</f>
        <v>5.2794896123068344</v>
      </c>
      <c r="W78" s="199">
        <f t="shared" si="189"/>
        <v>6.4073706289197565</v>
      </c>
      <c r="X78" s="199">
        <f t="shared" si="188"/>
        <v>6.8831992313555412</v>
      </c>
      <c r="Y78" s="11"/>
      <c r="Z78" s="199">
        <f>Z51</f>
        <v>2.508551055458172</v>
      </c>
      <c r="AA78" s="199">
        <f>AA51</f>
        <v>2.539776305544069</v>
      </c>
      <c r="AB78" s="199">
        <f t="shared" si="190" ref="AB78:AH78">AB51</f>
        <v>2.4453873855547426</v>
      </c>
      <c r="AC78" s="199">
        <f t="shared" si="190"/>
        <v>2.5639584027307731</v>
      </c>
      <c r="AD78" s="199">
        <f t="shared" si="190"/>
        <v>3.014788127713139</v>
      </c>
      <c r="AE78" s="199">
        <f t="shared" si="190"/>
        <v>3.7478644720793466</v>
      </c>
      <c r="AF78" s="199">
        <f t="shared" si="191" ref="AF78:AG78">AF51</f>
        <v>4.5264690760261486</v>
      </c>
      <c r="AG78" s="199">
        <f t="shared" si="191"/>
        <v>5.2183455679413022</v>
      </c>
      <c r="AH78" s="199">
        <f t="shared" si="190"/>
        <v>5.3247794382939402</v>
      </c>
      <c r="AM78" t="s">
        <v>607</v>
      </c>
      <c r="AN78" s="9">
        <f>P86</f>
        <v>22</v>
      </c>
      <c r="AO78" s="9">
        <f>R86</f>
        <v>16.341846000266067</v>
      </c>
      <c r="AP78" s="9">
        <f>T86</f>
        <v>27.83294273923827</v>
      </c>
      <c r="AQ78" s="9">
        <f>U86</f>
        <v>36.421900391925078</v>
      </c>
      <c r="AR78" s="9">
        <f>X86</f>
        <v>60.365677134749021</v>
      </c>
      <c r="AS78" s="9"/>
      <c r="AT78" s="9">
        <f>F86</f>
        <v>22</v>
      </c>
      <c r="AU78" s="9">
        <f>H86</f>
        <v>17.206637381742077</v>
      </c>
      <c r="AV78" s="9">
        <f>J86</f>
        <v>27.83294273923827</v>
      </c>
      <c r="AW78" s="9">
        <f>K86</f>
        <v>36.421900391925078</v>
      </c>
      <c r="AX78" s="9">
        <f>N86</f>
        <v>60.365677134749021</v>
      </c>
    </row>
    <row r="79" spans="1:39" ht="15">
      <c r="A79" t="s">
        <v>16</v>
      </c>
      <c r="B79" s="9" t="s">
        <v>398</v>
      </c>
      <c r="C79" s="9" t="s">
        <v>747</v>
      </c>
      <c r="D79" t="s">
        <v>137</v>
      </c>
      <c r="E79" s="219"/>
      <c r="F79" s="199">
        <f t="shared" si="192" ref="F79">F66*F95</f>
        <v>16.520182703280053</v>
      </c>
      <c r="G79" s="199">
        <f t="shared" si="174"/>
        <v>16.725818078032436</v>
      </c>
      <c r="H79" s="199">
        <f t="shared" si="174"/>
        <v>16.10421534046959</v>
      </c>
      <c r="I79" s="199">
        <f t="shared" si="174"/>
        <v>16.885070433213166</v>
      </c>
      <c r="J79" s="199">
        <f t="shared" si="174"/>
        <v>20.900240873734006</v>
      </c>
      <c r="K79" s="199">
        <f t="shared" si="174"/>
        <v>27.349838585239521</v>
      </c>
      <c r="L79" s="199">
        <f t="shared" si="193" ref="L79:M79">L66*L95</f>
        <v>34.7683308201388</v>
      </c>
      <c r="M79" s="199">
        <f t="shared" si="193"/>
        <v>42.196045086294539</v>
      </c>
      <c r="N79" s="199">
        <f t="shared" si="174"/>
        <v>45.329637057875857</v>
      </c>
      <c r="O79" s="11"/>
      <c r="P79" s="199">
        <f t="shared" si="194" ref="P79:P85">P52</f>
        <v>16.520182703280053</v>
      </c>
      <c r="Q79" s="199">
        <f t="shared" si="195" ref="Q79:X79">Q52</f>
        <v>16.725818078032439</v>
      </c>
      <c r="R79" s="199">
        <f t="shared" si="195"/>
        <v>16.104215340469594</v>
      </c>
      <c r="S79" s="199">
        <f t="shared" si="195"/>
        <v>16.885070433213169</v>
      </c>
      <c r="T79" s="199">
        <f t="shared" si="195"/>
        <v>20.900240873734013</v>
      </c>
      <c r="U79" s="199">
        <f t="shared" si="195"/>
        <v>27.349838585239532</v>
      </c>
      <c r="V79" s="199">
        <f t="shared" si="196" ref="V79:W79">V52</f>
        <v>34.768330820138807</v>
      </c>
      <c r="W79" s="199">
        <f t="shared" si="196"/>
        <v>42.196045086294546</v>
      </c>
      <c r="X79" s="199">
        <f t="shared" si="195"/>
        <v>45.329637057875871</v>
      </c>
      <c r="Y79" s="11"/>
      <c r="Z79" s="199">
        <f t="shared" si="197" ref="Z79:Z85">Z52</f>
        <v>16.520182703280053</v>
      </c>
      <c r="AA79" s="199">
        <f t="shared" si="198" ref="AA79:AH79">AA52</f>
        <v>16.725818078032439</v>
      </c>
      <c r="AB79" s="199">
        <f t="shared" si="198"/>
        <v>16.104215340469594</v>
      </c>
      <c r="AC79" s="199">
        <f t="shared" si="198"/>
        <v>16.885070433213169</v>
      </c>
      <c r="AD79" s="199">
        <f t="shared" si="198"/>
        <v>19.854031104184202</v>
      </c>
      <c r="AE79" s="199">
        <f t="shared" si="198"/>
        <v>24.681740358110659</v>
      </c>
      <c r="AF79" s="199">
        <f t="shared" si="199" ref="AF79:AG79">AF52</f>
        <v>29.809278138467651</v>
      </c>
      <c r="AG79" s="199">
        <f t="shared" si="199"/>
        <v>34.365663797700407</v>
      </c>
      <c r="AH79" s="199">
        <f t="shared" si="198"/>
        <v>35.06658913075951</v>
      </c>
      <c r="AM79" s="9"/>
    </row>
    <row r="80" spans="1:50" ht="15">
      <c r="A80" t="s">
        <v>16</v>
      </c>
      <c r="B80" s="9" t="s">
        <v>399</v>
      </c>
      <c r="C80" s="9" t="s">
        <v>748</v>
      </c>
      <c r="D80" t="s">
        <v>137</v>
      </c>
      <c r="E80" s="219"/>
      <c r="F80" s="199">
        <f t="shared" si="200" ref="F80">F67*F96</f>
        <v>4.7389994637867545</v>
      </c>
      <c r="G80" s="199">
        <f t="shared" si="174"/>
        <v>4.7979882745154434</v>
      </c>
      <c r="H80" s="199">
        <f t="shared" si="174"/>
        <v>4.6196745661922405</v>
      </c>
      <c r="I80" s="199">
        <f t="shared" si="174"/>
        <v>4.8436715965079067</v>
      </c>
      <c r="J80" s="199">
        <f t="shared" si="174"/>
        <v>5.995468214402619</v>
      </c>
      <c r="K80" s="199">
        <f t="shared" si="174"/>
        <v>7.8456075648830694</v>
      </c>
      <c r="L80" s="199">
        <f t="shared" si="201" ref="L80:M80">L67*L96</f>
        <v>9.9736851627363716</v>
      </c>
      <c r="M80" s="199">
        <f t="shared" si="201"/>
        <v>12.104408203558696</v>
      </c>
      <c r="N80" s="199">
        <f t="shared" si="174"/>
        <v>13.003314162395455</v>
      </c>
      <c r="O80" s="11"/>
      <c r="P80" s="199">
        <f t="shared" si="194"/>
        <v>4.7389994637867545</v>
      </c>
      <c r="Q80" s="199">
        <f t="shared" si="202" ref="Q80:X80">Q53</f>
        <v>4.7979882745154434</v>
      </c>
      <c r="R80" s="199">
        <f t="shared" si="202"/>
        <v>4.6196745661922405</v>
      </c>
      <c r="S80" s="199">
        <f t="shared" si="202"/>
        <v>4.8436715965079067</v>
      </c>
      <c r="T80" s="199">
        <f t="shared" si="202"/>
        <v>5.995468214402619</v>
      </c>
      <c r="U80" s="199">
        <f t="shared" si="202"/>
        <v>7.8456075648830694</v>
      </c>
      <c r="V80" s="199">
        <f t="shared" si="203" ref="V80:W80">V53</f>
        <v>9.9736851627363698</v>
      </c>
      <c r="W80" s="199">
        <f t="shared" si="203"/>
        <v>12.104408203558698</v>
      </c>
      <c r="X80" s="199">
        <f t="shared" si="202"/>
        <v>13.003314162395455</v>
      </c>
      <c r="Y80" s="11"/>
      <c r="Z80" s="199">
        <f t="shared" si="197"/>
        <v>4.7389994637867545</v>
      </c>
      <c r="AA80" s="199">
        <f t="shared" si="204" ref="AA80:AH80">AA53</f>
        <v>4.7979882745154434</v>
      </c>
      <c r="AB80" s="199">
        <f t="shared" si="204"/>
        <v>4.6196745661922405</v>
      </c>
      <c r="AC80" s="199">
        <f t="shared" si="204"/>
        <v>4.8436715965079067</v>
      </c>
      <c r="AD80" s="199">
        <f t="shared" si="204"/>
        <v>5.6953512226020013</v>
      </c>
      <c r="AE80" s="199">
        <f t="shared" si="204"/>
        <v>7.0802337009981597</v>
      </c>
      <c r="AF80" s="199">
        <f t="shared" si="205" ref="AF80:AG80">AF53</f>
        <v>8.5511253508122689</v>
      </c>
      <c r="AG80" s="199">
        <f t="shared" si="205"/>
        <v>9.8581756167649868</v>
      </c>
      <c r="AH80" s="199">
        <f t="shared" si="204"/>
        <v>10.059243900160071</v>
      </c>
      <c r="AM80" s="9" t="s">
        <v>459</v>
      </c>
      <c r="AN80" s="9">
        <f>SUM(AN77:AN78)</f>
        <v>221.78217504183343</v>
      </c>
      <c r="AO80" s="9">
        <f>SUM(AO77:AO78)</f>
        <v>216.19784536900227</v>
      </c>
      <c r="AP80" s="9">
        <f>SUM(AP77:AP78)</f>
        <v>280.58411720559405</v>
      </c>
      <c r="AQ80" s="9">
        <f>SUM(AQ77:AQ78)</f>
        <v>367.16946763991587</v>
      </c>
      <c r="AR80" s="9">
        <f>SUM(AR77:AR78)</f>
        <v>608.54687149171411</v>
      </c>
      <c r="AS80" s="9"/>
      <c r="AT80" s="9" t="e">
        <f>SUM(AT77:AT78)</f>
        <v>#REF!</v>
      </c>
      <c r="AU80" s="9">
        <f>SUM(AU77:AU78)</f>
        <v>216.19784536900229</v>
      </c>
      <c r="AV80" s="9">
        <f>SUM(AV77:AV78)</f>
        <v>280.58411720559411</v>
      </c>
      <c r="AW80" s="9">
        <f>SUM(AW77:AW78)</f>
        <v>367.16946763991592</v>
      </c>
      <c r="AX80" s="9">
        <f>SUM(AX77:AX78)</f>
        <v>608.54687149171411</v>
      </c>
    </row>
    <row r="81" spans="1:50" ht="15">
      <c r="A81" t="s">
        <v>16</v>
      </c>
      <c r="B81" s="9" t="s">
        <v>400</v>
      </c>
      <c r="C81" s="9" t="s">
        <v>749</v>
      </c>
      <c r="D81" t="s">
        <v>137</v>
      </c>
      <c r="E81" s="219"/>
      <c r="F81" s="199">
        <f t="shared" si="206" ref="F81">F68*F97</f>
        <v>3.2441770761137643</v>
      </c>
      <c r="G81" s="199">
        <f t="shared" si="174"/>
        <v>3.2845590489279806</v>
      </c>
      <c r="H81" s="199">
        <f t="shared" si="174"/>
        <v>3.1624908255995221</v>
      </c>
      <c r="I81" s="199">
        <f t="shared" si="174"/>
        <v>3.3158324827194776</v>
      </c>
      <c r="J81" s="199">
        <f t="shared" si="174"/>
        <v>4.1043179452465388</v>
      </c>
      <c r="K81" s="199">
        <f t="shared" si="174"/>
        <v>5.370867923635557</v>
      </c>
      <c r="L81" s="199">
        <f t="shared" si="207" ref="L81:M81">L68*L97</f>
        <v>6.8276861005319747</v>
      </c>
      <c r="M81" s="199">
        <f t="shared" si="207"/>
        <v>8.2863152684407115</v>
      </c>
      <c r="N81" s="199">
        <f t="shared" si="174"/>
        <v>8.901679361119891</v>
      </c>
      <c r="O81" s="11"/>
      <c r="P81" s="199">
        <f t="shared" si="194"/>
        <v>3.2441770761137643</v>
      </c>
      <c r="Q81" s="199">
        <f t="shared" si="208" ref="Q81:X81">Q54</f>
        <v>3.284559048927981</v>
      </c>
      <c r="R81" s="199">
        <f t="shared" si="208"/>
        <v>3.1624908255995221</v>
      </c>
      <c r="S81" s="199">
        <f t="shared" si="208"/>
        <v>3.3158324827194776</v>
      </c>
      <c r="T81" s="199">
        <f t="shared" si="208"/>
        <v>4.1043179452465379</v>
      </c>
      <c r="U81" s="199">
        <f t="shared" si="208"/>
        <v>5.370867923635557</v>
      </c>
      <c r="V81" s="199">
        <f t="shared" si="209" ref="V81:W81">V54</f>
        <v>6.8276861005319756</v>
      </c>
      <c r="W81" s="199">
        <f t="shared" si="209"/>
        <v>8.2863152684407098</v>
      </c>
      <c r="X81" s="199">
        <f t="shared" si="208"/>
        <v>8.901679361119891</v>
      </c>
      <c r="Y81" s="11"/>
      <c r="Z81" s="199">
        <f t="shared" si="197"/>
        <v>3.2441770761137643</v>
      </c>
      <c r="AA81" s="199">
        <f t="shared" si="210" ref="AA81:AH81">AA54</f>
        <v>3.284559048927981</v>
      </c>
      <c r="AB81" s="199">
        <f t="shared" si="210"/>
        <v>3.1624908255995221</v>
      </c>
      <c r="AC81" s="199">
        <f t="shared" si="210"/>
        <v>3.3158324827194776</v>
      </c>
      <c r="AD81" s="199">
        <f t="shared" si="210"/>
        <v>3.8988668426684865</v>
      </c>
      <c r="AE81" s="199">
        <f t="shared" si="210"/>
        <v>4.8469159032046534</v>
      </c>
      <c r="AF81" s="199">
        <f t="shared" si="211" ref="AF81:AG81">AF54</f>
        <v>5.853844266087628</v>
      </c>
      <c r="AG81" s="199">
        <f t="shared" si="211"/>
        <v>6.7486117254500178</v>
      </c>
      <c r="AH81" s="199">
        <f t="shared" si="210"/>
        <v>6.8862570492590756</v>
      </c>
      <c r="AI81" s="9"/>
      <c r="AJ81" s="9"/>
      <c r="AK81" s="9"/>
      <c r="AL81" s="9"/>
      <c r="AM81" t="s">
        <v>458</v>
      </c>
      <c r="AN81" s="68">
        <f>AN78/AN80</f>
        <v>0.099196429991951662</v>
      </c>
      <c r="AO81" s="68">
        <f>AO78/AO80</f>
        <v>0.075587460052500166</v>
      </c>
      <c r="AP81" s="68">
        <f>AP78/AP80</f>
        <v>0.099196429991951662</v>
      </c>
      <c r="AQ81" s="68">
        <f>AQ78/AQ80</f>
        <v>0.099196429991951676</v>
      </c>
      <c r="AR81" s="68">
        <f>AR78/AR80</f>
        <v>0.099196429991951662</v>
      </c>
      <c r="AS81" s="68"/>
      <c r="AT81" s="68" t="e">
        <f>AT78/AT80</f>
        <v>#REF!</v>
      </c>
      <c r="AU81" s="68">
        <f>AU78/AU80</f>
        <v>0.079587460052500156</v>
      </c>
      <c r="AV81" s="68">
        <f>AV78/AV80</f>
        <v>0.099196429991951635</v>
      </c>
      <c r="AW81" s="68">
        <f>AW78/AW80</f>
        <v>0.099196429991951648</v>
      </c>
      <c r="AX81" s="68">
        <f>AX78/AX80</f>
        <v>0.099196429991951662</v>
      </c>
    </row>
    <row r="82" spans="1:49" ht="15">
      <c r="A82" t="s">
        <v>16</v>
      </c>
      <c r="B82" s="9" t="s">
        <v>401</v>
      </c>
      <c r="C82" s="9" t="s">
        <v>750</v>
      </c>
      <c r="D82" t="s">
        <v>137</v>
      </c>
      <c r="E82" s="219"/>
      <c r="F82" s="199">
        <f>F69*F98</f>
        <v>130.05107807184956</v>
      </c>
      <c r="G82" s="199">
        <f>G69*G98</f>
        <v>134.72568842583831</v>
      </c>
      <c r="H82" s="199">
        <f t="shared" si="174"/>
        <v>131.01589429361539</v>
      </c>
      <c r="I82" s="199">
        <f t="shared" si="174"/>
        <v>138.27526640235749</v>
      </c>
      <c r="J82" s="199">
        <f t="shared" si="174"/>
        <v>164.53200950681801</v>
      </c>
      <c r="K82" s="199">
        <f t="shared" si="174"/>
        <v>215.30488233615355</v>
      </c>
      <c r="L82" s="199">
        <f>L69*L98</f>
        <v>273.70513917016177</v>
      </c>
      <c r="M82" s="199">
        <f>M69*M98</f>
        <v>332.1779941786852</v>
      </c>
      <c r="N82" s="199">
        <f>N69*N98</f>
        <v>356.8464268141505</v>
      </c>
      <c r="O82" s="11"/>
      <c r="P82" s="199">
        <f>P55</f>
        <v>130.05107807184956</v>
      </c>
      <c r="Q82" s="199">
        <f t="shared" si="212" ref="Q82:X82">Q55</f>
        <v>131.66989201940638</v>
      </c>
      <c r="R82" s="199">
        <f t="shared" si="212"/>
        <v>131.88068567509137</v>
      </c>
      <c r="S82" s="199">
        <f t="shared" si="212"/>
        <v>132.92356704520515</v>
      </c>
      <c r="T82" s="199">
        <f t="shared" si="212"/>
        <v>164.53200950681796</v>
      </c>
      <c r="U82" s="199">
        <f t="shared" si="212"/>
        <v>215.3048823361535</v>
      </c>
      <c r="V82" s="199">
        <f t="shared" si="213" ref="V82:W82">V55</f>
        <v>273.70513917016171</v>
      </c>
      <c r="W82" s="199">
        <f t="shared" si="213"/>
        <v>332.17799417868514</v>
      </c>
      <c r="X82" s="199">
        <f t="shared" si="212"/>
        <v>356.84642681415045</v>
      </c>
      <c r="Y82" s="11"/>
      <c r="Z82" s="199">
        <f t="shared" si="197"/>
        <v>130.05107807184956</v>
      </c>
      <c r="AA82" s="199">
        <f t="shared" si="214" ref="AA82:AH82">AA55</f>
        <v>131.66989201940638</v>
      </c>
      <c r="AB82" s="199">
        <f t="shared" si="214"/>
        <v>131.88068567509137</v>
      </c>
      <c r="AC82" s="199">
        <f t="shared" si="214"/>
        <v>132.92356704520515</v>
      </c>
      <c r="AD82" s="199">
        <f t="shared" si="214"/>
        <v>156.29598022899168</v>
      </c>
      <c r="AE82" s="199">
        <f t="shared" si="214"/>
        <v>194.300934796832</v>
      </c>
      <c r="AF82" s="199">
        <f t="shared" si="215" ref="AF82:AG82">AF55</f>
        <v>234.66621574842611</v>
      </c>
      <c r="AG82" s="199">
        <f t="shared" si="215"/>
        <v>270.53524200179083</v>
      </c>
      <c r="AH82" s="199">
        <f t="shared" si="214"/>
        <v>276.05310441587346</v>
      </c>
      <c r="AI82" s="9"/>
      <c r="AJ82" s="9"/>
      <c r="AK82" s="9"/>
      <c r="AL82" s="9"/>
      <c r="AM82" s="9"/>
      <c r="AN82" s="9"/>
      <c r="AO82" s="9"/>
      <c r="AP82" s="9"/>
      <c r="AQ82" s="9"/>
      <c r="AR82" s="9"/>
      <c r="AS82" s="9"/>
      <c r="AT82" s="9"/>
      <c r="AU82" s="9"/>
      <c r="AV82" s="9"/>
      <c r="AW82" s="9"/>
    </row>
    <row r="83" spans="1:49" ht="15">
      <c r="A83" t="s">
        <v>16</v>
      </c>
      <c r="B83" s="9" t="s">
        <v>402</v>
      </c>
      <c r="C83" s="9" t="s">
        <v>751</v>
      </c>
      <c r="D83" t="s">
        <v>137</v>
      </c>
      <c r="E83" s="219"/>
      <c r="F83" s="199">
        <f t="shared" si="216" ref="F83">F70*F99</f>
        <v>39.825760684889083</v>
      </c>
      <c r="G83" s="199">
        <f t="shared" si="174"/>
        <v>40.321492806641579</v>
      </c>
      <c r="H83" s="199">
        <f t="shared" si="174"/>
        <v>38.822974157550945</v>
      </c>
      <c r="I83" s="199">
        <f t="shared" si="174"/>
        <v>40.70540782137526</v>
      </c>
      <c r="J83" s="199">
        <f t="shared" si="174"/>
        <v>50.384914394960205</v>
      </c>
      <c r="K83" s="199">
        <f t="shared" si="174"/>
        <v>65.933176758985269</v>
      </c>
      <c r="L83" s="199">
        <f t="shared" si="217" ref="L83:M83">L70*L99</f>
        <v>83.817185773676499</v>
      </c>
      <c r="M83" s="199">
        <f t="shared" si="217"/>
        <v>101.72342664962768</v>
      </c>
      <c r="N83" s="199">
        <f t="shared" si="174"/>
        <v>109.27768232499072</v>
      </c>
      <c r="O83" s="11"/>
      <c r="P83" s="199">
        <f>P56</f>
        <v>39.825760684889083</v>
      </c>
      <c r="Q83" s="199">
        <f t="shared" si="218" ref="Q83:X83">Q56</f>
        <v>40.321492806641579</v>
      </c>
      <c r="R83" s="199">
        <f t="shared" si="218"/>
        <v>38.822974157550945</v>
      </c>
      <c r="S83" s="199">
        <f t="shared" si="218"/>
        <v>40.70540782137526</v>
      </c>
      <c r="T83" s="199">
        <f t="shared" si="218"/>
        <v>50.384914394960212</v>
      </c>
      <c r="U83" s="199">
        <f t="shared" si="218"/>
        <v>65.933176758985269</v>
      </c>
      <c r="V83" s="199">
        <f t="shared" si="219" ref="V83:W83">V56</f>
        <v>83.817185773676499</v>
      </c>
      <c r="W83" s="199">
        <f t="shared" si="219"/>
        <v>101.7234266496277</v>
      </c>
      <c r="X83" s="199">
        <f t="shared" si="218"/>
        <v>109.27768232499072</v>
      </c>
      <c r="Y83" s="11"/>
      <c r="Z83" s="199">
        <f t="shared" si="197"/>
        <v>39.825760684889083</v>
      </c>
      <c r="AA83" s="199">
        <f t="shared" si="220" ref="AA83:AH83">AA56</f>
        <v>40.321492806641579</v>
      </c>
      <c r="AB83" s="199">
        <f t="shared" si="220"/>
        <v>38.822974157550945</v>
      </c>
      <c r="AC83" s="199">
        <f t="shared" si="220"/>
        <v>40.70540782137526</v>
      </c>
      <c r="AD83" s="199">
        <f t="shared" si="220"/>
        <v>47.862781277146027</v>
      </c>
      <c r="AE83" s="199">
        <f t="shared" si="220"/>
        <v>59.501102526760604</v>
      </c>
      <c r="AF83" s="199">
        <f t="shared" si="221" ref="AF83:AG83">AF56</f>
        <v>71.862230500404607</v>
      </c>
      <c r="AG83" s="199">
        <f t="shared" si="221"/>
        <v>82.846462824701788</v>
      </c>
      <c r="AH83" s="199">
        <f t="shared" si="220"/>
        <v>84.536207125583275</v>
      </c>
      <c r="AI83" s="9"/>
      <c r="AJ83" s="9"/>
      <c r="AK83" s="9"/>
      <c r="AL83" s="9"/>
      <c r="AM83" s="9"/>
      <c r="AN83" s="9"/>
      <c r="AO83" s="9"/>
      <c r="AP83" s="9"/>
      <c r="AQ83" s="9"/>
      <c r="AR83" s="9"/>
      <c r="AS83" s="9"/>
      <c r="AT83" s="9"/>
      <c r="AU83" s="9"/>
      <c r="AV83" s="9"/>
      <c r="AW83" s="9"/>
    </row>
    <row r="84" spans="1:49" ht="15">
      <c r="A84" t="s">
        <v>16</v>
      </c>
      <c r="B84" s="9" t="s">
        <v>403</v>
      </c>
      <c r="C84" s="9" t="s">
        <v>752</v>
      </c>
      <c r="D84" t="s">
        <v>137</v>
      </c>
      <c r="E84" s="219"/>
      <c r="F84" s="199">
        <f t="shared" si="222" ref="F84">F71*F100</f>
        <v>2.2490953086010257</v>
      </c>
      <c r="G84" s="199">
        <f t="shared" si="174"/>
        <v>2.2770909769870769</v>
      </c>
      <c r="H84" s="199">
        <f t="shared" si="174"/>
        <v>2.1924645641939198</v>
      </c>
      <c r="I84" s="199">
        <f t="shared" si="174"/>
        <v>2.2987719554213846</v>
      </c>
      <c r="J84" s="199">
        <f t="shared" si="174"/>
        <v>2.8454064063355351</v>
      </c>
      <c r="K84" s="199">
        <f t="shared" si="174"/>
        <v>3.7234693319005698</v>
      </c>
      <c r="L84" s="199">
        <f t="shared" si="223" ref="L84:M84">L71*L100</f>
        <v>4.7334397651629301</v>
      </c>
      <c r="M84" s="199">
        <f t="shared" si="223"/>
        <v>5.7446657067696725</v>
      </c>
      <c r="N84" s="199">
        <f t="shared" si="174"/>
        <v>6.1712800565585555</v>
      </c>
      <c r="O84" s="11"/>
      <c r="P84" s="199">
        <f t="shared" si="194"/>
        <v>2.2490953086010257</v>
      </c>
      <c r="Q84" s="199">
        <f t="shared" si="224" ref="Q84:X84">Q57</f>
        <v>2.2770909769870764</v>
      </c>
      <c r="R84" s="199">
        <f t="shared" si="224"/>
        <v>2.1924645641939198</v>
      </c>
      <c r="S84" s="199">
        <f t="shared" si="224"/>
        <v>2.298771955421385</v>
      </c>
      <c r="T84" s="199">
        <f t="shared" si="224"/>
        <v>2.8454064063355355</v>
      </c>
      <c r="U84" s="199">
        <f t="shared" si="224"/>
        <v>3.7234693319005707</v>
      </c>
      <c r="V84" s="199">
        <f t="shared" si="225" ref="V84:W84">V57</f>
        <v>4.7334397651629301</v>
      </c>
      <c r="W84" s="199">
        <f t="shared" si="225"/>
        <v>5.7446657067696734</v>
      </c>
      <c r="X84" s="199">
        <f t="shared" si="224"/>
        <v>6.1712800565585564</v>
      </c>
      <c r="Y84" s="11"/>
      <c r="Z84" s="199">
        <f t="shared" si="197"/>
        <v>2.2490953086010257</v>
      </c>
      <c r="AA84" s="199">
        <f t="shared" si="226" ref="AA84:AH84">AA57</f>
        <v>2.2770909769870764</v>
      </c>
      <c r="AB84" s="199">
        <f t="shared" si="226"/>
        <v>2.1924645641939198</v>
      </c>
      <c r="AC84" s="199">
        <f t="shared" si="226"/>
        <v>2.298771955421385</v>
      </c>
      <c r="AD84" s="199">
        <f t="shared" si="226"/>
        <v>2.7029730248911616</v>
      </c>
      <c r="AE84" s="199">
        <f t="shared" si="226"/>
        <v>3.3602283609438266</v>
      </c>
      <c r="AF84" s="199">
        <f t="shared" si="227" ref="AF84:AG84">AF57</f>
        <v>4.0583030356376906</v>
      </c>
      <c r="AG84" s="199">
        <f t="shared" si="227"/>
        <v>4.6786197593941834</v>
      </c>
      <c r="AH84" s="199">
        <f t="shared" si="226"/>
        <v>4.7740453310466</v>
      </c>
      <c r="AI84" s="9"/>
      <c r="AJ84" s="9"/>
      <c r="AK84" s="9"/>
      <c r="AL84" s="9"/>
      <c r="AM84" s="9"/>
      <c r="AN84" s="9"/>
      <c r="AO84" s="9"/>
      <c r="AP84" s="9"/>
      <c r="AQ84" s="9"/>
      <c r="AR84" s="9"/>
      <c r="AS84" s="9"/>
      <c r="AT84" s="9"/>
      <c r="AU84" s="9"/>
      <c r="AV84" s="9"/>
      <c r="AW84" s="9"/>
    </row>
    <row r="85" spans="1:49" ht="15">
      <c r="A85" t="s">
        <v>16</v>
      </c>
      <c r="B85" s="9" t="s">
        <v>404</v>
      </c>
      <c r="C85" s="9" t="s">
        <v>753</v>
      </c>
      <c r="D85" t="s">
        <v>137</v>
      </c>
      <c r="E85" s="219"/>
      <c r="F85" s="199">
        <f t="shared" si="228" ref="F85">F72*F101</f>
        <v>0.64433067785501452</v>
      </c>
      <c r="G85" s="199">
        <f t="shared" si="174"/>
        <v>0.65235099959024956</v>
      </c>
      <c r="H85" s="199">
        <f t="shared" si="174"/>
        <v>0.6281068540838638</v>
      </c>
      <c r="I85" s="199">
        <f t="shared" si="174"/>
        <v>0.65856226128187934</v>
      </c>
      <c r="J85" s="199">
        <f t="shared" si="174"/>
        <v>0.81516449372150901</v>
      </c>
      <c r="K85" s="199">
        <f t="shared" si="174"/>
        <v>1.0667158076498591</v>
      </c>
      <c r="L85" s="199">
        <f t="shared" si="229" ref="L85:M85">L72*L101</f>
        <v>1.3560565623029996</v>
      </c>
      <c r="M85" s="199">
        <f t="shared" si="229"/>
        <v>1.6457570004873339</v>
      </c>
      <c r="N85" s="199">
        <f t="shared" si="174"/>
        <v>1.7679753485186265</v>
      </c>
      <c r="O85" s="11"/>
      <c r="P85" s="199">
        <f t="shared" si="194"/>
        <v>0.64433067785501452</v>
      </c>
      <c r="Q85" s="199">
        <f t="shared" si="230" ref="Q85:X85">Q58</f>
        <v>0.65235099959024967</v>
      </c>
      <c r="R85" s="199">
        <f t="shared" si="230"/>
        <v>0.62810685408386391</v>
      </c>
      <c r="S85" s="199">
        <f t="shared" si="230"/>
        <v>0.65856226128187945</v>
      </c>
      <c r="T85" s="199">
        <f t="shared" si="230"/>
        <v>0.81516449372150912</v>
      </c>
      <c r="U85" s="199">
        <f t="shared" si="230"/>
        <v>1.0667158076498593</v>
      </c>
      <c r="V85" s="199">
        <f t="shared" si="231" ref="V85:W85">V58</f>
        <v>1.3560565623029999</v>
      </c>
      <c r="W85" s="199">
        <f t="shared" si="231"/>
        <v>1.6457570004873343</v>
      </c>
      <c r="X85" s="199">
        <f t="shared" si="230"/>
        <v>1.7679753485186269</v>
      </c>
      <c r="Y85" s="11"/>
      <c r="Z85" s="199">
        <f t="shared" si="197"/>
        <v>0.64433067785501452</v>
      </c>
      <c r="AA85" s="199">
        <f t="shared" si="232" ref="AA85:AH85">AA58</f>
        <v>0.65235099959024967</v>
      </c>
      <c r="AB85" s="199">
        <f t="shared" si="232"/>
        <v>0.62810685408386391</v>
      </c>
      <c r="AC85" s="199">
        <f t="shared" si="232"/>
        <v>0.65856226128187945</v>
      </c>
      <c r="AD85" s="199">
        <f t="shared" si="232"/>
        <v>0.77435955456918815</v>
      </c>
      <c r="AE85" s="199">
        <f t="shared" si="232"/>
        <v>0.96265294284096237</v>
      </c>
      <c r="AF85" s="199">
        <f t="shared" si="233" ref="AF85:AG85">AF58</f>
        <v>1.1626404340863614</v>
      </c>
      <c r="AG85" s="199">
        <f t="shared" si="233"/>
        <v>1.3403514868702633</v>
      </c>
      <c r="AH85" s="199">
        <f t="shared" si="232"/>
        <v>1.3676894227204557</v>
      </c>
      <c r="AI85" s="9"/>
      <c r="AJ85" s="9"/>
      <c r="AK85" s="9"/>
      <c r="AL85" s="9"/>
      <c r="AM85" s="9"/>
      <c r="AN85" s="9"/>
      <c r="AO85" s="9"/>
      <c r="AP85" s="9"/>
      <c r="AQ85" s="9"/>
      <c r="AR85" s="9"/>
      <c r="AS85" s="9"/>
      <c r="AT85" s="9"/>
      <c r="AU85" s="9"/>
      <c r="AV85" s="9"/>
      <c r="AW85" s="9"/>
    </row>
    <row r="86" spans="1:49" ht="15">
      <c r="A86" t="s">
        <v>16</v>
      </c>
      <c r="B86" s="9" t="s">
        <v>366</v>
      </c>
      <c r="C86" s="9" t="s">
        <v>754</v>
      </c>
      <c r="D86" t="s">
        <v>137</v>
      </c>
      <c r="E86" s="40"/>
      <c r="F86" s="199">
        <f t="shared" si="234" ref="F86">F59</f>
        <v>22</v>
      </c>
      <c r="G86" s="199">
        <f t="shared" si="235" ref="G86:N86">G59</f>
        <v>19.218049126986699</v>
      </c>
      <c r="H86" s="199">
        <f t="shared" si="235"/>
        <v>17.206637381742077</v>
      </c>
      <c r="I86" s="199">
        <f t="shared" si="235"/>
        <v>17.134223238421335</v>
      </c>
      <c r="J86" s="199">
        <f t="shared" si="235"/>
        <v>27.83294273923827</v>
      </c>
      <c r="K86" s="199">
        <f t="shared" si="235"/>
        <v>36.421900391925078</v>
      </c>
      <c r="L86" s="199">
        <f t="shared" si="236" ref="L86:M86">L59</f>
        <v>46.301139144858453</v>
      </c>
      <c r="M86" s="199">
        <f t="shared" si="236"/>
        <v>56.192658917395939</v>
      </c>
      <c r="N86" s="199">
        <f t="shared" si="235"/>
        <v>60.365677134749021</v>
      </c>
      <c r="O86" s="11"/>
      <c r="P86" s="199">
        <f>P59</f>
        <v>22</v>
      </c>
      <c r="Q86" s="199">
        <f t="shared" si="237" ref="Q86:X86">Q59</f>
        <v>22.273845533418598</v>
      </c>
      <c r="R86" s="199">
        <f t="shared" si="237"/>
        <v>16.341846000266067</v>
      </c>
      <c r="S86" s="199">
        <f t="shared" si="237"/>
        <v>22.485922595573637</v>
      </c>
      <c r="T86" s="199">
        <f t="shared" si="237"/>
        <v>27.83294273923827</v>
      </c>
      <c r="U86" s="199">
        <f t="shared" si="237"/>
        <v>36.421900391925078</v>
      </c>
      <c r="V86" s="199">
        <f t="shared" si="238" ref="V86:W86">V59</f>
        <v>46.301139144858453</v>
      </c>
      <c r="W86" s="199">
        <f t="shared" si="238"/>
        <v>56.192658917395939</v>
      </c>
      <c r="X86" s="199">
        <f t="shared" si="237"/>
        <v>60.365677134749021</v>
      </c>
      <c r="Y86" s="11"/>
      <c r="Z86" s="199">
        <f>Z59</f>
        <v>22</v>
      </c>
      <c r="AA86" s="199">
        <f>AA59</f>
        <v>22.273845533418598</v>
      </c>
      <c r="AB86" s="199">
        <f t="shared" si="239" ref="AB86:AH86">AB59</f>
        <v>16.341846000266067</v>
      </c>
      <c r="AC86" s="199">
        <f t="shared" si="239"/>
        <v>22.485922595573637</v>
      </c>
      <c r="AD86" s="199">
        <f t="shared" si="239"/>
        <v>40.468060162749872</v>
      </c>
      <c r="AE86" s="199">
        <f t="shared" si="239"/>
        <v>68.665645834794461</v>
      </c>
      <c r="AF86" s="199">
        <f t="shared" si="240" ref="AF86:AG86">AF59</f>
        <v>106.26860861811844</v>
      </c>
      <c r="AG86" s="199">
        <f t="shared" si="240"/>
        <v>150.83312921578417</v>
      </c>
      <c r="AH86" s="199">
        <f t="shared" si="239"/>
        <v>184.32940188739994</v>
      </c>
      <c r="AI86" s="9"/>
      <c r="AJ86" s="9"/>
      <c r="AK86" s="9"/>
      <c r="AL86" s="9"/>
      <c r="AM86" s="9"/>
      <c r="AN86" s="9"/>
      <c r="AO86" s="9"/>
      <c r="AP86" s="9"/>
      <c r="AQ86" s="9"/>
      <c r="AR86" s="9"/>
      <c r="AS86" s="9"/>
      <c r="AT86" s="9"/>
      <c r="AU86" s="9"/>
      <c r="AV86" s="9"/>
      <c r="AW86" s="9"/>
    </row>
    <row r="87" spans="1:49" ht="15">
      <c r="A87" t="s">
        <v>16</v>
      </c>
      <c r="B87" s="9" t="s">
        <v>368</v>
      </c>
      <c r="C87" s="9" t="s">
        <v>755</v>
      </c>
      <c r="D87" t="s">
        <v>137</v>
      </c>
      <c r="E87" s="40"/>
      <c r="F87" s="199">
        <f t="shared" si="241" ref="F87">F47</f>
        <v>27.142505514316699</v>
      </c>
      <c r="G87" s="199">
        <f t="shared" si="242" ref="G87:N87">G47</f>
        <v>26.703251105538467</v>
      </c>
      <c r="H87" s="199">
        <f t="shared" si="242"/>
        <v>25.710844401627732</v>
      </c>
      <c r="I87" s="199">
        <f t="shared" si="242"/>
        <v>26.957502085054063</v>
      </c>
      <c r="J87" s="199">
        <f t="shared" si="242"/>
        <v>33.367837531998987</v>
      </c>
      <c r="K87" s="199">
        <f t="shared" si="242"/>
        <v>43.664806350895645</v>
      </c>
      <c r="L87" s="199">
        <f t="shared" si="243" ref="L87:M87">L47</f>
        <v>55.50864322923541</v>
      </c>
      <c r="M87" s="199">
        <f t="shared" si="243"/>
        <v>67.367203346533998</v>
      </c>
      <c r="N87" s="199">
        <f t="shared" si="242"/>
        <v>72.37007333406163</v>
      </c>
      <c r="O87" s="11"/>
      <c r="P87" s="199">
        <f>P47</f>
        <v>27.142505514316699</v>
      </c>
      <c r="Q87" s="199">
        <f t="shared" si="244" ref="Q87:X87">Q47</f>
        <v>26.703251105538467</v>
      </c>
      <c r="R87" s="199">
        <f t="shared" si="244"/>
        <v>25.706609742210937</v>
      </c>
      <c r="S87" s="199">
        <f t="shared" si="244"/>
        <v>26.945335676091531</v>
      </c>
      <c r="T87" s="199">
        <f t="shared" si="244"/>
        <v>33.36032922630973</v>
      </c>
      <c r="U87" s="199">
        <f t="shared" si="244"/>
        <v>43.654981059891085</v>
      </c>
      <c r="V87" s="199">
        <f t="shared" si="245" ref="V87:W87">V47</f>
        <v>55.483182626762982</v>
      </c>
      <c r="W87" s="199">
        <f t="shared" si="245"/>
        <v>67.349682264669966</v>
      </c>
      <c r="X87" s="199">
        <f t="shared" si="244"/>
        <v>72.340371328198231</v>
      </c>
      <c r="Y87" s="11"/>
      <c r="Z87" s="199">
        <f>Z47</f>
        <v>27.142505514316699</v>
      </c>
      <c r="AA87" s="199">
        <f>AA47</f>
        <v>26.703251105538467</v>
      </c>
      <c r="AB87" s="199">
        <f t="shared" si="246" ref="AB87:AH87">AB47</f>
        <v>25.706609742210937</v>
      </c>
      <c r="AC87" s="199">
        <f t="shared" si="246"/>
        <v>26.945335676091531</v>
      </c>
      <c r="AD87" s="199">
        <f t="shared" si="246"/>
        <v>33.751592346865209</v>
      </c>
      <c r="AE87" s="199">
        <f t="shared" si="246"/>
        <v>44.653386645242293</v>
      </c>
      <c r="AF87" s="199">
        <f t="shared" si="247" ref="AF87:AG87">AF47</f>
        <v>57.339386201092601</v>
      </c>
      <c r="AG87" s="199">
        <f t="shared" si="247"/>
        <v>70.280126182781828</v>
      </c>
      <c r="AH87" s="199">
        <f t="shared" si="246"/>
        <v>76.179021311810217</v>
      </c>
      <c r="AI87" s="9"/>
      <c r="AJ87" s="9"/>
      <c r="AK87" s="9"/>
      <c r="AL87" s="9"/>
      <c r="AM87" s="9"/>
      <c r="AN87" s="9"/>
      <c r="AO87" s="9"/>
      <c r="AP87" s="9"/>
      <c r="AQ87" s="9"/>
      <c r="AR87" s="9"/>
      <c r="AS87" s="9"/>
      <c r="AT87" s="9"/>
      <c r="AU87" s="9"/>
      <c r="AV87" s="9"/>
      <c r="AW87" s="9"/>
    </row>
    <row r="88" spans="1:49" ht="15">
      <c r="A88" t="s">
        <v>16</v>
      </c>
      <c r="B88" s="9" t="s">
        <v>367</v>
      </c>
      <c r="C88" s="9" t="s">
        <v>756</v>
      </c>
      <c r="D88" t="s">
        <v>137</v>
      </c>
      <c r="E88" s="40"/>
      <c r="F88" s="199">
        <f t="shared" si="248" ref="F88">F104</f>
        <v>88.672727178245694</v>
      </c>
      <c r="G88" s="199">
        <f t="shared" si="249" ref="G88:N88">G104</f>
        <v>87.357882681535756</v>
      </c>
      <c r="H88" s="199">
        <f t="shared" si="249"/>
        <v>84.559607459462228</v>
      </c>
      <c r="I88" s="199">
        <f t="shared" si="249"/>
        <v>89.940942914951876</v>
      </c>
      <c r="J88" s="199">
        <f t="shared" si="249"/>
        <v>91.715489099514144</v>
      </c>
      <c r="K88" s="199">
        <f t="shared" si="249"/>
        <v>106.64609154952934</v>
      </c>
      <c r="L88" s="199">
        <f t="shared" si="250" ref="L88:M88">L104</f>
        <v>131.04378429262255</v>
      </c>
      <c r="M88" s="199">
        <f t="shared" si="250"/>
        <v>160.05101345611124</v>
      </c>
      <c r="N88" s="199">
        <f t="shared" si="249"/>
        <v>171.4341209304275</v>
      </c>
      <c r="O88" s="11"/>
      <c r="P88" s="199">
        <f>F88</f>
        <v>88.672727178245694</v>
      </c>
      <c r="Q88" s="199">
        <f t="shared" si="251" ref="Q88:X88">G88</f>
        <v>87.357882681535756</v>
      </c>
      <c r="R88" s="199">
        <f t="shared" si="251"/>
        <v>84.559607459462228</v>
      </c>
      <c r="S88" s="199">
        <f t="shared" si="251"/>
        <v>89.940942914951876</v>
      </c>
      <c r="T88" s="199">
        <f t="shared" si="251"/>
        <v>91.715489099514144</v>
      </c>
      <c r="U88" s="199">
        <f t="shared" si="251"/>
        <v>106.64609154952934</v>
      </c>
      <c r="V88" s="199">
        <f t="shared" si="251"/>
        <v>131.04378429262255</v>
      </c>
      <c r="W88" s="199">
        <f t="shared" si="251"/>
        <v>160.05101345611124</v>
      </c>
      <c r="X88" s="199">
        <f t="shared" si="251"/>
        <v>171.4341209304275</v>
      </c>
      <c r="Y88" s="11"/>
      <c r="Z88" s="199">
        <f t="shared" si="252" ref="Z88:AH88">P88</f>
        <v>88.672727178245694</v>
      </c>
      <c r="AA88" s="199">
        <f t="shared" si="252"/>
        <v>87.357882681535756</v>
      </c>
      <c r="AB88" s="199">
        <f t="shared" si="252"/>
        <v>84.559607459462228</v>
      </c>
      <c r="AC88" s="199">
        <f t="shared" si="252"/>
        <v>89.940942914951876</v>
      </c>
      <c r="AD88" s="199">
        <f t="shared" si="252"/>
        <v>91.715489099514144</v>
      </c>
      <c r="AE88" s="199">
        <f t="shared" si="252"/>
        <v>106.64609154952934</v>
      </c>
      <c r="AF88" s="199">
        <f t="shared" si="252"/>
        <v>131.04378429262255</v>
      </c>
      <c r="AG88" s="199">
        <f t="shared" si="252"/>
        <v>160.05101345611124</v>
      </c>
      <c r="AH88" s="199">
        <f t="shared" si="252"/>
        <v>171.4341209304275</v>
      </c>
      <c r="AI88" s="9"/>
      <c r="AJ88" s="9"/>
      <c r="AK88" s="9"/>
      <c r="AL88" s="9"/>
      <c r="AM88" s="9"/>
      <c r="AN88" s="9"/>
      <c r="AO88" s="9"/>
      <c r="AP88" s="9"/>
      <c r="AQ88" s="9"/>
      <c r="AR88" s="9"/>
      <c r="AS88" s="9"/>
      <c r="AT88" s="9"/>
      <c r="AU88" s="9"/>
      <c r="AV88" s="9"/>
      <c r="AW88" s="9"/>
    </row>
    <row r="89" spans="1:34" ht="15">
      <c r="A89" t="s">
        <v>16</v>
      </c>
      <c r="C89" s="8" t="s">
        <v>197</v>
      </c>
      <c r="E89" s="220"/>
      <c r="F89" s="67">
        <f>SUM(F76:F88)</f>
        <v>361.94771180625361</v>
      </c>
      <c r="G89" s="67">
        <f t="shared" si="253" ref="G89:I89">SUM(G76:G88)</f>
        <v>364.03446430660813</v>
      </c>
      <c r="H89" s="67">
        <f t="shared" si="253"/>
        <v>350.95370724984593</v>
      </c>
      <c r="I89" s="67">
        <f t="shared" si="253"/>
        <v>369.251858899132</v>
      </c>
      <c r="J89" s="67">
        <f t="shared" si="254" ref="J89:N89">SUM(J76:J88)</f>
        <v>437.44489815485804</v>
      </c>
      <c r="K89" s="67">
        <f t="shared" si="254"/>
        <v>559.06401290071858</v>
      </c>
      <c r="L89" s="67">
        <f t="shared" si="255" ref="L89:M89">SUM(L76:L88)</f>
        <v>706.17756102309772</v>
      </c>
      <c r="M89" s="67">
        <f t="shared" si="255"/>
        <v>858.05319535875992</v>
      </c>
      <c r="N89" s="67">
        <f t="shared" si="254"/>
        <v>921.27182506941983</v>
      </c>
      <c r="O89" s="11"/>
      <c r="P89" s="67">
        <f t="shared" si="256" ref="P89:X89">SUM(P76:P88)</f>
        <v>361.94771180625361</v>
      </c>
      <c r="Q89" s="67">
        <f>SUM(Q76:Q88)</f>
        <v>364.03446430660813</v>
      </c>
      <c r="R89" s="67">
        <f t="shared" si="256"/>
        <v>350.94847927525734</v>
      </c>
      <c r="S89" s="67">
        <f t="shared" si="256"/>
        <v>369.23683864115355</v>
      </c>
      <c r="T89" s="67">
        <f t="shared" si="256"/>
        <v>437.4341838811639</v>
      </c>
      <c r="U89" s="67">
        <f t="shared" si="256"/>
        <v>559.04999231321142</v>
      </c>
      <c r="V89" s="67">
        <f t="shared" si="257" ref="V89:W89">SUM(V76:V88)</f>
        <v>706.14583480582723</v>
      </c>
      <c r="W89" s="67">
        <f t="shared" si="257"/>
        <v>858.02695161371219</v>
      </c>
      <c r="X89" s="67">
        <f t="shared" si="256"/>
        <v>921.22239013716114</v>
      </c>
      <c r="Y89" s="285"/>
      <c r="Z89" s="67">
        <f t="shared" si="258" ref="Z89:AH89">SUM(Z76:Z88)</f>
        <v>361.94771180625361</v>
      </c>
      <c r="AA89" s="67">
        <f t="shared" si="258"/>
        <v>364.03446430660813</v>
      </c>
      <c r="AB89" s="67">
        <f t="shared" si="258"/>
        <v>350.94847927525734</v>
      </c>
      <c r="AC89" s="67">
        <f t="shared" si="258"/>
        <v>369.23683864115355</v>
      </c>
      <c r="AD89" s="67">
        <f t="shared" si="258"/>
        <v>437.4172582210856</v>
      </c>
      <c r="AE89" s="67">
        <f t="shared" si="258"/>
        <v>559.02784356986024</v>
      </c>
      <c r="AF89" s="67">
        <f t="shared" si="259" ref="AF89:AG89">SUM(AF76:AF88)</f>
        <v>706.14239786201756</v>
      </c>
      <c r="AG89" s="67">
        <f t="shared" si="259"/>
        <v>857.97291196993058</v>
      </c>
      <c r="AH89" s="67">
        <f t="shared" si="258"/>
        <v>921.07283634654334</v>
      </c>
    </row>
    <row r="90" spans="1:26" ht="15">
      <c r="A90" t="s">
        <v>16</v>
      </c>
      <c r="O90" s="11"/>
      <c r="P90" s="8" t="s">
        <v>32</v>
      </c>
      <c r="Z90" s="8" t="s">
        <v>185</v>
      </c>
    </row>
    <row r="91" spans="1:34" ht="15.75" thickBot="1">
      <c r="A91" t="s">
        <v>16</v>
      </c>
      <c r="B91" s="15" t="s">
        <v>195</v>
      </c>
      <c r="C91" s="15"/>
      <c r="D91" s="15"/>
      <c r="F91">
        <f t="shared" si="260" ref="F91:I91">F$4</f>
        <v>2017</v>
      </c>
      <c r="G91">
        <f t="shared" si="260"/>
        <v>2019</v>
      </c>
      <c r="H91">
        <f t="shared" si="260"/>
        <v>2020</v>
      </c>
      <c r="I91">
        <f t="shared" si="260"/>
        <v>2021</v>
      </c>
      <c r="J91">
        <f>J$4</f>
        <v>2030</v>
      </c>
      <c r="K91">
        <f>K$4</f>
        <v>2040</v>
      </c>
      <c r="L91">
        <f>L$4</f>
        <v>2050</v>
      </c>
      <c r="M91">
        <f>M$4</f>
        <v>2060</v>
      </c>
      <c r="N91">
        <f>N$4</f>
        <v>2070</v>
      </c>
      <c r="O91" s="11"/>
      <c r="P91" s="10">
        <f>P75</f>
        <v>2017</v>
      </c>
      <c r="Q91" s="10">
        <f t="shared" si="261" ref="Q91:T91">Q75</f>
        <v>2019</v>
      </c>
      <c r="R91" s="10">
        <f t="shared" si="261"/>
        <v>2020</v>
      </c>
      <c r="S91" s="10">
        <f t="shared" si="261"/>
        <v>2021</v>
      </c>
      <c r="T91" s="10">
        <f t="shared" si="261"/>
        <v>2030</v>
      </c>
      <c r="U91" s="10">
        <f>U75</f>
        <v>2040</v>
      </c>
      <c r="V91" s="10">
        <f>V75</f>
        <v>2050</v>
      </c>
      <c r="W91" s="10">
        <f>W75</f>
        <v>2060</v>
      </c>
      <c r="X91" s="10">
        <f>X75</f>
        <v>2070</v>
      </c>
      <c r="Z91" s="10">
        <f>Z75</f>
        <v>2017</v>
      </c>
      <c r="AA91" s="10">
        <f t="shared" si="262" ref="AA91:AC91">AA75</f>
        <v>2019</v>
      </c>
      <c r="AB91" s="10">
        <f t="shared" si="262"/>
        <v>2020</v>
      </c>
      <c r="AC91" s="10">
        <f t="shared" si="262"/>
        <v>2021</v>
      </c>
      <c r="AD91" s="10">
        <f>AD75</f>
        <v>2030</v>
      </c>
      <c r="AE91" s="10">
        <f>AE75</f>
        <v>2040</v>
      </c>
      <c r="AF91" s="10">
        <f>AF75</f>
        <v>2050</v>
      </c>
      <c r="AG91" s="10">
        <f>AG75</f>
        <v>2060</v>
      </c>
      <c r="AH91" s="10">
        <f>AH75</f>
        <v>2070</v>
      </c>
    </row>
    <row r="92" spans="1:34" ht="15">
      <c r="A92" t="s">
        <v>16</v>
      </c>
      <c r="B92" s="9" t="s">
        <v>139</v>
      </c>
      <c r="C92" s="9" t="s">
        <v>744</v>
      </c>
      <c r="D92" t="s">
        <v>138</v>
      </c>
      <c r="E92" t="s">
        <v>139</v>
      </c>
      <c r="F92" s="262">
        <f>'BY-DMD'!I87</f>
        <v>47.584820585749902</v>
      </c>
      <c r="G92" s="22">
        <f t="shared" si="263" ref="G92:N92">G43/G63</f>
        <v>48.177133793746854</v>
      </c>
      <c r="H92" s="9">
        <f t="shared" si="263"/>
        <v>46.38666602024783</v>
      </c>
      <c r="I92" s="12">
        <f t="shared" si="263"/>
        <v>48.635845109792321</v>
      </c>
      <c r="J92" s="12">
        <f t="shared" si="263"/>
        <v>60.201163028186507</v>
      </c>
      <c r="K92" s="12">
        <f t="shared" si="263"/>
        <v>78.778617979173106</v>
      </c>
      <c r="L92" s="12">
        <f t="shared" si="264" ref="L92:M92">L43/L63</f>
        <v>100.14688177836048</v>
      </c>
      <c r="M92" s="12">
        <f t="shared" si="264"/>
        <v>121.54170876456928</v>
      </c>
      <c r="N92" s="12">
        <f t="shared" si="263"/>
        <v>130.56772345428803</v>
      </c>
      <c r="O92" s="11"/>
      <c r="P92" s="12">
        <f>P76/P63</f>
        <v>47.584820585749895</v>
      </c>
      <c r="Q92" s="12">
        <f t="shared" si="265" ref="Q92:X92">Q76/Q63</f>
        <v>48.177133793746854</v>
      </c>
      <c r="R92" s="12">
        <f t="shared" si="265"/>
        <v>46.38666602024783</v>
      </c>
      <c r="S92" s="12">
        <f t="shared" si="265"/>
        <v>48.635845109792321</v>
      </c>
      <c r="T92" s="12">
        <f t="shared" si="265"/>
        <v>60.197531516781375</v>
      </c>
      <c r="U92" s="12">
        <f t="shared" si="265"/>
        <v>78.773865820987425</v>
      </c>
      <c r="V92" s="12">
        <f t="shared" si="266" ref="V92:W92">V76/V63</f>
        <v>100.14614435951916</v>
      </c>
      <c r="W92" s="12">
        <f t="shared" si="266"/>
        <v>121.53011420448628</v>
      </c>
      <c r="X92" s="12">
        <f t="shared" si="265"/>
        <v>130.53563570741156</v>
      </c>
      <c r="Z92" s="12">
        <f>P92</f>
        <v>47.584820585749895</v>
      </c>
      <c r="AA92" s="12">
        <f>Q92</f>
        <v>48.177133793746854</v>
      </c>
      <c r="AB92" s="12">
        <f>R92</f>
        <v>46.38666602024783</v>
      </c>
      <c r="AC92" s="12">
        <f>S92</f>
        <v>48.635845109792321</v>
      </c>
      <c r="AD92" s="12">
        <f t="shared" si="267" ref="AD92:AH92">AD76/AD63</f>
        <v>60.197531516781375</v>
      </c>
      <c r="AE92" s="12">
        <f t="shared" si="267"/>
        <v>78.773865820987425</v>
      </c>
      <c r="AF92" s="12">
        <f t="shared" si="268" ref="AF92:AG92">AF76/AF63</f>
        <v>100.14614435951916</v>
      </c>
      <c r="AG92" s="12">
        <f t="shared" si="268"/>
        <v>121.53011420448628</v>
      </c>
      <c r="AH92" s="12">
        <f t="shared" si="267"/>
        <v>130.53563570741156</v>
      </c>
    </row>
    <row r="93" spans="1:34" ht="15">
      <c r="A93" t="s">
        <v>16</v>
      </c>
      <c r="B93" s="9" t="s">
        <v>396</v>
      </c>
      <c r="C93" s="9" t="s">
        <v>745</v>
      </c>
      <c r="D93" t="s">
        <v>138</v>
      </c>
      <c r="E93" t="s">
        <v>396</v>
      </c>
      <c r="F93" s="262">
        <f>'BY-DMD'!I88</f>
        <v>3.6514783707452798</v>
      </c>
      <c r="G93" s="22">
        <f>G46/F46*F93</f>
        <v>4.2205549275424925</v>
      </c>
      <c r="H93" s="22">
        <f t="shared" si="269" ref="H93:K93">H46/G46*G93</f>
        <v>4.0637011052209129</v>
      </c>
      <c r="I93" s="22">
        <f t="shared" si="269"/>
        <v>4.2607403049778449</v>
      </c>
      <c r="J93" s="22">
        <f t="shared" si="269"/>
        <v>5.2739192902210403</v>
      </c>
      <c r="K93" s="22">
        <f t="shared" si="269"/>
        <v>6.9013961212475055</v>
      </c>
      <c r="L93" s="22">
        <f>L46/I46*I93</f>
        <v>8.7733615946770147</v>
      </c>
      <c r="M93" s="22">
        <f>M46/J46*J93</f>
        <v>10.647654134518458</v>
      </c>
      <c r="N93" s="22">
        <f>N46/K46*K93</f>
        <v>11.438377612130319</v>
      </c>
      <c r="P93" s="12">
        <f t="shared" si="270" ref="P93:X100">P77/P64</f>
        <v>3.6514783707452798</v>
      </c>
      <c r="Q93" s="12">
        <f t="shared" si="270"/>
        <v>4.2205549275424925</v>
      </c>
      <c r="R93" s="12">
        <f t="shared" si="270"/>
        <v>4.0630318004760566</v>
      </c>
      <c r="S93" s="12">
        <f t="shared" si="270"/>
        <v>4.2588173557049505</v>
      </c>
      <c r="T93" s="12">
        <f t="shared" si="270"/>
        <v>5.2727325726768335</v>
      </c>
      <c r="U93" s="12">
        <f t="shared" si="270"/>
        <v>6.8998431949689802</v>
      </c>
      <c r="V93" s="12">
        <f t="shared" si="271" ref="V93:W93">V77/V64</f>
        <v>8.7693374453028987</v>
      </c>
      <c r="W93" s="12">
        <f t="shared" si="271"/>
        <v>10.644884857919704</v>
      </c>
      <c r="X93" s="12">
        <f t="shared" si="270"/>
        <v>11.433683092099436</v>
      </c>
      <c r="Z93" s="12">
        <f t="shared" si="272" ref="Z93:Z101">P93</f>
        <v>3.6514783707452798</v>
      </c>
      <c r="AA93" s="12">
        <f t="shared" si="273" ref="AA93:AA101">Q93</f>
        <v>4.2205549275424925</v>
      </c>
      <c r="AB93" s="12">
        <f t="shared" si="274" ref="AB93:AB101">R93</f>
        <v>4.0630318004760566</v>
      </c>
      <c r="AC93" s="12">
        <f t="shared" si="275" ref="AC93:AC101">S93</f>
        <v>4.2588173557049505</v>
      </c>
      <c r="AD93" s="12">
        <f t="shared" si="276" ref="AD93:AH93">AD77/AD64</f>
        <v>5.0090959440429916</v>
      </c>
      <c r="AE93" s="12">
        <f t="shared" si="276"/>
        <v>6.2271084834595039</v>
      </c>
      <c r="AF93" s="12">
        <f t="shared" si="277" ref="AF93:AG93">AF77/AF64</f>
        <v>7.5186106921665719</v>
      </c>
      <c r="AG93" s="12">
        <f t="shared" si="277"/>
        <v>8.6703252473059607</v>
      </c>
      <c r="AH93" s="12">
        <f t="shared" si="276"/>
        <v>8.8471660220825967</v>
      </c>
    </row>
    <row r="94" spans="1:34" ht="15">
      <c r="A94" t="s">
        <v>16</v>
      </c>
      <c r="B94" s="9" t="s">
        <v>397</v>
      </c>
      <c r="C94" s="9" t="s">
        <v>746</v>
      </c>
      <c r="D94" t="s">
        <v>138</v>
      </c>
      <c r="E94" t="s">
        <v>397</v>
      </c>
      <c r="F94" s="262">
        <f>'BY-DMD'!I89</f>
        <v>1.0030192144974699</v>
      </c>
      <c r="G94" s="22">
        <f>G51/F51*F94</f>
        <v>1.0155043204894318</v>
      </c>
      <c r="H94" s="22">
        <f t="shared" si="278" ref="H94:K94">H51/G51*G94</f>
        <v>0.97776384868242405</v>
      </c>
      <c r="I94" s="22">
        <f t="shared" si="278"/>
        <v>1.0251732917755991</v>
      </c>
      <c r="J94" s="22">
        <f t="shared" si="278"/>
        <v>1.2689534710665378</v>
      </c>
      <c r="K94" s="22">
        <f t="shared" si="278"/>
        <v>1.6605393600733538</v>
      </c>
      <c r="L94" s="22">
        <f t="shared" si="279" ref="L94:N101">L51/I51*I94</f>
        <v>2.1109514643369995</v>
      </c>
      <c r="M94" s="22">
        <f t="shared" si="279"/>
        <v>2.561923482175033</v>
      </c>
      <c r="N94" s="22">
        <f t="shared" si="279"/>
        <v>2.7521788210138114</v>
      </c>
      <c r="P94" s="12">
        <f t="shared" si="270"/>
        <v>1.0030192144974699</v>
      </c>
      <c r="Q94" s="12">
        <f t="shared" si="270"/>
        <v>1.0155043204894318</v>
      </c>
      <c r="R94" s="12">
        <f t="shared" si="270"/>
        <v>0.97776384868242405</v>
      </c>
      <c r="S94" s="12">
        <f t="shared" si="270"/>
        <v>1.0251732917755991</v>
      </c>
      <c r="T94" s="12">
        <f t="shared" si="270"/>
        <v>1.2689534710665376</v>
      </c>
      <c r="U94" s="12">
        <f t="shared" si="270"/>
        <v>1.6605393600733536</v>
      </c>
      <c r="V94" s="12">
        <f t="shared" si="280" ref="V94:W94">V78/V65</f>
        <v>2.1109514643369991</v>
      </c>
      <c r="W94" s="12">
        <f t="shared" si="280"/>
        <v>2.5619234821750325</v>
      </c>
      <c r="X94" s="12">
        <f t="shared" si="270"/>
        <v>2.7521788210138109</v>
      </c>
      <c r="Z94" s="12">
        <f t="shared" si="272"/>
        <v>1.0030192144974699</v>
      </c>
      <c r="AA94" s="12">
        <f t="shared" si="273"/>
        <v>1.0155043204894318</v>
      </c>
      <c r="AB94" s="12">
        <f t="shared" si="274"/>
        <v>0.97776384868242405</v>
      </c>
      <c r="AC94" s="12">
        <f t="shared" si="275"/>
        <v>1.0251732917755991</v>
      </c>
      <c r="AD94" s="12">
        <f t="shared" si="281" ref="AD94:AH94">AD78/AD65</f>
        <v>1.205433077854114</v>
      </c>
      <c r="AE94" s="12">
        <f t="shared" si="281"/>
        <v>1.4985463702836253</v>
      </c>
      <c r="AF94" s="12">
        <f t="shared" si="282" ref="AF94:AG94">AF78/AF65</f>
        <v>1.8098636849364849</v>
      </c>
      <c r="AG94" s="12">
        <f t="shared" si="282"/>
        <v>2.0865036257262304</v>
      </c>
      <c r="AH94" s="12">
        <f t="shared" si="281"/>
        <v>2.1290601512570735</v>
      </c>
    </row>
    <row r="95" spans="1:34" ht="15">
      <c r="A95" t="s">
        <v>16</v>
      </c>
      <c r="B95" s="9" t="s">
        <v>398</v>
      </c>
      <c r="C95" s="9" t="s">
        <v>747</v>
      </c>
      <c r="D95" t="s">
        <v>138</v>
      </c>
      <c r="E95" t="s">
        <v>398</v>
      </c>
      <c r="F95" s="262">
        <f>'BY-DMD'!I90</f>
        <v>3.29935437842208</v>
      </c>
      <c r="G95" s="22">
        <f t="shared" si="283" ref="G95:K101">G52/F52*F95</f>
        <v>3.3404231720446251</v>
      </c>
      <c r="H95" s="22">
        <f t="shared" si="283"/>
        <v>3.2162787996334212</v>
      </c>
      <c r="I95" s="22">
        <f t="shared" si="283"/>
        <v>3.3722285076620842</v>
      </c>
      <c r="J95" s="22">
        <f t="shared" si="283"/>
        <v>4.1741246132307648</v>
      </c>
      <c r="K95" s="22">
        <f t="shared" si="283"/>
        <v>5.4622162058432204</v>
      </c>
      <c r="L95" s="22">
        <f t="shared" si="279"/>
        <v>6.9438120983417599</v>
      </c>
      <c r="M95" s="22">
        <f t="shared" si="279"/>
        <v>8.4272497833767641</v>
      </c>
      <c r="N95" s="22">
        <f t="shared" si="279"/>
        <v>9.0530800527703548</v>
      </c>
      <c r="P95" s="12">
        <f t="shared" si="270"/>
        <v>3.2993543784220805</v>
      </c>
      <c r="Q95" s="12">
        <f t="shared" si="270"/>
        <v>3.3404231720446256</v>
      </c>
      <c r="R95" s="12">
        <f t="shared" si="270"/>
        <v>3.2162787996334217</v>
      </c>
      <c r="S95" s="12">
        <f t="shared" si="270"/>
        <v>3.372228507662085</v>
      </c>
      <c r="T95" s="12">
        <f t="shared" si="270"/>
        <v>4.1741246132307657</v>
      </c>
      <c r="U95" s="12">
        <f t="shared" si="270"/>
        <v>5.4622162058432222</v>
      </c>
      <c r="V95" s="12">
        <f t="shared" si="284" ref="V95:W95">V79/V66</f>
        <v>6.9438120983417608</v>
      </c>
      <c r="W95" s="12">
        <f t="shared" si="284"/>
        <v>8.4272497833767659</v>
      </c>
      <c r="X95" s="12">
        <f t="shared" si="270"/>
        <v>9.0530800527703583</v>
      </c>
      <c r="Z95" s="12">
        <f t="shared" si="272"/>
        <v>3.2993543784220805</v>
      </c>
      <c r="AA95" s="12">
        <f t="shared" si="273"/>
        <v>3.3404231720446256</v>
      </c>
      <c r="AB95" s="12">
        <f t="shared" si="274"/>
        <v>3.2162787996334217</v>
      </c>
      <c r="AC95" s="12">
        <f t="shared" si="275"/>
        <v>3.372228507662085</v>
      </c>
      <c r="AD95" s="12">
        <f t="shared" si="285" ref="AD95:AH95">AD79/AD66</f>
        <v>3.9651791768569433</v>
      </c>
      <c r="AE95" s="12">
        <f t="shared" si="285"/>
        <v>4.9293527547634701</v>
      </c>
      <c r="AF95" s="12">
        <f t="shared" si="286" ref="AF95:AG95">AF79/AF66</f>
        <v>5.9534070603364055</v>
      </c>
      <c r="AG95" s="12">
        <f t="shared" si="286"/>
        <v>6.8633928180353427</v>
      </c>
      <c r="AH95" s="12">
        <f t="shared" si="285"/>
        <v>7.0033792278779137</v>
      </c>
    </row>
    <row r="96" spans="1:34" ht="15">
      <c r="A96" t="s">
        <v>16</v>
      </c>
      <c r="B96" s="9" t="s">
        <v>399</v>
      </c>
      <c r="C96" s="9" t="s">
        <v>748</v>
      </c>
      <c r="D96" t="s">
        <v>138</v>
      </c>
      <c r="E96" t="s">
        <v>399</v>
      </c>
      <c r="F96" s="262">
        <f>'BY-DMD'!I91</f>
        <v>0.59840698910616097</v>
      </c>
      <c r="G96" s="22">
        <f t="shared" si="283"/>
        <v>0.60585567461221534</v>
      </c>
      <c r="H96" s="22">
        <f t="shared" si="283"/>
        <v>0.58333949369060389</v>
      </c>
      <c r="I96" s="22">
        <f t="shared" si="283"/>
        <v>0.61162423807688249</v>
      </c>
      <c r="J96" s="22">
        <f t="shared" si="283"/>
        <v>0.75706488466144362</v>
      </c>
      <c r="K96" s="22">
        <f t="shared" si="283"/>
        <v>0.99068726141165409</v>
      </c>
      <c r="L96" s="22">
        <f t="shared" si="279"/>
        <v>1.2594056939936438</v>
      </c>
      <c r="M96" s="22">
        <f t="shared" si="279"/>
        <v>1.5284581742103804</v>
      </c>
      <c r="N96" s="22">
        <f t="shared" si="279"/>
        <v>1.641965595434536</v>
      </c>
      <c r="P96" s="12">
        <f t="shared" si="270"/>
        <v>0.59840698910616097</v>
      </c>
      <c r="Q96" s="12">
        <f t="shared" si="270"/>
        <v>0.60585567461221534</v>
      </c>
      <c r="R96" s="12">
        <f t="shared" si="270"/>
        <v>0.58333949369060389</v>
      </c>
      <c r="S96" s="12">
        <f t="shared" si="270"/>
        <v>0.61162423807688249</v>
      </c>
      <c r="T96" s="12">
        <f t="shared" si="270"/>
        <v>0.75706488466144362</v>
      </c>
      <c r="U96" s="12">
        <f t="shared" si="270"/>
        <v>0.99068726141165409</v>
      </c>
      <c r="V96" s="12">
        <f t="shared" si="287" ref="V96:W96">V80/V67</f>
        <v>1.2594056939936435</v>
      </c>
      <c r="W96" s="12">
        <f t="shared" si="287"/>
        <v>1.5284581742103807</v>
      </c>
      <c r="X96" s="12">
        <f t="shared" si="270"/>
        <v>1.641965595434536</v>
      </c>
      <c r="Z96" s="12">
        <f t="shared" si="272"/>
        <v>0.59840698910616097</v>
      </c>
      <c r="AA96" s="12">
        <f t="shared" si="273"/>
        <v>0.60585567461221534</v>
      </c>
      <c r="AB96" s="12">
        <f t="shared" si="274"/>
        <v>0.58333949369060389</v>
      </c>
      <c r="AC96" s="12">
        <f t="shared" si="275"/>
        <v>0.61162423807688249</v>
      </c>
      <c r="AD96" s="12">
        <f t="shared" si="288" ref="AD96:AH96">AD80/AD67</f>
        <v>0.71916825546463403</v>
      </c>
      <c r="AE96" s="12">
        <f t="shared" si="288"/>
        <v>0.89404131896583172</v>
      </c>
      <c r="AF96" s="12">
        <f t="shared" si="289" ref="AF96:AG96">AF80/AF67</f>
        <v>1.0797750060431726</v>
      </c>
      <c r="AG96" s="12">
        <f t="shared" si="289"/>
        <v>1.2448199739179289</v>
      </c>
      <c r="AH96" s="12">
        <f t="shared" si="288"/>
        <v>1.2702094399836317</v>
      </c>
    </row>
    <row r="97" spans="1:34" ht="15">
      <c r="A97" t="s">
        <v>16</v>
      </c>
      <c r="B97" s="9" t="s">
        <v>400</v>
      </c>
      <c r="C97" s="9" t="s">
        <v>749</v>
      </c>
      <c r="D97" t="s">
        <v>138</v>
      </c>
      <c r="E97" t="s">
        <v>400</v>
      </c>
      <c r="F97" s="262">
        <f>'BY-DMD'!I92</f>
        <v>0.29798809605332599</v>
      </c>
      <c r="G97" s="22">
        <f t="shared" si="283"/>
        <v>0.30169731010405854</v>
      </c>
      <c r="H97" s="22">
        <f t="shared" si="283"/>
        <v>0.29048495128243912</v>
      </c>
      <c r="I97" s="22">
        <f t="shared" si="283"/>
        <v>0.30456987555715687</v>
      </c>
      <c r="J97" s="22">
        <f t="shared" si="283"/>
        <v>0.37699480065576624</v>
      </c>
      <c r="K97" s="22">
        <f t="shared" si="283"/>
        <v>0.49333148874698374</v>
      </c>
      <c r="L97" s="22">
        <f t="shared" si="279"/>
        <v>0.62714492267620425</v>
      </c>
      <c r="M97" s="22">
        <f t="shared" si="279"/>
        <v>0.76112470195312598</v>
      </c>
      <c r="N97" s="22">
        <f t="shared" si="279"/>
        <v>0.81764787256152993</v>
      </c>
      <c r="P97" s="12">
        <f t="shared" si="270"/>
        <v>0.29798809605332599</v>
      </c>
      <c r="Q97" s="12">
        <f t="shared" si="270"/>
        <v>0.30169731010405854</v>
      </c>
      <c r="R97" s="12">
        <f t="shared" si="270"/>
        <v>0.29048495128243912</v>
      </c>
      <c r="S97" s="12">
        <f t="shared" si="270"/>
        <v>0.30456987555715687</v>
      </c>
      <c r="T97" s="12">
        <f t="shared" si="270"/>
        <v>0.37699480065576618</v>
      </c>
      <c r="U97" s="12">
        <f t="shared" si="270"/>
        <v>0.49333148874698368</v>
      </c>
      <c r="V97" s="12">
        <f t="shared" si="290" ref="V97:W97">V81/V68</f>
        <v>0.62714492267620425</v>
      </c>
      <c r="W97" s="12">
        <f t="shared" si="290"/>
        <v>0.76112470195312587</v>
      </c>
      <c r="X97" s="12">
        <f t="shared" si="270"/>
        <v>0.81764787256152993</v>
      </c>
      <c r="Z97" s="12">
        <f t="shared" si="272"/>
        <v>0.29798809605332599</v>
      </c>
      <c r="AA97" s="12">
        <f t="shared" si="273"/>
        <v>0.30169731010405854</v>
      </c>
      <c r="AB97" s="12">
        <f t="shared" si="274"/>
        <v>0.29048495128243912</v>
      </c>
      <c r="AC97" s="12">
        <f t="shared" si="275"/>
        <v>0.30456987555715687</v>
      </c>
      <c r="AD97" s="12">
        <f t="shared" si="291" ref="AD97:AH97">AD81/AD68</f>
        <v>0.35812345625842873</v>
      </c>
      <c r="AE97" s="12">
        <f t="shared" si="291"/>
        <v>0.44520481090900021</v>
      </c>
      <c r="AF97" s="12">
        <f t="shared" si="292" ref="AF97:AG97">AF81/AF68</f>
        <v>0.53769441880581281</v>
      </c>
      <c r="AG97" s="12">
        <f t="shared" si="292"/>
        <v>0.61988168706222668</v>
      </c>
      <c r="AH97" s="12">
        <f t="shared" si="291"/>
        <v>0.63252485265096792</v>
      </c>
    </row>
    <row r="98" spans="1:34" ht="15">
      <c r="A98" t="s">
        <v>16</v>
      </c>
      <c r="B98" s="9" t="s">
        <v>401</v>
      </c>
      <c r="C98" s="9" t="s">
        <v>750</v>
      </c>
      <c r="D98" t="s">
        <v>138</v>
      </c>
      <c r="E98" t="s">
        <v>401</v>
      </c>
      <c r="F98" s="262">
        <f>'BY-DMD'!I93</f>
        <v>6.6621877646371201</v>
      </c>
      <c r="G98" s="22">
        <f>G55/F55*F98</f>
        <v>6.9016562286169734</v>
      </c>
      <c r="H98" s="22">
        <f t="shared" si="283"/>
        <v>6.7116128591697501</v>
      </c>
      <c r="I98" s="22">
        <f>I55/H55*H98</f>
        <v>7.0834921296752222</v>
      </c>
      <c r="J98" s="22">
        <f t="shared" si="283"/>
        <v>8.4285586623272195</v>
      </c>
      <c r="K98" s="22">
        <f t="shared" si="283"/>
        <v>11.029524507087057</v>
      </c>
      <c r="L98" s="22">
        <f t="shared" si="279"/>
        <v>14.021221940892586</v>
      </c>
      <c r="M98" s="22">
        <f t="shared" si="279"/>
        <v>17.016638395541012</v>
      </c>
      <c r="N98" s="22">
        <f t="shared" si="279"/>
        <v>18.280339800507264</v>
      </c>
      <c r="P98" s="12">
        <f t="shared" si="270"/>
        <v>6.6621877646371193</v>
      </c>
      <c r="Q98" s="12">
        <f t="shared" si="270"/>
        <v>6.7451155083708443</v>
      </c>
      <c r="R98" s="12">
        <f t="shared" si="270"/>
        <v>6.7559139341477668</v>
      </c>
      <c r="S98" s="12">
        <f t="shared" si="270"/>
        <v>6.8093381087640008</v>
      </c>
      <c r="T98" s="12">
        <f t="shared" si="270"/>
        <v>8.4285586623272177</v>
      </c>
      <c r="U98" s="12">
        <f t="shared" si="270"/>
        <v>11.029524507087054</v>
      </c>
      <c r="V98" s="12">
        <f t="shared" si="293" ref="V98:W98">V82/V69</f>
        <v>14.021221940892584</v>
      </c>
      <c r="W98" s="12">
        <f t="shared" si="293"/>
        <v>17.016638395541008</v>
      </c>
      <c r="X98" s="12">
        <f t="shared" si="270"/>
        <v>18.28033980050726</v>
      </c>
      <c r="Z98" s="12">
        <f t="shared" si="272"/>
        <v>6.6621877646371193</v>
      </c>
      <c r="AA98" s="12">
        <f t="shared" si="273"/>
        <v>6.7451155083708443</v>
      </c>
      <c r="AB98" s="12">
        <f t="shared" si="274"/>
        <v>6.7559139341477668</v>
      </c>
      <c r="AC98" s="12">
        <f t="shared" si="275"/>
        <v>6.8093381087640008</v>
      </c>
      <c r="AD98" s="12">
        <f t="shared" si="294" ref="AD98:AH98">AD82/AD69</f>
        <v>8.0066477155097431</v>
      </c>
      <c r="AE98" s="12">
        <f t="shared" si="294"/>
        <v>9.953545404259172</v>
      </c>
      <c r="AF98" s="12">
        <f t="shared" si="295" ref="AF98:AG98">AF82/AF69</f>
        <v>12.021356643188531</v>
      </c>
      <c r="AG98" s="12">
        <f t="shared" si="295"/>
        <v>13.858836127230886</v>
      </c>
      <c r="AH98" s="12">
        <f t="shared" si="294"/>
        <v>14.141502261238193</v>
      </c>
    </row>
    <row r="99" spans="1:34" ht="15">
      <c r="A99" t="s">
        <v>16</v>
      </c>
      <c r="B99" s="9" t="s">
        <v>402</v>
      </c>
      <c r="C99" s="9" t="s">
        <v>751</v>
      </c>
      <c r="D99" t="s">
        <v>138</v>
      </c>
      <c r="E99" t="s">
        <v>402</v>
      </c>
      <c r="F99" s="262">
        <f>'BY-DMD'!I94</f>
        <v>2.2261566306639899</v>
      </c>
      <c r="G99" s="22">
        <f t="shared" si="283"/>
        <v>2.2538667693002417</v>
      </c>
      <c r="H99" s="22">
        <f t="shared" si="283"/>
        <v>2.1701034671189854</v>
      </c>
      <c r="I99" s="22">
        <f t="shared" si="283"/>
        <v>2.2753266219424315</v>
      </c>
      <c r="J99" s="22">
        <f t="shared" si="283"/>
        <v>2.8163859104475653</v>
      </c>
      <c r="K99" s="22">
        <f t="shared" si="283"/>
        <v>3.6854934117666991</v>
      </c>
      <c r="L99" s="22">
        <f t="shared" si="279"/>
        <v>4.6851630870283039</v>
      </c>
      <c r="M99" s="22">
        <f t="shared" si="279"/>
        <v>5.6860754656182255</v>
      </c>
      <c r="N99" s="22">
        <f t="shared" si="279"/>
        <v>6.1083387462746899</v>
      </c>
      <c r="P99" s="12">
        <f t="shared" si="270"/>
        <v>2.2261566306639899</v>
      </c>
      <c r="Q99" s="12">
        <f t="shared" si="270"/>
        <v>2.2538667693002417</v>
      </c>
      <c r="R99" s="12">
        <f t="shared" si="270"/>
        <v>2.1701034671189854</v>
      </c>
      <c r="S99" s="12">
        <f t="shared" si="270"/>
        <v>2.2753266219424315</v>
      </c>
      <c r="T99" s="12">
        <f t="shared" si="270"/>
        <v>2.8163859104475657</v>
      </c>
      <c r="U99" s="12">
        <f t="shared" si="270"/>
        <v>3.6854934117666995</v>
      </c>
      <c r="V99" s="12">
        <f t="shared" si="296" ref="V99:W99">V83/V70</f>
        <v>4.6851630870283039</v>
      </c>
      <c r="W99" s="12">
        <f t="shared" si="296"/>
        <v>5.6860754656182264</v>
      </c>
      <c r="X99" s="12">
        <f t="shared" si="270"/>
        <v>6.1083387462746899</v>
      </c>
      <c r="Z99" s="12">
        <f t="shared" si="272"/>
        <v>2.2261566306639899</v>
      </c>
      <c r="AA99" s="12">
        <f t="shared" si="273"/>
        <v>2.2538667693002417</v>
      </c>
      <c r="AB99" s="12">
        <f t="shared" si="274"/>
        <v>2.1701034671189854</v>
      </c>
      <c r="AC99" s="12">
        <f t="shared" si="275"/>
        <v>2.2753266219424315</v>
      </c>
      <c r="AD99" s="12">
        <f t="shared" si="297" ref="AD99:AH99">AD83/AD70</f>
        <v>2.6754052168692595</v>
      </c>
      <c r="AE99" s="12">
        <f t="shared" si="297"/>
        <v>3.3259571604874401</v>
      </c>
      <c r="AF99" s="12">
        <f t="shared" si="298" ref="AF99:AG99">AF83/AF70</f>
        <v>4.0169121235009824</v>
      </c>
      <c r="AG99" s="12">
        <f t="shared" si="298"/>
        <v>4.6309021942735882</v>
      </c>
      <c r="AH99" s="12">
        <f t="shared" si="297"/>
        <v>4.7253545139492115</v>
      </c>
    </row>
    <row r="100" spans="1:34" ht="15">
      <c r="A100" t="s">
        <v>16</v>
      </c>
      <c r="B100" s="9" t="s">
        <v>403</v>
      </c>
      <c r="C100" s="9" t="s">
        <v>752</v>
      </c>
      <c r="D100" t="s">
        <v>138</v>
      </c>
      <c r="E100" t="s">
        <v>403</v>
      </c>
      <c r="F100" s="262">
        <f>'BY-DMD'!I95</f>
        <v>0.122213678849837</v>
      </c>
      <c r="G100" s="22">
        <f t="shared" si="283"/>
        <v>0.12373493658054988</v>
      </c>
      <c r="H100" s="22">
        <f t="shared" si="283"/>
        <v>0.11913641859166579</v>
      </c>
      <c r="I100" s="22">
        <f t="shared" si="283"/>
        <v>0.12491306012444225</v>
      </c>
      <c r="J100" s="22">
        <f t="shared" si="283"/>
        <v>0.15461665115359857</v>
      </c>
      <c r="K100" s="22">
        <f t="shared" si="283"/>
        <v>0.20232974716361288</v>
      </c>
      <c r="L100" s="22">
        <f t="shared" si="279"/>
        <v>0.25721057044687945</v>
      </c>
      <c r="M100" s="22">
        <f t="shared" si="279"/>
        <v>0.3121596168476844</v>
      </c>
      <c r="N100" s="22">
        <f t="shared" si="279"/>
        <v>0.33534143085905294</v>
      </c>
      <c r="P100" s="12">
        <f t="shared" si="270"/>
        <v>0.122213678849837</v>
      </c>
      <c r="Q100" s="12">
        <f t="shared" si="270"/>
        <v>0.12373493658054986</v>
      </c>
      <c r="R100" s="12">
        <f t="shared" si="270"/>
        <v>0.11913641859166579</v>
      </c>
      <c r="S100" s="12">
        <f t="shared" si="270"/>
        <v>0.12491306012444227</v>
      </c>
      <c r="T100" s="12">
        <f t="shared" si="270"/>
        <v>0.1546166511535986</v>
      </c>
      <c r="U100" s="12">
        <f t="shared" si="270"/>
        <v>0.20232974716361291</v>
      </c>
      <c r="V100" s="12">
        <f t="shared" si="299" ref="V100:W100">V84/V71</f>
        <v>0.25721057044687945</v>
      </c>
      <c r="W100" s="12">
        <f t="shared" si="299"/>
        <v>0.31215961684768445</v>
      </c>
      <c r="X100" s="12">
        <f t="shared" si="270"/>
        <v>0.33534143085905299</v>
      </c>
      <c r="Z100" s="12">
        <f t="shared" si="272"/>
        <v>0.122213678849837</v>
      </c>
      <c r="AA100" s="12">
        <f t="shared" si="273"/>
        <v>0.12373493658054986</v>
      </c>
      <c r="AB100" s="12">
        <f t="shared" si="274"/>
        <v>0.11913641859166579</v>
      </c>
      <c r="AC100" s="12">
        <f t="shared" si="275"/>
        <v>0.12491306012444227</v>
      </c>
      <c r="AD100" s="12">
        <f t="shared" si="300" ref="AD100:AH100">AD84/AD71</f>
        <v>0.14687695801086259</v>
      </c>
      <c r="AE100" s="12">
        <f t="shared" si="300"/>
        <v>0.1825915816888809</v>
      </c>
      <c r="AF100" s="12">
        <f t="shared" si="301" ref="AF100:AG100">AF84/AF71</f>
        <v>0.22052428902234966</v>
      </c>
      <c r="AG100" s="12">
        <f t="shared" si="301"/>
        <v>0.25423170398713163</v>
      </c>
      <c r="AH100" s="12">
        <f t="shared" si="300"/>
        <v>0.25941703789601106</v>
      </c>
    </row>
    <row r="101" spans="1:34" ht="15">
      <c r="A101" t="s">
        <v>16</v>
      </c>
      <c r="B101" s="9" t="s">
        <v>404</v>
      </c>
      <c r="C101" s="9" t="s">
        <v>753</v>
      </c>
      <c r="D101" t="s">
        <v>138</v>
      </c>
      <c r="E101" t="s">
        <v>404</v>
      </c>
      <c r="F101" s="262">
        <f>'BY-DMD'!I96</f>
        <v>0.029412068148240201</v>
      </c>
      <c r="G101" s="22">
        <f t="shared" si="283"/>
        <v>0.029778175579649242</v>
      </c>
      <c r="H101" s="22">
        <f t="shared" si="283"/>
        <v>0.028671491567328906</v>
      </c>
      <c r="I101" s="22">
        <f t="shared" si="283"/>
        <v>0.03006170398895754</v>
      </c>
      <c r="J101" s="22">
        <f t="shared" si="283"/>
        <v>0.037210200391479237</v>
      </c>
      <c r="K101" s="22">
        <f t="shared" si="283"/>
        <v>0.048692882564350753</v>
      </c>
      <c r="L101" s="22">
        <f t="shared" si="279"/>
        <v>0.061900557266805857</v>
      </c>
      <c r="M101" s="22">
        <f t="shared" si="279"/>
        <v>0.07512465061405757</v>
      </c>
      <c r="N101" s="22">
        <f t="shared" si="279"/>
        <v>0.080703609531904696</v>
      </c>
      <c r="P101" s="12">
        <f>P85/P72</f>
        <v>0.029412068148240201</v>
      </c>
      <c r="Q101" s="12">
        <f t="shared" si="302" ref="Q101:X101">Q85/Q72</f>
        <v>0.029778175579649246</v>
      </c>
      <c r="R101" s="12">
        <f t="shared" si="302"/>
        <v>0.02867149156732891</v>
      </c>
      <c r="S101" s="12">
        <f t="shared" si="302"/>
        <v>0.030061703988957543</v>
      </c>
      <c r="T101" s="12">
        <f t="shared" si="302"/>
        <v>0.037210200391479244</v>
      </c>
      <c r="U101" s="12">
        <f t="shared" si="302"/>
        <v>0.048692882564350767</v>
      </c>
      <c r="V101" s="12">
        <f t="shared" si="303" ref="V101:W101">V85/V72</f>
        <v>0.061900557266805864</v>
      </c>
      <c r="W101" s="12">
        <f t="shared" si="303"/>
        <v>0.075124650614057584</v>
      </c>
      <c r="X101" s="12">
        <f t="shared" si="302"/>
        <v>0.08070360953190471</v>
      </c>
      <c r="Z101" s="12">
        <f t="shared" si="272"/>
        <v>0.029412068148240201</v>
      </c>
      <c r="AA101" s="12">
        <f t="shared" si="273"/>
        <v>0.029778175579649246</v>
      </c>
      <c r="AB101" s="12">
        <f t="shared" si="274"/>
        <v>0.02867149156732891</v>
      </c>
      <c r="AC101" s="12">
        <f t="shared" si="275"/>
        <v>0.030061703988957543</v>
      </c>
      <c r="AD101" s="12">
        <f t="shared" si="304" ref="AD101:AH101">AD85/AD72</f>
        <v>0.035347557974501363</v>
      </c>
      <c r="AE101" s="12">
        <f t="shared" si="304"/>
        <v>0.043942675602842263</v>
      </c>
      <c r="AF101" s="12">
        <f t="shared" si="305" ref="AF101:AG101">AF85/AF72</f>
        <v>0.053071599497769441</v>
      </c>
      <c r="AG101" s="12">
        <f t="shared" si="305"/>
        <v>0.061183660237413076</v>
      </c>
      <c r="AH101" s="12">
        <f t="shared" si="304"/>
        <v>0.06243156796537478</v>
      </c>
    </row>
    <row r="102" spans="1:16" ht="15">
      <c r="A102" t="s">
        <v>16</v>
      </c>
      <c r="B102" s="9" t="s">
        <v>366</v>
      </c>
      <c r="C102" s="9" t="s">
        <v>754</v>
      </c>
      <c r="D102" t="s">
        <v>137</v>
      </c>
      <c r="E102" t="s">
        <v>366</v>
      </c>
      <c r="F102" s="262">
        <f>'BY-DMD'!I97</f>
        <v>22</v>
      </c>
      <c r="G102" s="22">
        <f t="shared" si="306" ref="G102:N102">G59</f>
        <v>19.218049126986699</v>
      </c>
      <c r="H102" s="12">
        <f t="shared" si="306"/>
        <v>17.206637381742077</v>
      </c>
      <c r="I102" s="12">
        <f t="shared" si="306"/>
        <v>17.134223238421335</v>
      </c>
      <c r="J102" s="12">
        <f t="shared" si="306"/>
        <v>27.83294273923827</v>
      </c>
      <c r="K102" s="12">
        <f t="shared" si="306"/>
        <v>36.421900391925078</v>
      </c>
      <c r="L102" s="12">
        <f t="shared" si="307" ref="L102:M102">L59</f>
        <v>46.301139144858453</v>
      </c>
      <c r="M102" s="12">
        <f t="shared" si="307"/>
        <v>56.192658917395939</v>
      </c>
      <c r="N102" s="12">
        <f t="shared" si="306"/>
        <v>60.365677134749021</v>
      </c>
      <c r="P102" s="12"/>
    </row>
    <row r="103" spans="1:16" ht="15">
      <c r="A103" t="s">
        <v>16</v>
      </c>
      <c r="B103" s="9" t="s">
        <v>368</v>
      </c>
      <c r="C103" s="9" t="s">
        <v>755</v>
      </c>
      <c r="D103" t="s">
        <v>137</v>
      </c>
      <c r="E103" t="s">
        <v>368</v>
      </c>
      <c r="F103" s="262">
        <f>'BY-DMD'!I98</f>
        <v>27.142505514316699</v>
      </c>
      <c r="G103" s="22">
        <f t="shared" si="308" ref="G103:N103">G47</f>
        <v>26.703251105538467</v>
      </c>
      <c r="H103" s="12">
        <f t="shared" si="308"/>
        <v>25.710844401627732</v>
      </c>
      <c r="I103" s="12">
        <f t="shared" si="308"/>
        <v>26.957502085054063</v>
      </c>
      <c r="J103" s="12">
        <f t="shared" si="308"/>
        <v>33.367837531998987</v>
      </c>
      <c r="K103" s="12">
        <f t="shared" si="308"/>
        <v>43.664806350895645</v>
      </c>
      <c r="L103" s="12">
        <f t="shared" si="309" ref="L103:M103">L47</f>
        <v>55.50864322923541</v>
      </c>
      <c r="M103" s="12">
        <f t="shared" si="309"/>
        <v>67.367203346533998</v>
      </c>
      <c r="N103" s="12">
        <f t="shared" si="308"/>
        <v>72.37007333406163</v>
      </c>
      <c r="P103" s="12"/>
    </row>
    <row r="104" spans="1:16" ht="15">
      <c r="A104" t="s">
        <v>16</v>
      </c>
      <c r="B104" s="9" t="s">
        <v>367</v>
      </c>
      <c r="C104" s="9" t="s">
        <v>756</v>
      </c>
      <c r="D104" t="s">
        <v>137</v>
      </c>
      <c r="E104" t="s">
        <v>367</v>
      </c>
      <c r="F104" s="262">
        <f>'BY-DMD'!I99</f>
        <v>88.672727178245694</v>
      </c>
      <c r="G104" s="22">
        <f>F104*(1+(F25+G25)/2*((G8/F8)^(1/(G$4-F$4))-1))^(G$4-F$4)</f>
        <v>87.357882681535756</v>
      </c>
      <c r="H104" s="22">
        <f t="shared" si="310" ref="H104:N104">G104*(1+(G25+H25)/2*((H8/G8)^(1/(H$4-G$4))-1))^(H$4-G$4)</f>
        <v>84.559607459462228</v>
      </c>
      <c r="I104" s="22">
        <f t="shared" si="310"/>
        <v>89.940942914951876</v>
      </c>
      <c r="J104" s="22">
        <f t="shared" si="310"/>
        <v>91.715489099514144</v>
      </c>
      <c r="K104" s="22">
        <f t="shared" si="310"/>
        <v>106.64609154952934</v>
      </c>
      <c r="L104" s="22">
        <f t="shared" si="310"/>
        <v>131.04378429262255</v>
      </c>
      <c r="M104" s="22">
        <f t="shared" si="310"/>
        <v>160.05101345611124</v>
      </c>
      <c r="N104" s="22">
        <f t="shared" si="310"/>
        <v>171.4341209304275</v>
      </c>
      <c r="P104" s="12"/>
    </row>
    <row r="105" spans="2:16" ht="15">
      <c r="B105" s="9"/>
      <c r="C105" s="9"/>
      <c r="F105" s="12"/>
      <c r="H105" s="12"/>
      <c r="J105" s="12"/>
      <c r="K105" s="12"/>
      <c r="L105" s="12"/>
      <c r="M105" s="12"/>
      <c r="N105" s="12"/>
      <c r="P105" s="12"/>
    </row>
    <row r="106" spans="1:52" ht="23.25">
      <c r="A106" s="101" t="s">
        <v>16</v>
      </c>
      <c r="B106" s="105" t="s">
        <v>18</v>
      </c>
      <c r="C106" s="105" t="s">
        <v>19</v>
      </c>
      <c r="D106" s="105" t="s">
        <v>20</v>
      </c>
      <c r="E106" s="105" t="s">
        <v>21</v>
      </c>
      <c r="F106" s="105" t="s">
        <v>22</v>
      </c>
      <c r="G106" s="105" t="s">
        <v>23</v>
      </c>
      <c r="H106" s="105" t="s">
        <v>24</v>
      </c>
      <c r="I106" s="105" t="s">
        <v>594</v>
      </c>
      <c r="J106" s="105" t="s">
        <v>623</v>
      </c>
      <c r="K106" s="105" t="s">
        <v>624</v>
      </c>
      <c r="L106" s="106" t="s">
        <v>25</v>
      </c>
      <c r="M106">
        <v>2017</v>
      </c>
      <c r="N106">
        <f t="shared" si="311" ref="N106:AX106">1+M106</f>
        <v>2018</v>
      </c>
      <c r="O106">
        <f t="shared" si="311"/>
        <v>2019</v>
      </c>
      <c r="P106">
        <f t="shared" si="311"/>
        <v>2020</v>
      </c>
      <c r="Q106">
        <f>1+N106</f>
        <v>2019</v>
      </c>
      <c r="R106">
        <f>1+O106</f>
        <v>2020</v>
      </c>
      <c r="S106">
        <f>1+P106</f>
        <v>2021</v>
      </c>
      <c r="T106">
        <f t="shared" si="311"/>
        <v>2022</v>
      </c>
      <c r="U106">
        <f t="shared" si="311"/>
        <v>2023</v>
      </c>
      <c r="V106">
        <f t="shared" si="311"/>
        <v>2024</v>
      </c>
      <c r="W106">
        <f t="shared" si="311"/>
        <v>2025</v>
      </c>
      <c r="X106">
        <f t="shared" si="311"/>
        <v>2026</v>
      </c>
      <c r="Y106">
        <f t="shared" si="311"/>
        <v>2027</v>
      </c>
      <c r="Z106">
        <f t="shared" si="311"/>
        <v>2028</v>
      </c>
      <c r="AA106">
        <f>1+X106</f>
        <v>2027</v>
      </c>
      <c r="AB106">
        <f>1+Y106</f>
        <v>2028</v>
      </c>
      <c r="AC106">
        <f>1+Z106</f>
        <v>2029</v>
      </c>
      <c r="AD106">
        <f t="shared" si="311"/>
        <v>2030</v>
      </c>
      <c r="AE106">
        <f t="shared" si="311"/>
        <v>2031</v>
      </c>
      <c r="AF106">
        <f t="shared" si="311"/>
        <v>2032</v>
      </c>
      <c r="AG106">
        <f t="shared" si="311"/>
        <v>2033</v>
      </c>
      <c r="AH106">
        <f t="shared" si="311"/>
        <v>2034</v>
      </c>
      <c r="AI106">
        <f t="shared" si="311"/>
        <v>2035</v>
      </c>
      <c r="AJ106">
        <f t="shared" si="311"/>
        <v>2036</v>
      </c>
      <c r="AK106">
        <f t="shared" si="311"/>
        <v>2037</v>
      </c>
      <c r="AL106">
        <f t="shared" si="311"/>
        <v>2038</v>
      </c>
      <c r="AM106">
        <f t="shared" si="311"/>
        <v>2039</v>
      </c>
      <c r="AN106">
        <f t="shared" si="311"/>
        <v>2040</v>
      </c>
      <c r="AO106">
        <f t="shared" si="311"/>
        <v>2041</v>
      </c>
      <c r="AP106">
        <f t="shared" si="311"/>
        <v>2042</v>
      </c>
      <c r="AQ106">
        <f t="shared" si="311"/>
        <v>2043</v>
      </c>
      <c r="AR106">
        <f t="shared" si="311"/>
        <v>2044</v>
      </c>
      <c r="AS106">
        <f t="shared" si="311"/>
        <v>2045</v>
      </c>
      <c r="AT106">
        <f t="shared" si="311"/>
        <v>2046</v>
      </c>
      <c r="AU106">
        <f t="shared" si="311"/>
        <v>2047</v>
      </c>
      <c r="AV106">
        <f t="shared" si="311"/>
        <v>2048</v>
      </c>
      <c r="AW106">
        <f t="shared" si="311"/>
        <v>2049</v>
      </c>
      <c r="AX106">
        <f t="shared" si="311"/>
        <v>2050</v>
      </c>
      <c r="AY106">
        <v>2060</v>
      </c>
      <c r="AZ106">
        <v>2070</v>
      </c>
    </row>
    <row r="107" spans="1:77" s="102" customFormat="1" ht="15">
      <c r="A107" s="101" t="s">
        <v>16</v>
      </c>
      <c r="B107" s="102" t="s">
        <v>376</v>
      </c>
      <c r="C107" s="102">
        <v>1</v>
      </c>
      <c r="D107" s="102">
        <v>2017</v>
      </c>
      <c r="E107" s="102">
        <v>2019</v>
      </c>
      <c r="F107" s="102">
        <v>2020</v>
      </c>
      <c r="G107" s="102">
        <v>2021</v>
      </c>
      <c r="H107" s="102">
        <v>2030</v>
      </c>
      <c r="I107" s="102">
        <v>2040</v>
      </c>
      <c r="J107" s="107">
        <v>2050</v>
      </c>
      <c r="K107" s="102">
        <v>2060</v>
      </c>
      <c r="L107" s="107">
        <v>2070</v>
      </c>
      <c r="M107" s="102">
        <f t="shared" si="312" ref="M107:V108">MATCH(M$106,$D$107:$L$107,$C107)</f>
        <v>1</v>
      </c>
      <c r="N107" s="102">
        <f t="shared" si="312"/>
        <v>1</v>
      </c>
      <c r="O107" s="102">
        <f t="shared" si="312"/>
        <v>2</v>
      </c>
      <c r="P107" s="102">
        <f t="shared" si="312"/>
        <v>3</v>
      </c>
      <c r="Q107" s="102">
        <f t="shared" si="312"/>
        <v>2</v>
      </c>
      <c r="R107" s="102">
        <f t="shared" si="312"/>
        <v>3</v>
      </c>
      <c r="S107" s="102">
        <f t="shared" si="312"/>
        <v>4</v>
      </c>
      <c r="T107" s="102">
        <f t="shared" si="312"/>
        <v>4</v>
      </c>
      <c r="U107" s="102">
        <f t="shared" si="312"/>
        <v>4</v>
      </c>
      <c r="V107" s="102">
        <f t="shared" si="312"/>
        <v>4</v>
      </c>
      <c r="W107" s="102">
        <f t="shared" si="313" ref="W107:AF108">MATCH(W$106,$D$107:$L$107,$C107)</f>
        <v>4</v>
      </c>
      <c r="X107" s="102">
        <f t="shared" si="313"/>
        <v>4</v>
      </c>
      <c r="Y107" s="102">
        <f t="shared" si="313"/>
        <v>4</v>
      </c>
      <c r="Z107" s="102">
        <f t="shared" si="313"/>
        <v>4</v>
      </c>
      <c r="AA107" s="102">
        <f t="shared" si="313"/>
        <v>4</v>
      </c>
      <c r="AB107" s="102">
        <f t="shared" si="313"/>
        <v>4</v>
      </c>
      <c r="AC107" s="102">
        <f t="shared" si="313"/>
        <v>4</v>
      </c>
      <c r="AD107" s="102">
        <f t="shared" si="313"/>
        <v>5</v>
      </c>
      <c r="AE107" s="102">
        <f t="shared" si="313"/>
        <v>5</v>
      </c>
      <c r="AF107" s="102">
        <f t="shared" si="313"/>
        <v>5</v>
      </c>
      <c r="AG107" s="102">
        <f t="shared" si="314" ref="AG107:AP108">MATCH(AG$106,$D$107:$L$107,$C107)</f>
        <v>5</v>
      </c>
      <c r="AH107" s="102">
        <f t="shared" si="314"/>
        <v>5</v>
      </c>
      <c r="AI107" s="102">
        <f t="shared" si="314"/>
        <v>5</v>
      </c>
      <c r="AJ107" s="102">
        <f t="shared" si="314"/>
        <v>5</v>
      </c>
      <c r="AK107" s="102">
        <f t="shared" si="314"/>
        <v>5</v>
      </c>
      <c r="AL107" s="102">
        <f t="shared" si="314"/>
        <v>5</v>
      </c>
      <c r="AM107" s="102">
        <f t="shared" si="314"/>
        <v>5</v>
      </c>
      <c r="AN107" s="102">
        <f t="shared" si="314"/>
        <v>6</v>
      </c>
      <c r="AO107" s="102">
        <f t="shared" si="314"/>
        <v>6</v>
      </c>
      <c r="AP107" s="102">
        <f t="shared" si="314"/>
        <v>6</v>
      </c>
      <c r="AQ107" s="102">
        <f t="shared" si="315" ref="AQ107:AZ108">MATCH(AQ$106,$D$107:$L$107,$C107)</f>
        <v>6</v>
      </c>
      <c r="AR107" s="102">
        <f t="shared" si="315"/>
        <v>6</v>
      </c>
      <c r="AS107" s="102">
        <f t="shared" si="315"/>
        <v>6</v>
      </c>
      <c r="AT107" s="102">
        <f t="shared" si="315"/>
        <v>6</v>
      </c>
      <c r="AU107" s="102">
        <f t="shared" si="315"/>
        <v>6</v>
      </c>
      <c r="AV107" s="102">
        <f t="shared" si="315"/>
        <v>6</v>
      </c>
      <c r="AW107" s="102">
        <f t="shared" si="315"/>
        <v>6</v>
      </c>
      <c r="AX107" s="102">
        <f t="shared" si="315"/>
        <v>7</v>
      </c>
      <c r="AY107" s="102">
        <f t="shared" si="315"/>
        <v>8</v>
      </c>
      <c r="AZ107" s="102">
        <f t="shared" si="315"/>
        <v>9</v>
      </c>
      <c r="BA107"/>
      <c r="BB107"/>
      <c r="BC107"/>
      <c r="BD107"/>
      <c r="BE107"/>
      <c r="BF107"/>
      <c r="BG107"/>
      <c r="BH107"/>
      <c r="BI107"/>
      <c r="BJ107"/>
      <c r="BK107"/>
      <c r="BL107"/>
      <c r="BM107"/>
      <c r="BN107"/>
      <c r="BO107"/>
      <c r="BP107"/>
      <c r="BQ107"/>
      <c r="BR107"/>
      <c r="BS107"/>
      <c r="BT107"/>
      <c r="BU107"/>
      <c r="BV107"/>
      <c r="BW107"/>
      <c r="BX107"/>
      <c r="BY107"/>
    </row>
    <row r="108" spans="1:52" ht="15">
      <c r="A108" s="36" t="s">
        <v>16</v>
      </c>
      <c r="B108" t="s">
        <v>377</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6">
        <f t="shared" si="312"/>
        <v>1</v>
      </c>
      <c r="N108" s="36" t="e">
        <f t="shared" si="312"/>
        <v>#N/A</v>
      </c>
      <c r="O108" s="36">
        <f t="shared" si="312"/>
        <v>2</v>
      </c>
      <c r="P108" s="36">
        <f t="shared" si="312"/>
        <v>3</v>
      </c>
      <c r="Q108" s="36">
        <f t="shared" si="312"/>
        <v>2</v>
      </c>
      <c r="R108" s="36">
        <f t="shared" si="312"/>
        <v>3</v>
      </c>
      <c r="S108" s="36">
        <f t="shared" si="312"/>
        <v>4</v>
      </c>
      <c r="T108" s="36" t="e">
        <f t="shared" si="312"/>
        <v>#N/A</v>
      </c>
      <c r="U108" s="36" t="e">
        <f t="shared" si="312"/>
        <v>#N/A</v>
      </c>
      <c r="V108" s="36" t="e">
        <f t="shared" si="312"/>
        <v>#N/A</v>
      </c>
      <c r="W108" s="36" t="e">
        <f t="shared" si="313"/>
        <v>#N/A</v>
      </c>
      <c r="X108" s="36" t="e">
        <f t="shared" si="313"/>
        <v>#N/A</v>
      </c>
      <c r="Y108" s="36" t="e">
        <f t="shared" si="313"/>
        <v>#N/A</v>
      </c>
      <c r="Z108" s="36" t="e">
        <f t="shared" si="313"/>
        <v>#N/A</v>
      </c>
      <c r="AA108" s="36" t="e">
        <f t="shared" si="313"/>
        <v>#N/A</v>
      </c>
      <c r="AB108" s="36" t="e">
        <f t="shared" si="313"/>
        <v>#N/A</v>
      </c>
      <c r="AC108" s="36" t="e">
        <f t="shared" si="313"/>
        <v>#N/A</v>
      </c>
      <c r="AD108" s="36">
        <f t="shared" si="313"/>
        <v>5</v>
      </c>
      <c r="AE108" s="36" t="e">
        <f t="shared" si="313"/>
        <v>#N/A</v>
      </c>
      <c r="AF108" s="36" t="e">
        <f t="shared" si="313"/>
        <v>#N/A</v>
      </c>
      <c r="AG108" s="36" t="e">
        <f t="shared" si="314"/>
        <v>#N/A</v>
      </c>
      <c r="AH108" s="36" t="e">
        <f t="shared" si="314"/>
        <v>#N/A</v>
      </c>
      <c r="AI108" s="36" t="e">
        <f t="shared" si="314"/>
        <v>#N/A</v>
      </c>
      <c r="AJ108" s="36" t="e">
        <f t="shared" si="314"/>
        <v>#N/A</v>
      </c>
      <c r="AK108" s="36" t="e">
        <f t="shared" si="314"/>
        <v>#N/A</v>
      </c>
      <c r="AL108" s="36" t="e">
        <f t="shared" si="314"/>
        <v>#N/A</v>
      </c>
      <c r="AM108" s="36" t="e">
        <f t="shared" si="314"/>
        <v>#N/A</v>
      </c>
      <c r="AN108" s="36">
        <f t="shared" si="314"/>
        <v>6</v>
      </c>
      <c r="AO108" s="36" t="e">
        <f t="shared" si="314"/>
        <v>#N/A</v>
      </c>
      <c r="AP108" s="36" t="e">
        <f t="shared" si="314"/>
        <v>#N/A</v>
      </c>
      <c r="AQ108" s="36" t="e">
        <f t="shared" si="315"/>
        <v>#N/A</v>
      </c>
      <c r="AR108" s="36" t="e">
        <f t="shared" si="315"/>
        <v>#N/A</v>
      </c>
      <c r="AS108" s="36" t="e">
        <f t="shared" si="315"/>
        <v>#N/A</v>
      </c>
      <c r="AT108" s="36" t="e">
        <f t="shared" si="315"/>
        <v>#N/A</v>
      </c>
      <c r="AU108" s="36" t="e">
        <f t="shared" si="315"/>
        <v>#N/A</v>
      </c>
      <c r="AV108" s="36" t="e">
        <f t="shared" si="315"/>
        <v>#N/A</v>
      </c>
      <c r="AW108" s="36" t="e">
        <f t="shared" si="315"/>
        <v>#N/A</v>
      </c>
      <c r="AX108" s="36">
        <f t="shared" si="315"/>
        <v>7</v>
      </c>
      <c r="AY108" s="36">
        <f t="shared" si="315"/>
        <v>8</v>
      </c>
      <c r="AZ108" s="36">
        <f t="shared" si="315"/>
        <v>9</v>
      </c>
    </row>
    <row r="109" spans="1:52" ht="15">
      <c r="A109" s="36" t="s">
        <v>16</v>
      </c>
      <c r="B109" t="s">
        <v>375</v>
      </c>
      <c r="C109">
        <v>-1</v>
      </c>
      <c r="D109">
        <v>0</v>
      </c>
      <c r="E109">
        <v>1</v>
      </c>
      <c r="F109">
        <v>2</v>
      </c>
      <c r="G109">
        <v>3</v>
      </c>
      <c r="H109">
        <v>4</v>
      </c>
      <c r="I109">
        <v>5</v>
      </c>
      <c r="J109">
        <v>6</v>
      </c>
      <c r="K109">
        <v>7</v>
      </c>
      <c r="L109">
        <v>8</v>
      </c>
      <c r="M109" s="36">
        <f t="shared" si="316" ref="M109:AZ109">MATCH(M$106,$D$108:$L$108,$C109)</f>
        <v>9</v>
      </c>
      <c r="N109" s="36">
        <f t="shared" si="316"/>
        <v>8</v>
      </c>
      <c r="O109" s="36">
        <f t="shared" si="316"/>
        <v>8</v>
      </c>
      <c r="P109" s="36">
        <f t="shared" si="316"/>
        <v>7</v>
      </c>
      <c r="Q109" s="36">
        <f t="shared" si="316"/>
        <v>8</v>
      </c>
      <c r="R109" s="36">
        <f t="shared" si="316"/>
        <v>7</v>
      </c>
      <c r="S109" s="36">
        <f t="shared" si="316"/>
        <v>6</v>
      </c>
      <c r="T109" s="36">
        <f t="shared" si="316"/>
        <v>5</v>
      </c>
      <c r="U109" s="36">
        <f t="shared" si="316"/>
        <v>5</v>
      </c>
      <c r="V109" s="36">
        <f t="shared" si="316"/>
        <v>5</v>
      </c>
      <c r="W109" s="36">
        <f t="shared" si="316"/>
        <v>5</v>
      </c>
      <c r="X109" s="36">
        <f t="shared" si="316"/>
        <v>5</v>
      </c>
      <c r="Y109" s="36">
        <f t="shared" si="316"/>
        <v>5</v>
      </c>
      <c r="Z109" s="36">
        <f t="shared" si="316"/>
        <v>5</v>
      </c>
      <c r="AA109" s="36">
        <f t="shared" si="316"/>
        <v>5</v>
      </c>
      <c r="AB109" s="36">
        <f t="shared" si="316"/>
        <v>5</v>
      </c>
      <c r="AC109" s="36">
        <f t="shared" si="316"/>
        <v>5</v>
      </c>
      <c r="AD109" s="36">
        <f t="shared" si="316"/>
        <v>5</v>
      </c>
      <c r="AE109" s="36">
        <f t="shared" si="316"/>
        <v>4</v>
      </c>
      <c r="AF109" s="36">
        <f t="shared" si="316"/>
        <v>4</v>
      </c>
      <c r="AG109" s="36">
        <f t="shared" si="316"/>
        <v>4</v>
      </c>
      <c r="AH109" s="36">
        <f t="shared" si="316"/>
        <v>4</v>
      </c>
      <c r="AI109" s="36">
        <f t="shared" si="316"/>
        <v>4</v>
      </c>
      <c r="AJ109" s="36">
        <f t="shared" si="316"/>
        <v>4</v>
      </c>
      <c r="AK109" s="36">
        <f t="shared" si="316"/>
        <v>4</v>
      </c>
      <c r="AL109" s="36">
        <f t="shared" si="316"/>
        <v>4</v>
      </c>
      <c r="AM109" s="36">
        <f t="shared" si="316"/>
        <v>4</v>
      </c>
      <c r="AN109" s="36">
        <f t="shared" si="316"/>
        <v>4</v>
      </c>
      <c r="AO109" s="36">
        <f t="shared" si="316"/>
        <v>3</v>
      </c>
      <c r="AP109" s="36">
        <f t="shared" si="316"/>
        <v>3</v>
      </c>
      <c r="AQ109" s="36">
        <f t="shared" si="316"/>
        <v>3</v>
      </c>
      <c r="AR109" s="36">
        <f t="shared" si="316"/>
        <v>3</v>
      </c>
      <c r="AS109" s="36">
        <f t="shared" si="316"/>
        <v>3</v>
      </c>
      <c r="AT109" s="36">
        <f t="shared" si="316"/>
        <v>3</v>
      </c>
      <c r="AU109" s="36">
        <f t="shared" si="316"/>
        <v>3</v>
      </c>
      <c r="AV109" s="36">
        <f t="shared" si="316"/>
        <v>3</v>
      </c>
      <c r="AW109" s="36">
        <f t="shared" si="316"/>
        <v>3</v>
      </c>
      <c r="AX109" s="36">
        <f t="shared" si="316"/>
        <v>3</v>
      </c>
      <c r="AY109" s="36">
        <f t="shared" si="316"/>
        <v>2</v>
      </c>
      <c r="AZ109" s="36">
        <f t="shared" si="316"/>
        <v>1</v>
      </c>
    </row>
    <row r="110" spans="1:77" s="104" customFormat="1" ht="15">
      <c r="A110" s="103" t="s">
        <v>16</v>
      </c>
      <c r="B110" s="104" t="s">
        <v>378</v>
      </c>
      <c r="L110" s="109"/>
      <c r="M110" s="71">
        <f t="shared" si="317" ref="M110:AZ110">IF(ISNA(M107),-1,IF(ISNA(M109),99,IF(ISNA(M108),M107,0)))</f>
        <v>0</v>
      </c>
      <c r="N110" s="71">
        <f t="shared" si="317"/>
        <v>1</v>
      </c>
      <c r="O110" s="71">
        <f t="shared" si="317"/>
        <v>0</v>
      </c>
      <c r="P110" s="71">
        <f t="shared" si="317"/>
        <v>0</v>
      </c>
      <c r="Q110" s="71">
        <f t="shared" si="318" ref="Q110:R110">IF(ISNA(Q107),-1,IF(ISNA(Q109),99,IF(ISNA(Q108),Q107,0)))</f>
        <v>0</v>
      </c>
      <c r="R110" s="71">
        <f t="shared" si="318"/>
        <v>0</v>
      </c>
      <c r="S110" s="71">
        <f t="shared" si="317"/>
        <v>0</v>
      </c>
      <c r="T110" s="71">
        <f t="shared" si="317"/>
        <v>4</v>
      </c>
      <c r="U110" s="71">
        <f t="shared" si="317"/>
        <v>4</v>
      </c>
      <c r="V110" s="71">
        <f t="shared" si="317"/>
        <v>4</v>
      </c>
      <c r="W110" s="71">
        <f t="shared" si="317"/>
        <v>4</v>
      </c>
      <c r="X110" s="71">
        <f t="shared" si="317"/>
        <v>4</v>
      </c>
      <c r="Y110" s="71">
        <f t="shared" si="317"/>
        <v>4</v>
      </c>
      <c r="Z110" s="71">
        <f t="shared" si="317"/>
        <v>4</v>
      </c>
      <c r="AA110" s="71">
        <f t="shared" si="319" ref="AA110:AB110">IF(ISNA(AA107),-1,IF(ISNA(AA109),99,IF(ISNA(AA108),AA107,0)))</f>
        <v>4</v>
      </c>
      <c r="AB110" s="71">
        <f t="shared" si="319"/>
        <v>4</v>
      </c>
      <c r="AC110" s="71">
        <f t="shared" si="317"/>
        <v>4</v>
      </c>
      <c r="AD110" s="71">
        <f t="shared" si="317"/>
        <v>0</v>
      </c>
      <c r="AE110" s="71">
        <f t="shared" si="317"/>
        <v>5</v>
      </c>
      <c r="AF110" s="71">
        <f t="shared" si="317"/>
        <v>5</v>
      </c>
      <c r="AG110" s="71">
        <f t="shared" si="317"/>
        <v>5</v>
      </c>
      <c r="AH110" s="71">
        <f t="shared" si="317"/>
        <v>5</v>
      </c>
      <c r="AI110" s="71">
        <f t="shared" si="317"/>
        <v>5</v>
      </c>
      <c r="AJ110" s="71">
        <f t="shared" si="317"/>
        <v>5</v>
      </c>
      <c r="AK110" s="71">
        <f t="shared" si="317"/>
        <v>5</v>
      </c>
      <c r="AL110" s="71">
        <f t="shared" si="317"/>
        <v>5</v>
      </c>
      <c r="AM110" s="71">
        <f t="shared" si="317"/>
        <v>5</v>
      </c>
      <c r="AN110" s="71">
        <f t="shared" si="317"/>
        <v>0</v>
      </c>
      <c r="AO110" s="71">
        <f t="shared" si="317"/>
        <v>6</v>
      </c>
      <c r="AP110" s="71">
        <f t="shared" si="317"/>
        <v>6</v>
      </c>
      <c r="AQ110" s="71">
        <f t="shared" si="317"/>
        <v>6</v>
      </c>
      <c r="AR110" s="71">
        <f t="shared" si="317"/>
        <v>6</v>
      </c>
      <c r="AS110" s="71">
        <f t="shared" si="317"/>
        <v>6</v>
      </c>
      <c r="AT110" s="71">
        <f t="shared" si="317"/>
        <v>6</v>
      </c>
      <c r="AU110" s="71">
        <f t="shared" si="317"/>
        <v>6</v>
      </c>
      <c r="AV110" s="71">
        <f t="shared" si="317"/>
        <v>6</v>
      </c>
      <c r="AW110" s="71">
        <f t="shared" si="317"/>
        <v>6</v>
      </c>
      <c r="AX110" s="71">
        <f t="shared" si="317"/>
        <v>0</v>
      </c>
      <c r="AY110" s="71">
        <f t="shared" si="317"/>
        <v>0</v>
      </c>
      <c r="AZ110" s="71">
        <f t="shared" si="317"/>
        <v>0</v>
      </c>
      <c r="BA110"/>
      <c r="BB110"/>
      <c r="BC110"/>
      <c r="BD110"/>
      <c r="BE110"/>
      <c r="BF110"/>
      <c r="BG110"/>
      <c r="BH110"/>
      <c r="BI110"/>
      <c r="BJ110"/>
      <c r="BK110"/>
      <c r="BL110"/>
      <c r="BM110"/>
      <c r="BN110"/>
      <c r="BO110"/>
      <c r="BP110"/>
      <c r="BQ110"/>
      <c r="BR110"/>
      <c r="BS110"/>
      <c r="BT110"/>
      <c r="BU110"/>
      <c r="BV110"/>
      <c r="BW110"/>
      <c r="BX110"/>
      <c r="BY110"/>
    </row>
    <row r="111" spans="1:52" ht="15">
      <c r="A111" s="103" t="s">
        <v>16</v>
      </c>
      <c r="B111" s="20" t="str">
        <f t="shared" si="320" ref="B111:B123">IF(A111="*","","COM_PROJ")</f>
        <v/>
      </c>
      <c r="C111" s="21" t="str">
        <f t="shared" si="321" ref="C111:C123">IF($A111="*","","-")</f>
        <v/>
      </c>
      <c r="D111" s="48" t="s">
        <v>139</v>
      </c>
      <c r="E111" s="21" t="str">
        <f t="shared" si="322" ref="E111:K123">IF($A111="*","","-")</f>
        <v/>
      </c>
      <c r="H111" s="21" t="str">
        <f t="shared" si="322"/>
        <v/>
      </c>
      <c r="J111" s="21" t="str">
        <f t="shared" si="322"/>
        <v/>
      </c>
      <c r="K111" s="21" t="str">
        <f t="shared" si="322"/>
        <v/>
      </c>
      <c r="L111" s="110" t="str">
        <f t="shared" si="323" ref="L111:L123">IF(A111="*","",0)</f>
        <v/>
      </c>
      <c r="M111" s="9" cm="1">
        <f t="array" ref="M111">IF(M$110=-1,N111,IF(M$110=99,#REF!,IF(M$110=0,INDEX($F92:$N92,0,M$108),(INDEX($F92:$N92,0,M$110+1)-INDEX($F92:$N92,0,M$110))/(INDEX($F$4:$N$4,0,M$110+1)-INDEX($F$4:$N$4,0,M$110))+#REF!)))</f>
        <v>47.584820585749902</v>
      </c>
      <c r="N111" s="9" cm="1">
        <f t="array" ref="N111">IF(N$110=-1,O111,IF(N$110=99,M111,IF(N$110=0,INDEX($F92:$N92,0,N$108),(INDEX($F92:$N92,0,N$110+1)-INDEX($F92:$N92,0,N$110))/(INDEX($F$4:$N$4,0,N$110+1)-INDEX($F$4:$N$4,0,N$110))+M111)))</f>
        <v>47.880977189748378</v>
      </c>
      <c r="O111" s="9" cm="1">
        <f t="array" ref="O111">IF(O$110=-1,P111,IF(O$110=99,N111,IF(O$110=0,INDEX($F92:$N92,0,O$108),(INDEX($F92:$N92,0,O$110+1)-INDEX($F92:$N92,0,O$110))/(INDEX($F$4:$N$4,0,O$110+1)-INDEX($F$4:$N$4,0,O$110))+N111)))</f>
        <v>48.177133793746854</v>
      </c>
      <c r="P111" s="9" cm="1">
        <f t="array" ref="P111">IF(P$110=-1,S111,IF(P$110=99,O111,IF(P$110=0,INDEX($F92:$N92,0,P$108),(INDEX($F92:$N92,0,P$110+1)-INDEX($F92:$N92,0,P$110))/(INDEX($F$4:$N$4,0,P$110+1)-INDEX($F$4:$N$4,0,P$110))+O111)))</f>
        <v>46.38666602024783</v>
      </c>
      <c r="Q111" s="9" cm="1">
        <f t="array" ref="Q111">IF(Q$110=-1,R111,IF(Q$110=99,N111,IF(Q$110=0,INDEX($F92:$N92,0,Q$108),(INDEX($F92:$N92,0,Q$110+1)-INDEX($F92:$N92,0,Q$110))/(INDEX($F$4:$N$4,0,Q$110+1)-INDEX($F$4:$N$4,0,Q$110))+N111)))</f>
        <v>48.177133793746854</v>
      </c>
      <c r="R111" s="9" cm="1">
        <f t="array" ref="R111">IF(R$110=-1,S111,IF(R$110=99,O111,IF(R$110=0,INDEX($F92:$N92,0,R$108),(INDEX($F92:$N92,0,R$110+1)-INDEX($F92:$N92,0,R$110))/(INDEX($F$4:$N$4,0,R$110+1)-INDEX($F$4:$N$4,0,R$110))+O111)))</f>
        <v>46.38666602024783</v>
      </c>
      <c r="S111" s="9" cm="1">
        <f t="array" ref="S111">IF(S$110=-1,T111,IF(S$110=99,P111,IF(S$110=0,INDEX($F92:$N92,0,S$108),(INDEX($F92:$N92,0,S$110+1)-INDEX($F92:$N92,0,S$110))/(INDEX($F$4:$N$4,0,S$110+1)-INDEX($F$4:$N$4,0,S$110))+P111)))</f>
        <v>48.635845109792321</v>
      </c>
      <c r="T111" s="9" cm="1">
        <f t="array" ref="T111">IF(T$110=-1,U111,IF(T$110=99,S111,IF(T$110=0,INDEX($F92:$N92,0,T$108),(INDEX($F92:$N92,0,T$110+1)-INDEX($F92:$N92,0,T$110))/(INDEX($F$4:$N$4,0,T$110+1)-INDEX($F$4:$N$4,0,T$110))+S111)))</f>
        <v>49.92088043405834</v>
      </c>
      <c r="U111" s="9" cm="1">
        <f t="array" ref="U111">IF(U$110=-1,V111,IF(U$110=99,T111,IF(U$110=0,INDEX($F92:$N92,0,U$108),(INDEX($F92:$N92,0,U$110+1)-INDEX($F92:$N92,0,U$110))/(INDEX($F$4:$N$4,0,U$110+1)-INDEX($F$4:$N$4,0,U$110))+T111)))</f>
        <v>51.205915758324359</v>
      </c>
      <c r="V111" s="9" cm="1">
        <f t="array" ref="V111">IF(V$110=-1,W111,IF(V$110=99,U111,IF(V$110=0,INDEX($F92:$N92,0,V$108),(INDEX($F92:$N92,0,V$110+1)-INDEX($F92:$N92,0,V$110))/(INDEX($F$4:$N$4,0,V$110+1)-INDEX($F$4:$N$4,0,V$110))+U111)))</f>
        <v>52.490951082590378</v>
      </c>
      <c r="W111" s="9" cm="1">
        <f t="array" ref="W111">IF(W$110=-1,X111,IF(W$110=99,V111,IF(W$110=0,INDEX($F92:$N92,0,W$108),(INDEX($F92:$N92,0,W$110+1)-INDEX($F92:$N92,0,W$110))/(INDEX($F$4:$N$4,0,W$110+1)-INDEX($F$4:$N$4,0,W$110))+V111)))</f>
        <v>53.775986406856397</v>
      </c>
      <c r="X111" s="9" cm="1">
        <f t="array" ref="X111">IF(X$110=-1,Y111,IF(X$110=99,W111,IF(X$110=0,INDEX($F92:$N92,0,X$108),(INDEX($F92:$N92,0,X$110+1)-INDEX($F92:$N92,0,X$110))/(INDEX($F$4:$N$4,0,X$110+1)-INDEX($F$4:$N$4,0,X$110))+W111)))</f>
        <v>55.061021731122416</v>
      </c>
      <c r="Y111" s="9" cm="1">
        <f t="array" ref="Y111">IF(Y$110=-1,Z111,IF(Y$110=99,X111,IF(Y$110=0,INDEX($F92:$N92,0,Y$108),(INDEX($F92:$N92,0,Y$110+1)-INDEX($F92:$N92,0,Y$110))/(INDEX($F$4:$N$4,0,Y$110+1)-INDEX($F$4:$N$4,0,Y$110))+X111)))</f>
        <v>56.346057055388435</v>
      </c>
      <c r="Z111" s="9" cm="1">
        <f t="array" ref="Z111">IF(Z$110=-1,AC111,IF(Z$110=99,Y111,IF(Z$110=0,INDEX($F92:$N92,0,Z$108),(INDEX($F92:$N92,0,Z$110+1)-INDEX($F92:$N92,0,Z$110))/(INDEX($F$4:$N$4,0,Z$110+1)-INDEX($F$4:$N$4,0,Z$110))+Y111)))</f>
        <v>57.631092379654454</v>
      </c>
      <c r="AA111" s="9" cm="1">
        <f t="array" ref="AA111">IF(AA$110=-1,AB111,IF(AA$110=99,X111,IF(AA$110=0,INDEX($F92:$N92,0,AA$108),(INDEX($F92:$N92,0,AA$110+1)-INDEX($F92:$N92,0,AA$110))/(INDEX($F$4:$N$4,0,AA$110+1)-INDEX($F$4:$N$4,0,AA$110))+X111)))</f>
        <v>56.346057055388435</v>
      </c>
      <c r="AB111" s="9" cm="1">
        <f t="array" ref="AB111">IF(AB$110=-1,AC111,IF(AB$110=99,Y111,IF(AB$110=0,INDEX($F92:$N92,0,AB$108),(INDEX($F92:$N92,0,AB$110+1)-INDEX($F92:$N92,0,AB$110))/(INDEX($F$4:$N$4,0,AB$110+1)-INDEX($F$4:$N$4,0,AB$110))+Y111)))</f>
        <v>57.631092379654454</v>
      </c>
      <c r="AC111" s="9" cm="1">
        <f t="array" ref="AC111">IF(AC$110=-1,AD111,IF(AC$110=99,Z111,IF(AC$110=0,INDEX($F92:$N92,0,AC$108),(INDEX($F92:$N92,0,AC$110+1)-INDEX($F92:$N92,0,AC$110))/(INDEX($F$4:$N$4,0,AC$110+1)-INDEX($F$4:$N$4,0,AC$110))+Z111)))</f>
        <v>58.916127703920473</v>
      </c>
      <c r="AD111" s="9" cm="1">
        <f t="array" ref="AD111">IF(AD$110=-1,AE111,IF(AD$110=99,AC111,IF(AD$110=0,INDEX($F92:$N92,0,AD$108),(INDEX($F92:$N92,0,AD$110+1)-INDEX($F92:$N92,0,AD$110))/(INDEX($F$4:$N$4,0,AD$110+1)-INDEX($F$4:$N$4,0,AD$110))+AC111)))</f>
        <v>60.201163028186507</v>
      </c>
      <c r="AE111" s="9" cm="1">
        <f t="array" ref="AE111">IF(AE$110=-1,AF111,IF(AE$110=99,AD111,IF(AE$110=0,INDEX($F92:$N92,0,AE$108),(INDEX($F92:$N92,0,AE$110+1)-INDEX($F92:$N92,0,AE$110))/(INDEX($F$4:$N$4,0,AE$110+1)-INDEX($F$4:$N$4,0,AE$110))+AD111)))</f>
        <v>62.058908523285169</v>
      </c>
      <c r="AF111" s="9" cm="1">
        <f t="array" ref="AF111">IF(AF$110=-1,AG111,IF(AF$110=99,AE111,IF(AF$110=0,INDEX($F92:$N92,0,AF$108),(INDEX($F92:$N92,0,AF$110+1)-INDEX($F92:$N92,0,AF$110))/(INDEX($F$4:$N$4,0,AF$110+1)-INDEX($F$4:$N$4,0,AF$110))+AE111)))</f>
        <v>63.916654018383831</v>
      </c>
      <c r="AG111" s="9" cm="1">
        <f t="array" ref="AG111">IF(AG$110=-1,AH111,IF(AG$110=99,AF111,IF(AG$110=0,INDEX($F92:$N92,0,AG$108),(INDEX($F92:$N92,0,AG$110+1)-INDEX($F92:$N92,0,AG$110))/(INDEX($F$4:$N$4,0,AG$110+1)-INDEX($F$4:$N$4,0,AG$110))+AF111)))</f>
        <v>65.774399513482493</v>
      </c>
      <c r="AH111" s="9" cm="1">
        <f t="array" ref="AH111">IF(AH$110=-1,AI111,IF(AH$110=99,AG111,IF(AH$110=0,INDEX($F92:$N92,0,AH$108),(INDEX($F92:$N92,0,AH$110+1)-INDEX($F92:$N92,0,AH$110))/(INDEX($F$4:$N$4,0,AH$110+1)-INDEX($F$4:$N$4,0,AH$110))+AG111)))</f>
        <v>67.632145008581148</v>
      </c>
      <c r="AI111" s="9" cm="1">
        <f t="array" ref="AI111">IF(AI$110=-1,AJ111,IF(AI$110=99,AH111,IF(AI$110=0,INDEX($F92:$N92,0,AI$108),(INDEX($F92:$N92,0,AI$110+1)-INDEX($F92:$N92,0,AI$110))/(INDEX($F$4:$N$4,0,AI$110+1)-INDEX($F$4:$N$4,0,AI$110))+AH111)))</f>
        <v>69.489890503679803</v>
      </c>
      <c r="AJ111" s="9" cm="1">
        <f t="array" ref="AJ111">IF(AJ$110=-1,AK111,IF(AJ$110=99,AI111,IF(AJ$110=0,INDEX($F92:$N92,0,AJ$108),(INDEX($F92:$N92,0,AJ$110+1)-INDEX($F92:$N92,0,AJ$110))/(INDEX($F$4:$N$4,0,AJ$110+1)-INDEX($F$4:$N$4,0,AJ$110))+AI111)))</f>
        <v>71.347635998778458</v>
      </c>
      <c r="AK111" s="9" cm="1">
        <f t="array" ref="AK111">IF(AK$110=-1,AL111,IF(AK$110=99,AJ111,IF(AK$110=0,INDEX($F92:$N92,0,AK$108),(INDEX($F92:$N92,0,AK$110+1)-INDEX($F92:$N92,0,AK$110))/(INDEX($F$4:$N$4,0,AK$110+1)-INDEX($F$4:$N$4,0,AK$110))+AJ111)))</f>
        <v>73.205381493877113</v>
      </c>
      <c r="AL111" s="9" cm="1">
        <f t="array" ref="AL111">IF(AL$110=-1,AM111,IF(AL$110=99,AK111,IF(AL$110=0,INDEX($F92:$N92,0,AL$108),(INDEX($F92:$N92,0,AL$110+1)-INDEX($F92:$N92,0,AL$110))/(INDEX($F$4:$N$4,0,AL$110+1)-INDEX($F$4:$N$4,0,AL$110))+AK111)))</f>
        <v>75.063126988975768</v>
      </c>
      <c r="AM111" s="9" cm="1">
        <f t="array" ref="AM111">IF(AM$110=-1,AN111,IF(AM$110=99,AL111,IF(AM$110=0,INDEX($F92:$N92,0,AM$108),(INDEX($F92:$N92,0,AM$110+1)-INDEX($F92:$N92,0,AM$110))/(INDEX($F$4:$N$4,0,AM$110+1)-INDEX($F$4:$N$4,0,AM$110))+AL111)))</f>
        <v>76.920872484074422</v>
      </c>
      <c r="AN111" s="9" cm="1">
        <f t="array" ref="AN111">IF(AN$110=-1,AO111,IF(AN$110=99,AM111,IF(AN$110=0,INDEX($F92:$N92,0,AN$108),(INDEX($F92:$N92,0,AN$110+1)-INDEX($F92:$N92,0,AN$110))/(INDEX($F$4:$N$4,0,AN$110+1)-INDEX($F$4:$N$4,0,AN$110))+AM111)))</f>
        <v>78.778617979173106</v>
      </c>
      <c r="AO111" s="9" cm="1">
        <f t="array" ref="AO111">IF(AO$110=-1,AP111,IF(AO$110=99,AN111,IF(AO$110=0,INDEX($F92:$N92,0,AO$108),(INDEX($F92:$N92,0,AO$110+1)-INDEX($F92:$N92,0,AO$110))/(INDEX($F$4:$N$4,0,AO$110+1)-INDEX($F$4:$N$4,0,AO$110))+AN111)))</f>
        <v>80.91544435909185</v>
      </c>
      <c r="AP111" s="9" cm="1">
        <f t="array" ref="AP111">IF(AP$110=-1,AQ111,IF(AP$110=99,AO111,IF(AP$110=0,INDEX($F92:$N92,0,AP$108),(INDEX($F92:$N92,0,AP$110+1)-INDEX($F92:$N92,0,AP$110))/(INDEX($F$4:$N$4,0,AP$110+1)-INDEX($F$4:$N$4,0,AP$110))+AO111)))</f>
        <v>83.052270739010595</v>
      </c>
      <c r="AQ111" s="9" cm="1">
        <f t="array" ref="AQ111">IF(AQ$110=-1,AR111,IF(AQ$110=99,AP111,IF(AQ$110=0,INDEX($F92:$N92,0,AQ$108),(INDEX($F92:$N92,0,AQ$110+1)-INDEX($F92:$N92,0,AQ$110))/(INDEX($F$4:$N$4,0,AQ$110+1)-INDEX($F$4:$N$4,0,AQ$110))+AP111)))</f>
        <v>85.18909711892934</v>
      </c>
      <c r="AR111" s="9" cm="1">
        <f t="array" ref="AR111">IF(AR$110=-1,AS111,IF(AR$110=99,AQ111,IF(AR$110=0,INDEX($F92:$N92,0,AR$108),(INDEX($F92:$N92,0,AR$110+1)-INDEX($F92:$N92,0,AR$110))/(INDEX($F$4:$N$4,0,AR$110+1)-INDEX($F$4:$N$4,0,AR$110))+AQ111)))</f>
        <v>87.325923498848084</v>
      </c>
      <c r="AS111" s="9" cm="1">
        <f t="array" ref="AS111">IF(AS$110=-1,AT111,IF(AS$110=99,AR111,IF(AS$110=0,INDEX($F92:$N92,0,AS$108),(INDEX($F92:$N92,0,AS$110+1)-INDEX($F92:$N92,0,AS$110))/(INDEX($F$4:$N$4,0,AS$110+1)-INDEX($F$4:$N$4,0,AS$110))+AR111)))</f>
        <v>89.462749878766829</v>
      </c>
      <c r="AT111" s="9" cm="1">
        <f t="array" ref="AT111">IF(AT$110=-1,AU111,IF(AT$110=99,AS111,IF(AT$110=0,INDEX($F92:$N92,0,AT$108),(INDEX($F92:$N92,0,AT$110+1)-INDEX($F92:$N92,0,AT$110))/(INDEX($F$4:$N$4,0,AT$110+1)-INDEX($F$4:$N$4,0,AT$110))+AS111)))</f>
        <v>91.599576258685573</v>
      </c>
      <c r="AU111" s="9" cm="1">
        <f t="array" ref="AU111">IF(AU$110=-1,AV111,IF(AU$110=99,AT111,IF(AU$110=0,INDEX($F92:$N92,0,AU$108),(INDEX($F92:$N92,0,AU$110+1)-INDEX($F92:$N92,0,AU$110))/(INDEX($F$4:$N$4,0,AU$110+1)-INDEX($F$4:$N$4,0,AU$110))+AT111)))</f>
        <v>93.736402638604318</v>
      </c>
      <c r="AV111" s="9" cm="1">
        <f t="array" ref="AV111">IF(AV$110=-1,AW111,IF(AV$110=99,AU111,IF(AV$110=0,INDEX($F92:$N92,0,AV$108),(INDEX($F92:$N92,0,AV$110+1)-INDEX($F92:$N92,0,AV$110))/(INDEX($F$4:$N$4,0,AV$110+1)-INDEX($F$4:$N$4,0,AV$110))+AU111)))</f>
        <v>95.873229018523062</v>
      </c>
      <c r="AW111" s="9" cm="1">
        <f t="array" ref="AW111">IF(AW$110=-1,AX111,IF(AW$110=99,AV111,IF(AW$110=0,INDEX($F92:$N92,0,AW$108),(INDEX($F92:$N92,0,AW$110+1)-INDEX($F92:$N92,0,AW$110))/(INDEX($F$4:$N$4,0,AW$110+1)-INDEX($F$4:$N$4,0,AW$110))+AV111)))</f>
        <v>98.010055398441807</v>
      </c>
      <c r="AX111" s="9" cm="1">
        <f t="array" ref="AX111">IF(AX$110=-1,AY111,IF(AX$110=99,AW111,IF(AX$110=0,INDEX($F92:$N92,0,AX$108),(INDEX($F92:$N92,0,AX$110+1)-INDEX($F92:$N92,0,AX$110))/(INDEX($F$4:$N$4,0,AX$110+1)-INDEX($F$4:$N$4,0,AX$110))+AW111)))</f>
        <v>100.14688177836048</v>
      </c>
      <c r="AY111" s="9" cm="1">
        <f t="array" ref="AY111">IF(AY$110=-1,AZ111,IF(AY$110=99,AX111,IF(AY$110=0,INDEX($F92:$N92,0,AY$108),(INDEX($F92:$N92,0,AY$110+1)-INDEX($F92:$N92,0,AY$110))/(INDEX($F$4:$N$4,0,AY$110+1)-INDEX($F$4:$N$4,0,AY$110))+AX111)))</f>
        <v>121.54170876456928</v>
      </c>
      <c r="AZ111" s="9" cm="1">
        <f t="array" ref="AZ111">IF(AZ$110=-1,BA111,IF(AZ$110=99,AY111,IF(AZ$110=0,INDEX($F92:$N92,0,AZ$108),(INDEX($F92:$N92,0,AZ$110+1)-INDEX($F92:$N92,0,AZ$110))/(INDEX($F$4:$N$4,0,AZ$110+1)-INDEX($F$4:$N$4,0,AZ$110))+AY111)))</f>
        <v>130.56772345428803</v>
      </c>
    </row>
    <row r="112" spans="1:52" ht="15">
      <c r="A112" s="103" t="s">
        <v>16</v>
      </c>
      <c r="B112" s="20" t="str">
        <f t="shared" si="320"/>
        <v/>
      </c>
      <c r="C112" s="21" t="str">
        <f t="shared" si="321"/>
        <v/>
      </c>
      <c r="D112" s="48" t="s">
        <v>396</v>
      </c>
      <c r="E112" s="21" t="str">
        <f t="shared" si="322"/>
        <v/>
      </c>
      <c r="H112" s="21" t="str">
        <f t="shared" si="322"/>
        <v/>
      </c>
      <c r="J112" s="21" t="str">
        <f t="shared" si="322"/>
        <v/>
      </c>
      <c r="K112" s="21" t="str">
        <f t="shared" si="322"/>
        <v/>
      </c>
      <c r="L112" s="110" t="str">
        <f t="shared" si="323"/>
        <v/>
      </c>
      <c r="M112" s="9" cm="1">
        <f t="array" ref="M112">IF(M$110=-1,N112,IF(M$110=99,#REF!,IF(M$110=0,INDEX($F93:$N93,0,M$108),(INDEX($F93:$N93,0,M$110+1)-INDEX($F93:$N93,0,M$110))/(INDEX($F$4:$N$4,0,M$110+1)-INDEX($F$4:$N$4,0,M$110))+#REF!)))</f>
        <v>3.6514783707452798</v>
      </c>
      <c r="N112" s="9" cm="1">
        <f t="array" ref="N112">IF(N$110=-1,O112,IF(N$110=99,M112,IF(N$110=0,INDEX($F93:$N93,0,N$108),(INDEX($F93:$N93,0,N$110+1)-INDEX($F93:$N93,0,N$110))/(INDEX($F$4:$N$4,0,N$110+1)-INDEX($F$4:$N$4,0,N$110))+M112)))</f>
        <v>3.9360166491438862</v>
      </c>
      <c r="O112" s="9" cm="1">
        <f t="array" ref="O112">IF(O$110=-1,P112,IF(O$110=99,N112,IF(O$110=0,INDEX($F93:$N93,0,O$108),(INDEX($F93:$N93,0,O$110+1)-INDEX($F93:$N93,0,O$110))/(INDEX($F$4:$N$4,0,O$110+1)-INDEX($F$4:$N$4,0,O$110))+N112)))</f>
        <v>4.2205549275424925</v>
      </c>
      <c r="P112" s="9" cm="1">
        <f t="array" ref="P112">IF(P$110=-1,S112,IF(P$110=99,O112,IF(P$110=0,INDEX($F93:$N93,0,P$108),(INDEX($F93:$N93,0,P$110+1)-INDEX($F93:$N93,0,P$110))/(INDEX($F$4:$N$4,0,P$110+1)-INDEX($F$4:$N$4,0,P$110))+O112)))</f>
        <v>4.0637011052209129</v>
      </c>
      <c r="Q112" s="9" cm="1">
        <f t="array" ref="Q112">IF(Q$110=-1,R112,IF(Q$110=99,N112,IF(Q$110=0,INDEX($F93:$N93,0,Q$108),(INDEX($F93:$N93,0,Q$110+1)-INDEX($F93:$N93,0,Q$110))/(INDEX($F$4:$N$4,0,Q$110+1)-INDEX($F$4:$N$4,0,Q$110))+N112)))</f>
        <v>4.2205549275424925</v>
      </c>
      <c r="R112" s="9" cm="1">
        <f t="array" ref="R112">IF(R$110=-1,S112,IF(R$110=99,O112,IF(R$110=0,INDEX($F93:$N93,0,R$108),(INDEX($F93:$N93,0,R$110+1)-INDEX($F93:$N93,0,R$110))/(INDEX($F$4:$N$4,0,R$110+1)-INDEX($F$4:$N$4,0,R$110))+O112)))</f>
        <v>4.0637011052209129</v>
      </c>
      <c r="S112" s="9" cm="1">
        <f t="array" ref="S112">IF(S$110=-1,T112,IF(S$110=99,P112,IF(S$110=0,INDEX($F93:$N93,0,S$108),(INDEX($F93:$N93,0,S$110+1)-INDEX($F93:$N93,0,S$110))/(INDEX($F$4:$N$4,0,S$110+1)-INDEX($F$4:$N$4,0,S$110))+P112)))</f>
        <v>4.2607403049778449</v>
      </c>
      <c r="T112" s="9" cm="1">
        <f t="array" ref="T112">IF(T$110=-1,U112,IF(T$110=99,S112,IF(T$110=0,INDEX($F93:$N93,0,T$108),(INDEX($F93:$N93,0,T$110+1)-INDEX($F93:$N93,0,T$110))/(INDEX($F$4:$N$4,0,T$110+1)-INDEX($F$4:$N$4,0,T$110))+S112)))</f>
        <v>4.3733157477826445</v>
      </c>
      <c r="U112" s="9" cm="1">
        <f t="array" ref="U112">IF(U$110=-1,V112,IF(U$110=99,T112,IF(U$110=0,INDEX($F93:$N93,0,U$108),(INDEX($F93:$N93,0,U$110+1)-INDEX($F93:$N93,0,U$110))/(INDEX($F$4:$N$4,0,U$110+1)-INDEX($F$4:$N$4,0,U$110))+T112)))</f>
        <v>4.4858911905874441</v>
      </c>
      <c r="V112" s="9" cm="1">
        <f t="array" ref="V112">IF(V$110=-1,W112,IF(V$110=99,U112,IF(V$110=0,INDEX($F93:$N93,0,V$108),(INDEX($F93:$N93,0,V$110+1)-INDEX($F93:$N93,0,V$110))/(INDEX($F$4:$N$4,0,V$110+1)-INDEX($F$4:$N$4,0,V$110))+U112)))</f>
        <v>4.5984666333922437</v>
      </c>
      <c r="W112" s="9" cm="1">
        <f t="array" ref="W112">IF(W$110=-1,X112,IF(W$110=99,V112,IF(W$110=0,INDEX($F93:$N93,0,W$108),(INDEX($F93:$N93,0,W$110+1)-INDEX($F93:$N93,0,W$110))/(INDEX($F$4:$N$4,0,W$110+1)-INDEX($F$4:$N$4,0,W$110))+V112)))</f>
        <v>4.7110420761970433</v>
      </c>
      <c r="X112" s="9" cm="1">
        <f t="array" ref="X112">IF(X$110=-1,Y112,IF(X$110=99,W112,IF(X$110=0,INDEX($F93:$N93,0,X$108),(INDEX($F93:$N93,0,X$110+1)-INDEX($F93:$N93,0,X$110))/(INDEX($F$4:$N$4,0,X$110+1)-INDEX($F$4:$N$4,0,X$110))+W112)))</f>
        <v>4.8236175190018429</v>
      </c>
      <c r="Y112" s="9" cm="1">
        <f t="array" ref="Y112">IF(Y$110=-1,Z112,IF(Y$110=99,X112,IF(Y$110=0,INDEX($F93:$N93,0,Y$108),(INDEX($F93:$N93,0,Y$110+1)-INDEX($F93:$N93,0,Y$110))/(INDEX($F$4:$N$4,0,Y$110+1)-INDEX($F$4:$N$4,0,Y$110))+X112)))</f>
        <v>4.9361929618066425</v>
      </c>
      <c r="Z112" s="9" cm="1">
        <f t="array" ref="Z112">IF(Z$110=-1,AC112,IF(Z$110=99,Y112,IF(Z$110=0,INDEX($F93:$N93,0,Z$108),(INDEX($F93:$N93,0,Z$110+1)-INDEX($F93:$N93,0,Z$110))/(INDEX($F$4:$N$4,0,Z$110+1)-INDEX($F$4:$N$4,0,Z$110))+Y112)))</f>
        <v>5.0487684046114421</v>
      </c>
      <c r="AA112" s="9" cm="1">
        <f t="array" ref="AA112">IF(AA$110=-1,AB112,IF(AA$110=99,X112,IF(AA$110=0,INDEX($F93:$N93,0,AA$108),(INDEX($F93:$N93,0,AA$110+1)-INDEX($F93:$N93,0,AA$110))/(INDEX($F$4:$N$4,0,AA$110+1)-INDEX($F$4:$N$4,0,AA$110))+X112)))</f>
        <v>4.9361929618066425</v>
      </c>
      <c r="AB112" s="9" cm="1">
        <f t="array" ref="AB112">IF(AB$110=-1,AC112,IF(AB$110=99,Y112,IF(AB$110=0,INDEX($F93:$N93,0,AB$108),(INDEX($F93:$N93,0,AB$110+1)-INDEX($F93:$N93,0,AB$110))/(INDEX($F$4:$N$4,0,AB$110+1)-INDEX($F$4:$N$4,0,AB$110))+Y112)))</f>
        <v>5.0487684046114421</v>
      </c>
      <c r="AC112" s="9" cm="1">
        <f t="array" ref="AC112">IF(AC$110=-1,AD112,IF(AC$110=99,Z112,IF(AC$110=0,INDEX($F93:$N93,0,AC$108),(INDEX($F93:$N93,0,AC$110+1)-INDEX($F93:$N93,0,AC$110))/(INDEX($F$4:$N$4,0,AC$110+1)-INDEX($F$4:$N$4,0,AC$110))+Z112)))</f>
        <v>5.1613438474162416</v>
      </c>
      <c r="AD112" s="9" cm="1">
        <f t="array" ref="AD112">IF(AD$110=-1,AE112,IF(AD$110=99,AC112,IF(AD$110=0,INDEX($F93:$N93,0,AD$108),(INDEX($F93:$N93,0,AD$110+1)-INDEX($F93:$N93,0,AD$110))/(INDEX($F$4:$N$4,0,AD$110+1)-INDEX($F$4:$N$4,0,AD$110))+AC112)))</f>
        <v>5.2739192902210403</v>
      </c>
      <c r="AE112" s="9" cm="1">
        <f t="array" ref="AE112">IF(AE$110=-1,AF112,IF(AE$110=99,AD112,IF(AE$110=0,INDEX($F93:$N93,0,AE$108),(INDEX($F93:$N93,0,AE$110+1)-INDEX($F93:$N93,0,AE$110))/(INDEX($F$4:$N$4,0,AE$110+1)-INDEX($F$4:$N$4,0,AE$110))+AD112)))</f>
        <v>5.4366669733236872</v>
      </c>
      <c r="AF112" s="9" cm="1">
        <f t="array" ref="AF112">IF(AF$110=-1,AG112,IF(AF$110=99,AE112,IF(AF$110=0,INDEX($F93:$N93,0,AF$108),(INDEX($F93:$N93,0,AF$110+1)-INDEX($F93:$N93,0,AF$110))/(INDEX($F$4:$N$4,0,AF$110+1)-INDEX($F$4:$N$4,0,AF$110))+AE112)))</f>
        <v>5.5994146564263341</v>
      </c>
      <c r="AG112" s="9" cm="1">
        <f t="array" ref="AG112">IF(AG$110=-1,AH112,IF(AG$110=99,AF112,IF(AG$110=0,INDEX($F93:$N93,0,AG$108),(INDEX($F93:$N93,0,AG$110+1)-INDEX($F93:$N93,0,AG$110))/(INDEX($F$4:$N$4,0,AG$110+1)-INDEX($F$4:$N$4,0,AG$110))+AF112)))</f>
        <v>5.7621623395289809</v>
      </c>
      <c r="AH112" s="9" cm="1">
        <f t="array" ref="AH112">IF(AH$110=-1,AI112,IF(AH$110=99,AG112,IF(AH$110=0,INDEX($F93:$N93,0,AH$108),(INDEX($F93:$N93,0,AH$110+1)-INDEX($F93:$N93,0,AH$110))/(INDEX($F$4:$N$4,0,AH$110+1)-INDEX($F$4:$N$4,0,AH$110))+AG112)))</f>
        <v>5.9249100226316278</v>
      </c>
      <c r="AI112" s="9" cm="1">
        <f t="array" ref="AI112">IF(AI$110=-1,AJ112,IF(AI$110=99,AH112,IF(AI$110=0,INDEX($F93:$N93,0,AI$108),(INDEX($F93:$N93,0,AI$110+1)-INDEX($F93:$N93,0,AI$110))/(INDEX($F$4:$N$4,0,AI$110+1)-INDEX($F$4:$N$4,0,AI$110))+AH112)))</f>
        <v>6.0876577057342747</v>
      </c>
      <c r="AJ112" s="9" cm="1">
        <f t="array" ref="AJ112">IF(AJ$110=-1,AK112,IF(AJ$110=99,AI112,IF(AJ$110=0,INDEX($F93:$N93,0,AJ$108),(INDEX($F93:$N93,0,AJ$110+1)-INDEX($F93:$N93,0,AJ$110))/(INDEX($F$4:$N$4,0,AJ$110+1)-INDEX($F$4:$N$4,0,AJ$110))+AI112)))</f>
        <v>6.2504053888369215</v>
      </c>
      <c r="AK112" s="9" cm="1">
        <f t="array" ref="AK112">IF(AK$110=-1,AL112,IF(AK$110=99,AJ112,IF(AK$110=0,INDEX($F93:$N93,0,AK$108),(INDEX($F93:$N93,0,AK$110+1)-INDEX($F93:$N93,0,AK$110))/(INDEX($F$4:$N$4,0,AK$110+1)-INDEX($F$4:$N$4,0,AK$110))+AJ112)))</f>
        <v>6.4131530719395684</v>
      </c>
      <c r="AL112" s="9" cm="1">
        <f t="array" ref="AL112">IF(AL$110=-1,AM112,IF(AL$110=99,AK112,IF(AL$110=0,INDEX($F93:$N93,0,AL$108),(INDEX($F93:$N93,0,AL$110+1)-INDEX($F93:$N93,0,AL$110))/(INDEX($F$4:$N$4,0,AL$110+1)-INDEX($F$4:$N$4,0,AL$110))+AK112)))</f>
        <v>6.5759007550422153</v>
      </c>
      <c r="AM112" s="9" cm="1">
        <f t="array" ref="AM112">IF(AM$110=-1,AN112,IF(AM$110=99,AL112,IF(AM$110=0,INDEX($F93:$N93,0,AM$108),(INDEX($F93:$N93,0,AM$110+1)-INDEX($F93:$N93,0,AM$110))/(INDEX($F$4:$N$4,0,AM$110+1)-INDEX($F$4:$N$4,0,AM$110))+AL112)))</f>
        <v>6.7386484381448621</v>
      </c>
      <c r="AN112" s="9" cm="1">
        <f t="array" ref="AN112">IF(AN$110=-1,AO112,IF(AN$110=99,AM112,IF(AN$110=0,INDEX($F93:$N93,0,AN$108),(INDEX($F93:$N93,0,AN$110+1)-INDEX($F93:$N93,0,AN$110))/(INDEX($F$4:$N$4,0,AN$110+1)-INDEX($F$4:$N$4,0,AN$110))+AM112)))</f>
        <v>6.9013961212475055</v>
      </c>
      <c r="AO112" s="9" cm="1">
        <f t="array" ref="AO112">IF(AO$110=-1,AP112,IF(AO$110=99,AN112,IF(AO$110=0,INDEX($F93:$N93,0,AO$108),(INDEX($F93:$N93,0,AO$110+1)-INDEX($F93:$N93,0,AO$110))/(INDEX($F$4:$N$4,0,AO$110+1)-INDEX($F$4:$N$4,0,AO$110))+AN112)))</f>
        <v>7.0885926685904561</v>
      </c>
      <c r="AP112" s="9" cm="1">
        <f t="array" ref="AP112">IF(AP$110=-1,AQ112,IF(AP$110=99,AO112,IF(AP$110=0,INDEX($F93:$N93,0,AP$108),(INDEX($F93:$N93,0,AP$110+1)-INDEX($F93:$N93,0,AP$110))/(INDEX($F$4:$N$4,0,AP$110+1)-INDEX($F$4:$N$4,0,AP$110))+AO112)))</f>
        <v>7.2757892159334068</v>
      </c>
      <c r="AQ112" s="9" cm="1">
        <f t="array" ref="AQ112">IF(AQ$110=-1,AR112,IF(AQ$110=99,AP112,IF(AQ$110=0,INDEX($F93:$N93,0,AQ$108),(INDEX($F93:$N93,0,AQ$110+1)-INDEX($F93:$N93,0,AQ$110))/(INDEX($F$4:$N$4,0,AQ$110+1)-INDEX($F$4:$N$4,0,AQ$110))+AP112)))</f>
        <v>7.4629857632763574</v>
      </c>
      <c r="AR112" s="9" cm="1">
        <f t="array" ref="AR112">IF(AR$110=-1,AS112,IF(AR$110=99,AQ112,IF(AR$110=0,INDEX($F93:$N93,0,AR$108),(INDEX($F93:$N93,0,AR$110+1)-INDEX($F93:$N93,0,AR$110))/(INDEX($F$4:$N$4,0,AR$110+1)-INDEX($F$4:$N$4,0,AR$110))+AQ112)))</f>
        <v>7.6501823106193081</v>
      </c>
      <c r="AS112" s="9" cm="1">
        <f t="array" ref="AS112">IF(AS$110=-1,AT112,IF(AS$110=99,AR112,IF(AS$110=0,INDEX($F93:$N93,0,AS$108),(INDEX($F93:$N93,0,AS$110+1)-INDEX($F93:$N93,0,AS$110))/(INDEX($F$4:$N$4,0,AS$110+1)-INDEX($F$4:$N$4,0,AS$110))+AR112)))</f>
        <v>7.8373788579622587</v>
      </c>
      <c r="AT112" s="9" cm="1">
        <f t="array" ref="AT112">IF(AT$110=-1,AU112,IF(AT$110=99,AS112,IF(AT$110=0,INDEX($F93:$N93,0,AT$108),(INDEX($F93:$N93,0,AT$110+1)-INDEX($F93:$N93,0,AT$110))/(INDEX($F$4:$N$4,0,AT$110+1)-INDEX($F$4:$N$4,0,AT$110))+AS112)))</f>
        <v>8.0245754053052103</v>
      </c>
      <c r="AU112" s="9" cm="1">
        <f t="array" ref="AU112">IF(AU$110=-1,AV112,IF(AU$110=99,AT112,IF(AU$110=0,INDEX($F93:$N93,0,AU$108),(INDEX($F93:$N93,0,AU$110+1)-INDEX($F93:$N93,0,AU$110))/(INDEX($F$4:$N$4,0,AU$110+1)-INDEX($F$4:$N$4,0,AU$110))+AT112)))</f>
        <v>8.2117719526481618</v>
      </c>
      <c r="AV112" s="9" cm="1">
        <f t="array" ref="AV112">IF(AV$110=-1,AW112,IF(AV$110=99,AU112,IF(AV$110=0,INDEX($F93:$N93,0,AV$108),(INDEX($F93:$N93,0,AV$110+1)-INDEX($F93:$N93,0,AV$110))/(INDEX($F$4:$N$4,0,AV$110+1)-INDEX($F$4:$N$4,0,AV$110))+AU112)))</f>
        <v>8.3989684999911134</v>
      </c>
      <c r="AW112" s="9" cm="1">
        <f t="array" ref="AW112">IF(AW$110=-1,AX112,IF(AW$110=99,AV112,IF(AW$110=0,INDEX($F93:$N93,0,AW$108),(INDEX($F93:$N93,0,AW$110+1)-INDEX($F93:$N93,0,AW$110))/(INDEX($F$4:$N$4,0,AW$110+1)-INDEX($F$4:$N$4,0,AW$110))+AV112)))</f>
        <v>8.5861650473340649</v>
      </c>
      <c r="AX112" s="9" cm="1">
        <f t="array" ref="AX112">IF(AX$110=-1,AY112,IF(AX$110=99,AW112,IF(AX$110=0,INDEX($F93:$N93,0,AX$108),(INDEX($F93:$N93,0,AX$110+1)-INDEX($F93:$N93,0,AX$110))/(INDEX($F$4:$N$4,0,AX$110+1)-INDEX($F$4:$N$4,0,AX$110))+AW112)))</f>
        <v>8.7733615946770147</v>
      </c>
      <c r="AY112" s="9" cm="1">
        <f t="array" ref="AY112">IF(AY$110=-1,AZ112,IF(AY$110=99,AX112,IF(AY$110=0,INDEX($F93:$N93,0,AY$108),(INDEX($F93:$N93,0,AY$110+1)-INDEX($F93:$N93,0,AY$110))/(INDEX($F$4:$N$4,0,AY$110+1)-INDEX($F$4:$N$4,0,AY$110))+AX112)))</f>
        <v>10.647654134518458</v>
      </c>
      <c r="AZ112" s="9" cm="1">
        <f t="array" ref="AZ112">IF(AZ$110=-1,BA112,IF(AZ$110=99,AY112,IF(AZ$110=0,INDEX($F93:$N93,0,AZ$108),(INDEX($F93:$N93,0,AZ$110+1)-INDEX($F93:$N93,0,AZ$110))/(INDEX($F$4:$N$4,0,AZ$110+1)-INDEX($F$4:$N$4,0,AZ$110))+AY112)))</f>
        <v>11.438377612130319</v>
      </c>
    </row>
    <row r="113" spans="1:52" ht="15">
      <c r="A113" s="103" t="s">
        <v>16</v>
      </c>
      <c r="B113" s="20" t="str">
        <f t="shared" si="320"/>
        <v/>
      </c>
      <c r="C113" s="21" t="str">
        <f t="shared" si="321"/>
        <v/>
      </c>
      <c r="D113" s="48" t="s">
        <v>397</v>
      </c>
      <c r="E113" s="21" t="str">
        <f t="shared" si="322"/>
        <v/>
      </c>
      <c r="H113" s="21" t="str">
        <f t="shared" si="322"/>
        <v/>
      </c>
      <c r="J113" s="21" t="str">
        <f t="shared" si="322"/>
        <v/>
      </c>
      <c r="K113" s="21" t="str">
        <f t="shared" si="322"/>
        <v/>
      </c>
      <c r="L113" s="110" t="str">
        <f t="shared" si="323"/>
        <v/>
      </c>
      <c r="M113" s="9" cm="1">
        <f t="array" ref="M113">IF(M$110=-1,N113,IF(M$110=99,#REF!,IF(M$110=0,INDEX($F94:$N94,0,M$108),(INDEX($F94:$N94,0,M$110+1)-INDEX($F94:$N94,0,M$110))/(INDEX($F$4:$N$4,0,M$110+1)-INDEX($F$4:$N$4,0,M$110))+#REF!)))</f>
        <v>1.0030192144974699</v>
      </c>
      <c r="N113" s="9" cm="1">
        <f t="array" ref="N113">IF(N$110=-1,O113,IF(N$110=99,M113,IF(N$110=0,INDEX($F94:$N94,0,N$108),(INDEX($F94:$N94,0,N$110+1)-INDEX($F94:$N94,0,N$110))/(INDEX($F$4:$N$4,0,N$110+1)-INDEX($F$4:$N$4,0,N$110))+M113)))</f>
        <v>1.009261767493451</v>
      </c>
      <c r="O113" s="9" cm="1">
        <f t="array" ref="O113">IF(O$110=-1,P113,IF(O$110=99,N113,IF(O$110=0,INDEX($F94:$N94,0,O$108),(INDEX($F94:$N94,0,O$110+1)-INDEX($F94:$N94,0,O$110))/(INDEX($F$4:$N$4,0,O$110+1)-INDEX($F$4:$N$4,0,O$110))+N113)))</f>
        <v>1.0155043204894318</v>
      </c>
      <c r="P113" s="9" cm="1">
        <f t="array" ref="P113">IF(P$110=-1,S113,IF(P$110=99,O113,IF(P$110=0,INDEX($F94:$N94,0,P$108),(INDEX($F94:$N94,0,P$110+1)-INDEX($F94:$N94,0,P$110))/(INDEX($F$4:$N$4,0,P$110+1)-INDEX($F$4:$N$4,0,P$110))+O113)))</f>
        <v>0.97776384868242405</v>
      </c>
      <c r="Q113" s="9" cm="1">
        <f t="array" ref="Q113">IF(Q$110=-1,R113,IF(Q$110=99,N113,IF(Q$110=0,INDEX($F94:$N94,0,Q$108),(INDEX($F94:$N94,0,Q$110+1)-INDEX($F94:$N94,0,Q$110))/(INDEX($F$4:$N$4,0,Q$110+1)-INDEX($F$4:$N$4,0,Q$110))+N113)))</f>
        <v>1.0155043204894318</v>
      </c>
      <c r="R113" s="9" cm="1">
        <f t="array" ref="R113">IF(R$110=-1,S113,IF(R$110=99,O113,IF(R$110=0,INDEX($F94:$N94,0,R$108),(INDEX($F94:$N94,0,R$110+1)-INDEX($F94:$N94,0,R$110))/(INDEX($F$4:$N$4,0,R$110+1)-INDEX($F$4:$N$4,0,R$110))+O113)))</f>
        <v>0.97776384868242405</v>
      </c>
      <c r="S113" s="9" cm="1">
        <f t="array" ref="S113">IF(S$110=-1,T113,IF(S$110=99,P113,IF(S$110=0,INDEX($F94:$N94,0,S$108),(INDEX($F94:$N94,0,S$110+1)-INDEX($F94:$N94,0,S$110))/(INDEX($F$4:$N$4,0,S$110+1)-INDEX($F$4:$N$4,0,S$110))+P113)))</f>
        <v>1.0251732917755991</v>
      </c>
      <c r="T113" s="9" cm="1">
        <f t="array" ref="T113">IF(T$110=-1,U113,IF(T$110=99,S113,IF(T$110=0,INDEX($F94:$N94,0,T$108),(INDEX($F94:$N94,0,T$110+1)-INDEX($F94:$N94,0,T$110))/(INDEX($F$4:$N$4,0,T$110+1)-INDEX($F$4:$N$4,0,T$110))+S113)))</f>
        <v>1.0522599783634812</v>
      </c>
      <c r="U113" s="9" cm="1">
        <f t="array" ref="U113">IF(U$110=-1,V113,IF(U$110=99,T113,IF(U$110=0,INDEX($F94:$N94,0,U$108),(INDEX($F94:$N94,0,U$110+1)-INDEX($F94:$N94,0,U$110))/(INDEX($F$4:$N$4,0,U$110+1)-INDEX($F$4:$N$4,0,U$110))+T113)))</f>
        <v>1.0793466649513632</v>
      </c>
      <c r="V113" s="9" cm="1">
        <f t="array" ref="V113">IF(V$110=-1,W113,IF(V$110=99,U113,IF(V$110=0,INDEX($F94:$N94,0,V$108),(INDEX($F94:$N94,0,V$110+1)-INDEX($F94:$N94,0,V$110))/(INDEX($F$4:$N$4,0,V$110+1)-INDEX($F$4:$N$4,0,V$110))+U113)))</f>
        <v>1.1064333515392453</v>
      </c>
      <c r="W113" s="9" cm="1">
        <f t="array" ref="W113">IF(W$110=-1,X113,IF(W$110=99,V113,IF(W$110=0,INDEX($F94:$N94,0,W$108),(INDEX($F94:$N94,0,W$110+1)-INDEX($F94:$N94,0,W$110))/(INDEX($F$4:$N$4,0,W$110+1)-INDEX($F$4:$N$4,0,W$110))+V113)))</f>
        <v>1.1335200381271273</v>
      </c>
      <c r="X113" s="9" cm="1">
        <f t="array" ref="X113">IF(X$110=-1,Y113,IF(X$110=99,W113,IF(X$110=0,INDEX($F94:$N94,0,X$108),(INDEX($F94:$N94,0,X$110+1)-INDEX($F94:$N94,0,X$110))/(INDEX($F$4:$N$4,0,X$110+1)-INDEX($F$4:$N$4,0,X$110))+W113)))</f>
        <v>1.1606067247150094</v>
      </c>
      <c r="Y113" s="9" cm="1">
        <f t="array" ref="Y113">IF(Y$110=-1,Z113,IF(Y$110=99,X113,IF(Y$110=0,INDEX($F94:$N94,0,Y$108),(INDEX($F94:$N94,0,Y$110+1)-INDEX($F94:$N94,0,Y$110))/(INDEX($F$4:$N$4,0,Y$110+1)-INDEX($F$4:$N$4,0,Y$110))+X113)))</f>
        <v>1.1876934113028914</v>
      </c>
      <c r="Z113" s="9" cm="1">
        <f t="array" ref="Z113">IF(Z$110=-1,AC113,IF(Z$110=99,Y113,IF(Z$110=0,INDEX($F94:$N94,0,Z$108),(INDEX($F94:$N94,0,Z$110+1)-INDEX($F94:$N94,0,Z$110))/(INDEX($F$4:$N$4,0,Z$110+1)-INDEX($F$4:$N$4,0,Z$110))+Y113)))</f>
        <v>1.2147800978907735</v>
      </c>
      <c r="AA113" s="9" cm="1">
        <f t="array" ref="AA113">IF(AA$110=-1,AB113,IF(AA$110=99,X113,IF(AA$110=0,INDEX($F94:$N94,0,AA$108),(INDEX($F94:$N94,0,AA$110+1)-INDEX($F94:$N94,0,AA$110))/(INDEX($F$4:$N$4,0,AA$110+1)-INDEX($F$4:$N$4,0,AA$110))+X113)))</f>
        <v>1.1876934113028914</v>
      </c>
      <c r="AB113" s="9" cm="1">
        <f t="array" ref="AB113">IF(AB$110=-1,AC113,IF(AB$110=99,Y113,IF(AB$110=0,INDEX($F94:$N94,0,AB$108),(INDEX($F94:$N94,0,AB$110+1)-INDEX($F94:$N94,0,AB$110))/(INDEX($F$4:$N$4,0,AB$110+1)-INDEX($F$4:$N$4,0,AB$110))+Y113)))</f>
        <v>1.2147800978907735</v>
      </c>
      <c r="AC113" s="9" cm="1">
        <f t="array" ref="AC113">IF(AC$110=-1,AD113,IF(AC$110=99,Z113,IF(AC$110=0,INDEX($F94:$N94,0,AC$108),(INDEX($F94:$N94,0,AC$110+1)-INDEX($F94:$N94,0,AC$110))/(INDEX($F$4:$N$4,0,AC$110+1)-INDEX($F$4:$N$4,0,AC$110))+Z113)))</f>
        <v>1.2418667844786555</v>
      </c>
      <c r="AD113" s="9" cm="1">
        <f t="array" ref="AD113">IF(AD$110=-1,AE113,IF(AD$110=99,AC113,IF(AD$110=0,INDEX($F94:$N94,0,AD$108),(INDEX($F94:$N94,0,AD$110+1)-INDEX($F94:$N94,0,AD$110))/(INDEX($F$4:$N$4,0,AD$110+1)-INDEX($F$4:$N$4,0,AD$110))+AC113)))</f>
        <v>1.2689534710665378</v>
      </c>
      <c r="AE113" s="9" cm="1">
        <f t="array" ref="AE113">IF(AE$110=-1,AF113,IF(AE$110=99,AD113,IF(AE$110=0,INDEX($F94:$N94,0,AE$108),(INDEX($F94:$N94,0,AE$110+1)-INDEX($F94:$N94,0,AE$110))/(INDEX($F$4:$N$4,0,AE$110+1)-INDEX($F$4:$N$4,0,AE$110))+AD113)))</f>
        <v>1.3081120599672194</v>
      </c>
      <c r="AF113" s="9" cm="1">
        <f t="array" ref="AF113">IF(AF$110=-1,AG113,IF(AF$110=99,AE113,IF(AF$110=0,INDEX($F94:$N94,0,AF$108),(INDEX($F94:$N94,0,AF$110+1)-INDEX($F94:$N94,0,AF$110))/(INDEX($F$4:$N$4,0,AF$110+1)-INDEX($F$4:$N$4,0,AF$110))+AE113)))</f>
        <v>1.3472706488679009</v>
      </c>
      <c r="AG113" s="9" cm="1">
        <f t="array" ref="AG113">IF(AG$110=-1,AH113,IF(AG$110=99,AF113,IF(AG$110=0,INDEX($F94:$N94,0,AG$108),(INDEX($F94:$N94,0,AG$110+1)-INDEX($F94:$N94,0,AG$110))/(INDEX($F$4:$N$4,0,AG$110+1)-INDEX($F$4:$N$4,0,AG$110))+AF113)))</f>
        <v>1.3864292377685825</v>
      </c>
      <c r="AH113" s="9" cm="1">
        <f t="array" ref="AH113">IF(AH$110=-1,AI113,IF(AH$110=99,AG113,IF(AH$110=0,INDEX($F94:$N94,0,AH$108),(INDEX($F94:$N94,0,AH$110+1)-INDEX($F94:$N94,0,AH$110))/(INDEX($F$4:$N$4,0,AH$110+1)-INDEX($F$4:$N$4,0,AH$110))+AG113)))</f>
        <v>1.4255878266692641</v>
      </c>
      <c r="AI113" s="9" cm="1">
        <f t="array" ref="AI113">IF(AI$110=-1,AJ113,IF(AI$110=99,AH113,IF(AI$110=0,INDEX($F94:$N94,0,AI$108),(INDEX($F94:$N94,0,AI$110+1)-INDEX($F94:$N94,0,AI$110))/(INDEX($F$4:$N$4,0,AI$110+1)-INDEX($F$4:$N$4,0,AI$110))+AH113)))</f>
        <v>1.4647464155699457</v>
      </c>
      <c r="AJ113" s="9" cm="1">
        <f t="array" ref="AJ113">IF(AJ$110=-1,AK113,IF(AJ$110=99,AI113,IF(AJ$110=0,INDEX($F94:$N94,0,AJ$108),(INDEX($F94:$N94,0,AJ$110+1)-INDEX($F94:$N94,0,AJ$110))/(INDEX($F$4:$N$4,0,AJ$110+1)-INDEX($F$4:$N$4,0,AJ$110))+AI113)))</f>
        <v>1.5039050044706272</v>
      </c>
      <c r="AK113" s="9" cm="1">
        <f t="array" ref="AK113">IF(AK$110=-1,AL113,IF(AK$110=99,AJ113,IF(AK$110=0,INDEX($F94:$N94,0,AK$108),(INDEX($F94:$N94,0,AK$110+1)-INDEX($F94:$N94,0,AK$110))/(INDEX($F$4:$N$4,0,AK$110+1)-INDEX($F$4:$N$4,0,AK$110))+AJ113)))</f>
        <v>1.5430635933713088</v>
      </c>
      <c r="AL113" s="9" cm="1">
        <f t="array" ref="AL113">IF(AL$110=-1,AM113,IF(AL$110=99,AK113,IF(AL$110=0,INDEX($F94:$N94,0,AL$108),(INDEX($F94:$N94,0,AL$110+1)-INDEX($F94:$N94,0,AL$110))/(INDEX($F$4:$N$4,0,AL$110+1)-INDEX($F$4:$N$4,0,AL$110))+AK113)))</f>
        <v>1.5822221822719904</v>
      </c>
      <c r="AM113" s="9" cm="1">
        <f t="array" ref="AM113">IF(AM$110=-1,AN113,IF(AM$110=99,AL113,IF(AM$110=0,INDEX($F94:$N94,0,AM$108),(INDEX($F94:$N94,0,AM$110+1)-INDEX($F94:$N94,0,AM$110))/(INDEX($F$4:$N$4,0,AM$110+1)-INDEX($F$4:$N$4,0,AM$110))+AL113)))</f>
        <v>1.621380771172672</v>
      </c>
      <c r="AN113" s="9" cm="1">
        <f t="array" ref="AN113">IF(AN$110=-1,AO113,IF(AN$110=99,AM113,IF(AN$110=0,INDEX($F94:$N94,0,AN$108),(INDEX($F94:$N94,0,AN$110+1)-INDEX($F94:$N94,0,AN$110))/(INDEX($F$4:$N$4,0,AN$110+1)-INDEX($F$4:$N$4,0,AN$110))+AM113)))</f>
        <v>1.6605393600733538</v>
      </c>
      <c r="AO113" s="9" cm="1">
        <f t="array" ref="AO113">IF(AO$110=-1,AP113,IF(AO$110=99,AN113,IF(AO$110=0,INDEX($F94:$N94,0,AO$108),(INDEX($F94:$N94,0,AO$110+1)-INDEX($F94:$N94,0,AO$110))/(INDEX($F$4:$N$4,0,AO$110+1)-INDEX($F$4:$N$4,0,AO$110))+AN113)))</f>
        <v>1.7055805704997185</v>
      </c>
      <c r="AP113" s="9" cm="1">
        <f t="array" ref="AP113">IF(AP$110=-1,AQ113,IF(AP$110=99,AO113,IF(AP$110=0,INDEX($F94:$N94,0,AP$108),(INDEX($F94:$N94,0,AP$110+1)-INDEX($F94:$N94,0,AP$110))/(INDEX($F$4:$N$4,0,AP$110+1)-INDEX($F$4:$N$4,0,AP$110))+AO113)))</f>
        <v>1.7506217809260831</v>
      </c>
      <c r="AQ113" s="9" cm="1">
        <f t="array" ref="AQ113">IF(AQ$110=-1,AR113,IF(AQ$110=99,AP113,IF(AQ$110=0,INDEX($F94:$N94,0,AQ$108),(INDEX($F94:$N94,0,AQ$110+1)-INDEX($F94:$N94,0,AQ$110))/(INDEX($F$4:$N$4,0,AQ$110+1)-INDEX($F$4:$N$4,0,AQ$110))+AP113)))</f>
        <v>1.7956629913524478</v>
      </c>
      <c r="AR113" s="9" cm="1">
        <f t="array" ref="AR113">IF(AR$110=-1,AS113,IF(AR$110=99,AQ113,IF(AR$110=0,INDEX($F94:$N94,0,AR$108),(INDEX($F94:$N94,0,AR$110+1)-INDEX($F94:$N94,0,AR$110))/(INDEX($F$4:$N$4,0,AR$110+1)-INDEX($F$4:$N$4,0,AR$110))+AQ113)))</f>
        <v>1.8407042017788124</v>
      </c>
      <c r="AS113" s="9" cm="1">
        <f t="array" ref="AS113">IF(AS$110=-1,AT113,IF(AS$110=99,AR113,IF(AS$110=0,INDEX($F94:$N94,0,AS$108),(INDEX($F94:$N94,0,AS$110+1)-INDEX($F94:$N94,0,AS$110))/(INDEX($F$4:$N$4,0,AS$110+1)-INDEX($F$4:$N$4,0,AS$110))+AR113)))</f>
        <v>1.8857454122051771</v>
      </c>
      <c r="AT113" s="9" cm="1">
        <f t="array" ref="AT113">IF(AT$110=-1,AU113,IF(AT$110=99,AS113,IF(AT$110=0,INDEX($F94:$N94,0,AT$108),(INDEX($F94:$N94,0,AT$110+1)-INDEX($F94:$N94,0,AT$110))/(INDEX($F$4:$N$4,0,AT$110+1)-INDEX($F$4:$N$4,0,AT$110))+AS113)))</f>
        <v>1.9307866226315418</v>
      </c>
      <c r="AU113" s="9" cm="1">
        <f t="array" ref="AU113">IF(AU$110=-1,AV113,IF(AU$110=99,AT113,IF(AU$110=0,INDEX($F94:$N94,0,AU$108),(INDEX($F94:$N94,0,AU$110+1)-INDEX($F94:$N94,0,AU$110))/(INDEX($F$4:$N$4,0,AU$110+1)-INDEX($F$4:$N$4,0,AU$110))+AT113)))</f>
        <v>1.9758278330579064</v>
      </c>
      <c r="AV113" s="9" cm="1">
        <f t="array" ref="AV113">IF(AV$110=-1,AW113,IF(AV$110=99,AU113,IF(AV$110=0,INDEX($F94:$N94,0,AV$108),(INDEX($F94:$N94,0,AV$110+1)-INDEX($F94:$N94,0,AV$110))/(INDEX($F$4:$N$4,0,AV$110+1)-INDEX($F$4:$N$4,0,AV$110))+AU113)))</f>
        <v>2.0208690434842711</v>
      </c>
      <c r="AW113" s="9" cm="1">
        <f t="array" ref="AW113">IF(AW$110=-1,AX113,IF(AW$110=99,AV113,IF(AW$110=0,INDEX($F94:$N94,0,AW$108),(INDEX($F94:$N94,0,AW$110+1)-INDEX($F94:$N94,0,AW$110))/(INDEX($F$4:$N$4,0,AW$110+1)-INDEX($F$4:$N$4,0,AW$110))+AV113)))</f>
        <v>2.0659102539106358</v>
      </c>
      <c r="AX113" s="9" cm="1">
        <f t="array" ref="AX113">IF(AX$110=-1,AY113,IF(AX$110=99,AW113,IF(AX$110=0,INDEX($F94:$N94,0,AX$108),(INDEX($F94:$N94,0,AX$110+1)-INDEX($F94:$N94,0,AX$110))/(INDEX($F$4:$N$4,0,AX$110+1)-INDEX($F$4:$N$4,0,AX$110))+AW113)))</f>
        <v>2.1109514643369995</v>
      </c>
      <c r="AY113" s="9" cm="1">
        <f t="array" ref="AY113">IF(AY$110=-1,AZ113,IF(AY$110=99,AX113,IF(AY$110=0,INDEX($F94:$N94,0,AY$108),(INDEX($F94:$N94,0,AY$110+1)-INDEX($F94:$N94,0,AY$110))/(INDEX($F$4:$N$4,0,AY$110+1)-INDEX($F$4:$N$4,0,AY$110))+AX113)))</f>
        <v>2.561923482175033</v>
      </c>
      <c r="AZ113" s="9" cm="1">
        <f t="array" ref="AZ113">IF(AZ$110=-1,BA113,IF(AZ$110=99,AY113,IF(AZ$110=0,INDEX($F94:$N94,0,AZ$108),(INDEX($F94:$N94,0,AZ$110+1)-INDEX($F94:$N94,0,AZ$110))/(INDEX($F$4:$N$4,0,AZ$110+1)-INDEX($F$4:$N$4,0,AZ$110))+AY113)))</f>
        <v>2.7521788210138114</v>
      </c>
    </row>
    <row r="114" spans="1:52" ht="15">
      <c r="A114" s="103" t="s">
        <v>16</v>
      </c>
      <c r="B114" s="20" t="str">
        <f t="shared" si="320"/>
        <v/>
      </c>
      <c r="C114" s="21" t="str">
        <f t="shared" si="321"/>
        <v/>
      </c>
      <c r="D114" s="48" t="s">
        <v>398</v>
      </c>
      <c r="E114" s="21" t="str">
        <f t="shared" si="322"/>
        <v/>
      </c>
      <c r="H114" s="21" t="str">
        <f t="shared" si="322"/>
        <v/>
      </c>
      <c r="J114" s="21" t="str">
        <f t="shared" si="322"/>
        <v/>
      </c>
      <c r="K114" s="21" t="str">
        <f t="shared" si="322"/>
        <v/>
      </c>
      <c r="L114" s="110" t="str">
        <f t="shared" si="323"/>
        <v/>
      </c>
      <c r="M114" s="9" cm="1">
        <f t="array" ref="M114">IF(M$110=-1,N114,IF(M$110=99,#REF!,IF(M$110=0,INDEX($F95:$N95,0,M$108),(INDEX($F95:$N95,0,M$110+1)-INDEX($F95:$N95,0,M$110))/(INDEX($F$4:$N$4,0,M$110+1)-INDEX($F$4:$N$4,0,M$110))+#REF!)))</f>
        <v>3.29935437842208</v>
      </c>
      <c r="N114" s="9" cm="1">
        <f t="array" ref="N114">IF(N$110=-1,O114,IF(N$110=99,M114,IF(N$110=0,INDEX($F95:$N95,0,N$108),(INDEX($F95:$N95,0,N$110+1)-INDEX($F95:$N95,0,N$110))/(INDEX($F$4:$N$4,0,N$110+1)-INDEX($F$4:$N$4,0,N$110))+M114)))</f>
        <v>3.3198887752333528</v>
      </c>
      <c r="O114" s="9" cm="1">
        <f t="array" ref="O114">IF(O$110=-1,P114,IF(O$110=99,N114,IF(O$110=0,INDEX($F95:$N95,0,O$108),(INDEX($F95:$N95,0,O$110+1)-INDEX($F95:$N95,0,O$110))/(INDEX($F$4:$N$4,0,O$110+1)-INDEX($F$4:$N$4,0,O$110))+N114)))</f>
        <v>3.3404231720446251</v>
      </c>
      <c r="P114" s="9" cm="1">
        <f t="array" ref="P114">IF(P$110=-1,S114,IF(P$110=99,O114,IF(P$110=0,INDEX($F95:$N95,0,P$108),(INDEX($F95:$N95,0,P$110+1)-INDEX($F95:$N95,0,P$110))/(INDEX($F$4:$N$4,0,P$110+1)-INDEX($F$4:$N$4,0,P$110))+O114)))</f>
        <v>3.2162787996334212</v>
      </c>
      <c r="Q114" s="9" cm="1">
        <f t="array" ref="Q114">IF(Q$110=-1,R114,IF(Q$110=99,N114,IF(Q$110=0,INDEX($F95:$N95,0,Q$108),(INDEX($F95:$N95,0,Q$110+1)-INDEX($F95:$N95,0,Q$110))/(INDEX($F$4:$N$4,0,Q$110+1)-INDEX($F$4:$N$4,0,Q$110))+N114)))</f>
        <v>3.3404231720446251</v>
      </c>
      <c r="R114" s="9" cm="1">
        <f t="array" ref="R114">IF(R$110=-1,S114,IF(R$110=99,O114,IF(R$110=0,INDEX($F95:$N95,0,R$108),(INDEX($F95:$N95,0,R$110+1)-INDEX($F95:$N95,0,R$110))/(INDEX($F$4:$N$4,0,R$110+1)-INDEX($F$4:$N$4,0,R$110))+O114)))</f>
        <v>3.2162787996334212</v>
      </c>
      <c r="S114" s="9" cm="1">
        <f t="array" ref="S114">IF(S$110=-1,T114,IF(S$110=99,P114,IF(S$110=0,INDEX($F95:$N95,0,S$108),(INDEX($F95:$N95,0,S$110+1)-INDEX($F95:$N95,0,S$110))/(INDEX($F$4:$N$4,0,S$110+1)-INDEX($F$4:$N$4,0,S$110))+P114)))</f>
        <v>3.3722285076620842</v>
      </c>
      <c r="T114" s="9" cm="1">
        <f t="array" ref="T114">IF(T$110=-1,U114,IF(T$110=99,S114,IF(T$110=0,INDEX($F95:$N95,0,T$108),(INDEX($F95:$N95,0,T$110+1)-INDEX($F95:$N95,0,T$110))/(INDEX($F$4:$N$4,0,T$110+1)-INDEX($F$4:$N$4,0,T$110))+S114)))</f>
        <v>3.4613280749474931</v>
      </c>
      <c r="U114" s="9" cm="1">
        <f t="array" ref="U114">IF(U$110=-1,V114,IF(U$110=99,T114,IF(U$110=0,INDEX($F95:$N95,0,U$108),(INDEX($F95:$N95,0,U$110+1)-INDEX($F95:$N95,0,U$110))/(INDEX($F$4:$N$4,0,U$110+1)-INDEX($F$4:$N$4,0,U$110))+T114)))</f>
        <v>3.550427642232902</v>
      </c>
      <c r="V114" s="9" cm="1">
        <f t="array" ref="V114">IF(V$110=-1,W114,IF(V$110=99,U114,IF(V$110=0,INDEX($F95:$N95,0,V$108),(INDEX($F95:$N95,0,V$110+1)-INDEX($F95:$N95,0,V$110))/(INDEX($F$4:$N$4,0,V$110+1)-INDEX($F$4:$N$4,0,V$110))+U114)))</f>
        <v>3.6395272095183109</v>
      </c>
      <c r="W114" s="9" cm="1">
        <f t="array" ref="W114">IF(W$110=-1,X114,IF(W$110=99,V114,IF(W$110=0,INDEX($F95:$N95,0,W$108),(INDEX($F95:$N95,0,W$110+1)-INDEX($F95:$N95,0,W$110))/(INDEX($F$4:$N$4,0,W$110+1)-INDEX($F$4:$N$4,0,W$110))+V114)))</f>
        <v>3.7286267768037198</v>
      </c>
      <c r="X114" s="9" cm="1">
        <f t="array" ref="X114">IF(X$110=-1,Y114,IF(X$110=99,W114,IF(X$110=0,INDEX($F95:$N95,0,X$108),(INDEX($F95:$N95,0,X$110+1)-INDEX($F95:$N95,0,X$110))/(INDEX($F$4:$N$4,0,X$110+1)-INDEX($F$4:$N$4,0,X$110))+W114)))</f>
        <v>3.8177263440891287</v>
      </c>
      <c r="Y114" s="9" cm="1">
        <f t="array" ref="Y114">IF(Y$110=-1,Z114,IF(Y$110=99,X114,IF(Y$110=0,INDEX($F95:$N95,0,Y$108),(INDEX($F95:$N95,0,Y$110+1)-INDEX($F95:$N95,0,Y$110))/(INDEX($F$4:$N$4,0,Y$110+1)-INDEX($F$4:$N$4,0,Y$110))+X114)))</f>
        <v>3.9068259113745376</v>
      </c>
      <c r="Z114" s="9" cm="1">
        <f t="array" ref="Z114">IF(Z$110=-1,AC114,IF(Z$110=99,Y114,IF(Z$110=0,INDEX($F95:$N95,0,Z$108),(INDEX($F95:$N95,0,Z$110+1)-INDEX($F95:$N95,0,Z$110))/(INDEX($F$4:$N$4,0,Z$110+1)-INDEX($F$4:$N$4,0,Z$110))+Y114)))</f>
        <v>3.9959254786599465</v>
      </c>
      <c r="AA114" s="9" cm="1">
        <f t="array" ref="AA114">IF(AA$110=-1,AB114,IF(AA$110=99,X114,IF(AA$110=0,INDEX($F95:$N95,0,AA$108),(INDEX($F95:$N95,0,AA$110+1)-INDEX($F95:$N95,0,AA$110))/(INDEX($F$4:$N$4,0,AA$110+1)-INDEX($F$4:$N$4,0,AA$110))+X114)))</f>
        <v>3.9068259113745376</v>
      </c>
      <c r="AB114" s="9" cm="1">
        <f t="array" ref="AB114">IF(AB$110=-1,AC114,IF(AB$110=99,Y114,IF(AB$110=0,INDEX($F95:$N95,0,AB$108),(INDEX($F95:$N95,0,AB$110+1)-INDEX($F95:$N95,0,AB$110))/(INDEX($F$4:$N$4,0,AB$110+1)-INDEX($F$4:$N$4,0,AB$110))+Y114)))</f>
        <v>3.9959254786599465</v>
      </c>
      <c r="AC114" s="9" cm="1">
        <f t="array" ref="AC114">IF(AC$110=-1,AD114,IF(AC$110=99,Z114,IF(AC$110=0,INDEX($F95:$N95,0,AC$108),(INDEX($F95:$N95,0,AC$110+1)-INDEX($F95:$N95,0,AC$110))/(INDEX($F$4:$N$4,0,AC$110+1)-INDEX($F$4:$N$4,0,AC$110))+Z114)))</f>
        <v>4.0850250459453559</v>
      </c>
      <c r="AD114" s="9" cm="1">
        <f t="array" ref="AD114">IF(AD$110=-1,AE114,IF(AD$110=99,AC114,IF(AD$110=0,INDEX($F95:$N95,0,AD$108),(INDEX($F95:$N95,0,AD$110+1)-INDEX($F95:$N95,0,AD$110))/(INDEX($F$4:$N$4,0,AD$110+1)-INDEX($F$4:$N$4,0,AD$110))+AC114)))</f>
        <v>4.1741246132307648</v>
      </c>
      <c r="AE114" s="9" cm="1">
        <f t="array" ref="AE114">IF(AE$110=-1,AF114,IF(AE$110=99,AD114,IF(AE$110=0,INDEX($F95:$N95,0,AE$108),(INDEX($F95:$N95,0,AE$110+1)-INDEX($F95:$N95,0,AE$110))/(INDEX($F$4:$N$4,0,AE$110+1)-INDEX($F$4:$N$4,0,AE$110))+AD114)))</f>
        <v>4.3029337724920103</v>
      </c>
      <c r="AF114" s="9" cm="1">
        <f t="array" ref="AF114">IF(AF$110=-1,AG114,IF(AF$110=99,AE114,IF(AF$110=0,INDEX($F95:$N95,0,AF$108),(INDEX($F95:$N95,0,AF$110+1)-INDEX($F95:$N95,0,AF$110))/(INDEX($F$4:$N$4,0,AF$110+1)-INDEX($F$4:$N$4,0,AF$110))+AE114)))</f>
        <v>4.4317429317532557</v>
      </c>
      <c r="AG114" s="9" cm="1">
        <f t="array" ref="AG114">IF(AG$110=-1,AH114,IF(AG$110=99,AF114,IF(AG$110=0,INDEX($F95:$N95,0,AG$108),(INDEX($F95:$N95,0,AG$110+1)-INDEX($F95:$N95,0,AG$110))/(INDEX($F$4:$N$4,0,AG$110+1)-INDEX($F$4:$N$4,0,AG$110))+AF114)))</f>
        <v>4.5605520910145012</v>
      </c>
      <c r="AH114" s="9" cm="1">
        <f t="array" ref="AH114">IF(AH$110=-1,AI114,IF(AH$110=99,AG114,IF(AH$110=0,INDEX($F95:$N95,0,AH$108),(INDEX($F95:$N95,0,AH$110+1)-INDEX($F95:$N95,0,AH$110))/(INDEX($F$4:$N$4,0,AH$110+1)-INDEX($F$4:$N$4,0,AH$110))+AG114)))</f>
        <v>4.6893612502757467</v>
      </c>
      <c r="AI114" s="9" cm="1">
        <f t="array" ref="AI114">IF(AI$110=-1,AJ114,IF(AI$110=99,AH114,IF(AI$110=0,INDEX($F95:$N95,0,AI$108),(INDEX($F95:$N95,0,AI$110+1)-INDEX($F95:$N95,0,AI$110))/(INDEX($F$4:$N$4,0,AI$110+1)-INDEX($F$4:$N$4,0,AI$110))+AH114)))</f>
        <v>4.8181704095369922</v>
      </c>
      <c r="AJ114" s="9" cm="1">
        <f t="array" ref="AJ114">IF(AJ$110=-1,AK114,IF(AJ$110=99,AI114,IF(AJ$110=0,INDEX($F95:$N95,0,AJ$108),(INDEX($F95:$N95,0,AJ$110+1)-INDEX($F95:$N95,0,AJ$110))/(INDEX($F$4:$N$4,0,AJ$110+1)-INDEX($F$4:$N$4,0,AJ$110))+AI114)))</f>
        <v>4.9469795687982376</v>
      </c>
      <c r="AK114" s="9" cm="1">
        <f t="array" ref="AK114">IF(AK$110=-1,AL114,IF(AK$110=99,AJ114,IF(AK$110=0,INDEX($F95:$N95,0,AK$108),(INDEX($F95:$N95,0,AK$110+1)-INDEX($F95:$N95,0,AK$110))/(INDEX($F$4:$N$4,0,AK$110+1)-INDEX($F$4:$N$4,0,AK$110))+AJ114)))</f>
        <v>5.0757887280594831</v>
      </c>
      <c r="AL114" s="9" cm="1">
        <f t="array" ref="AL114">IF(AL$110=-1,AM114,IF(AL$110=99,AK114,IF(AL$110=0,INDEX($F95:$N95,0,AL$108),(INDEX($F95:$N95,0,AL$110+1)-INDEX($F95:$N95,0,AL$110))/(INDEX($F$4:$N$4,0,AL$110+1)-INDEX($F$4:$N$4,0,AL$110))+AK114)))</f>
        <v>5.2045978873207286</v>
      </c>
      <c r="AM114" s="9" cm="1">
        <f t="array" ref="AM114">IF(AM$110=-1,AN114,IF(AM$110=99,AL114,IF(AM$110=0,INDEX($F95:$N95,0,AM$108),(INDEX($F95:$N95,0,AM$110+1)-INDEX($F95:$N95,0,AM$110))/(INDEX($F$4:$N$4,0,AM$110+1)-INDEX($F$4:$N$4,0,AM$110))+AL114)))</f>
        <v>5.3334070465819741</v>
      </c>
      <c r="AN114" s="9" cm="1">
        <f t="array" ref="AN114">IF(AN$110=-1,AO114,IF(AN$110=99,AM114,IF(AN$110=0,INDEX($F95:$N95,0,AN$108),(INDEX($F95:$N95,0,AN$110+1)-INDEX($F95:$N95,0,AN$110))/(INDEX($F$4:$N$4,0,AN$110+1)-INDEX($F$4:$N$4,0,AN$110))+AM114)))</f>
        <v>5.4622162058432204</v>
      </c>
      <c r="AO114" s="9" cm="1">
        <f t="array" ref="AO114">IF(AO$110=-1,AP114,IF(AO$110=99,AN114,IF(AO$110=0,INDEX($F95:$N95,0,AO$108),(INDEX($F95:$N95,0,AO$110+1)-INDEX($F95:$N95,0,AO$110))/(INDEX($F$4:$N$4,0,AO$110+1)-INDEX($F$4:$N$4,0,AO$110))+AN114)))</f>
        <v>5.6103757950930744</v>
      </c>
      <c r="AP114" s="9" cm="1">
        <f t="array" ref="AP114">IF(AP$110=-1,AQ114,IF(AP$110=99,AO114,IF(AP$110=0,INDEX($F95:$N95,0,AP$108),(INDEX($F95:$N95,0,AP$110+1)-INDEX($F95:$N95,0,AP$110))/(INDEX($F$4:$N$4,0,AP$110+1)-INDEX($F$4:$N$4,0,AP$110))+AO114)))</f>
        <v>5.7585353843429283</v>
      </c>
      <c r="AQ114" s="9" cm="1">
        <f t="array" ref="AQ114">IF(AQ$110=-1,AR114,IF(AQ$110=99,AP114,IF(AQ$110=0,INDEX($F95:$N95,0,AQ$108),(INDEX($F95:$N95,0,AQ$110+1)-INDEX($F95:$N95,0,AQ$110))/(INDEX($F$4:$N$4,0,AQ$110+1)-INDEX($F$4:$N$4,0,AQ$110))+AP114)))</f>
        <v>5.9066949735927823</v>
      </c>
      <c r="AR114" s="9" cm="1">
        <f t="array" ref="AR114">IF(AR$110=-1,AS114,IF(AR$110=99,AQ114,IF(AR$110=0,INDEX($F95:$N95,0,AR$108),(INDEX($F95:$N95,0,AR$110+1)-INDEX($F95:$N95,0,AR$110))/(INDEX($F$4:$N$4,0,AR$110+1)-INDEX($F$4:$N$4,0,AR$110))+AQ114)))</f>
        <v>6.0548545628426362</v>
      </c>
      <c r="AS114" s="9" cm="1">
        <f t="array" ref="AS114">IF(AS$110=-1,AT114,IF(AS$110=99,AR114,IF(AS$110=0,INDEX($F95:$N95,0,AS$108),(INDEX($F95:$N95,0,AS$110+1)-INDEX($F95:$N95,0,AS$110))/(INDEX($F$4:$N$4,0,AS$110+1)-INDEX($F$4:$N$4,0,AS$110))+AR114)))</f>
        <v>6.2030141520924902</v>
      </c>
      <c r="AT114" s="9" cm="1">
        <f t="array" ref="AT114">IF(AT$110=-1,AU114,IF(AT$110=99,AS114,IF(AT$110=0,INDEX($F95:$N95,0,AT$108),(INDEX($F95:$N95,0,AT$110+1)-INDEX($F95:$N95,0,AT$110))/(INDEX($F$4:$N$4,0,AT$110+1)-INDEX($F$4:$N$4,0,AT$110))+AS114)))</f>
        <v>6.3511737413423441</v>
      </c>
      <c r="AU114" s="9" cm="1">
        <f t="array" ref="AU114">IF(AU$110=-1,AV114,IF(AU$110=99,AT114,IF(AU$110=0,INDEX($F95:$N95,0,AU$108),(INDEX($F95:$N95,0,AU$110+1)-INDEX($F95:$N95,0,AU$110))/(INDEX($F$4:$N$4,0,AU$110+1)-INDEX($F$4:$N$4,0,AU$110))+AT114)))</f>
        <v>6.4993333305921981</v>
      </c>
      <c r="AV114" s="9" cm="1">
        <f t="array" ref="AV114">IF(AV$110=-1,AW114,IF(AV$110=99,AU114,IF(AV$110=0,INDEX($F95:$N95,0,AV$108),(INDEX($F95:$N95,0,AV$110+1)-INDEX($F95:$N95,0,AV$110))/(INDEX($F$4:$N$4,0,AV$110+1)-INDEX($F$4:$N$4,0,AV$110))+AU114)))</f>
        <v>6.647492919842052</v>
      </c>
      <c r="AW114" s="9" cm="1">
        <f t="array" ref="AW114">IF(AW$110=-1,AX114,IF(AW$110=99,AV114,IF(AW$110=0,INDEX($F95:$N95,0,AW$108),(INDEX($F95:$N95,0,AW$110+1)-INDEX($F95:$N95,0,AW$110))/(INDEX($F$4:$N$4,0,AW$110+1)-INDEX($F$4:$N$4,0,AW$110))+AV114)))</f>
        <v>6.795652509091906</v>
      </c>
      <c r="AX114" s="9" cm="1">
        <f t="array" ref="AX114">IF(AX$110=-1,AY114,IF(AX$110=99,AW114,IF(AX$110=0,INDEX($F95:$N95,0,AX$108),(INDEX($F95:$N95,0,AX$110+1)-INDEX($F95:$N95,0,AX$110))/(INDEX($F$4:$N$4,0,AX$110+1)-INDEX($F$4:$N$4,0,AX$110))+AW114)))</f>
        <v>6.9438120983417599</v>
      </c>
      <c r="AY114" s="9" cm="1">
        <f t="array" ref="AY114">IF(AY$110=-1,AZ114,IF(AY$110=99,AX114,IF(AY$110=0,INDEX($F95:$N95,0,AY$108),(INDEX($F95:$N95,0,AY$110+1)-INDEX($F95:$N95,0,AY$110))/(INDEX($F$4:$N$4,0,AY$110+1)-INDEX($F$4:$N$4,0,AY$110))+AX114)))</f>
        <v>8.4272497833767641</v>
      </c>
      <c r="AZ114" s="9" cm="1">
        <f t="array" ref="AZ114">IF(AZ$110=-1,BA114,IF(AZ$110=99,AY114,IF(AZ$110=0,INDEX($F95:$N95,0,AZ$108),(INDEX($F95:$N95,0,AZ$110+1)-INDEX($F95:$N95,0,AZ$110))/(INDEX($F$4:$N$4,0,AZ$110+1)-INDEX($F$4:$N$4,0,AZ$110))+AY114)))</f>
        <v>9.0530800527703548</v>
      </c>
    </row>
    <row r="115" spans="1:52" ht="15">
      <c r="A115" s="103" t="s">
        <v>16</v>
      </c>
      <c r="B115" s="20" t="str">
        <f t="shared" si="320"/>
        <v/>
      </c>
      <c r="C115" s="21" t="str">
        <f t="shared" si="321"/>
        <v/>
      </c>
      <c r="D115" s="48" t="s">
        <v>399</v>
      </c>
      <c r="E115" s="21" t="str">
        <f t="shared" si="322"/>
        <v/>
      </c>
      <c r="H115" s="21" t="str">
        <f t="shared" si="322"/>
        <v/>
      </c>
      <c r="J115" s="21" t="str">
        <f t="shared" si="322"/>
        <v/>
      </c>
      <c r="K115" s="21" t="str">
        <f t="shared" si="322"/>
        <v/>
      </c>
      <c r="L115" s="110" t="str">
        <f t="shared" si="323"/>
        <v/>
      </c>
      <c r="M115" s="9" cm="1">
        <f t="array" ref="M115">IF(M$110=-1,N115,IF(M$110=99,#REF!,IF(M$110=0,INDEX($F96:$N96,0,M$108),(INDEX($F96:$N96,0,M$110+1)-INDEX($F96:$N96,0,M$110))/(INDEX($F$4:$N$4,0,M$110+1)-INDEX($F$4:$N$4,0,M$110))+#REF!)))</f>
        <v>0.59840698910616097</v>
      </c>
      <c r="N115" s="9" cm="1">
        <f t="array" ref="N115">IF(N$110=-1,O115,IF(N$110=99,M115,IF(N$110=0,INDEX($F96:$N96,0,N$108),(INDEX($F96:$N96,0,N$110+1)-INDEX($F96:$N96,0,N$110))/(INDEX($F$4:$N$4,0,N$110+1)-INDEX($F$4:$N$4,0,N$110))+M115)))</f>
        <v>0.6021313318591881</v>
      </c>
      <c r="O115" s="9" cm="1">
        <f t="array" ref="O115">IF(O$110=-1,P115,IF(O$110=99,N115,IF(O$110=0,INDEX($F96:$N96,0,O$108),(INDEX($F96:$N96,0,O$110+1)-INDEX($F96:$N96,0,O$110))/(INDEX($F$4:$N$4,0,O$110+1)-INDEX($F$4:$N$4,0,O$110))+N115)))</f>
        <v>0.60585567461221534</v>
      </c>
      <c r="P115" s="9" cm="1">
        <f t="array" ref="P115">IF(P$110=-1,S115,IF(P$110=99,O115,IF(P$110=0,INDEX($F96:$N96,0,P$108),(INDEX($F96:$N96,0,P$110+1)-INDEX($F96:$N96,0,P$110))/(INDEX($F$4:$N$4,0,P$110+1)-INDEX($F$4:$N$4,0,P$110))+O115)))</f>
        <v>0.58333949369060389</v>
      </c>
      <c r="Q115" s="9" cm="1">
        <f t="array" ref="Q115">IF(Q$110=-1,R115,IF(Q$110=99,N115,IF(Q$110=0,INDEX($F96:$N96,0,Q$108),(INDEX($F96:$N96,0,Q$110+1)-INDEX($F96:$N96,0,Q$110))/(INDEX($F$4:$N$4,0,Q$110+1)-INDEX($F$4:$N$4,0,Q$110))+N115)))</f>
        <v>0.60585567461221534</v>
      </c>
      <c r="R115" s="9" cm="1">
        <f t="array" ref="R115">IF(R$110=-1,S115,IF(R$110=99,O115,IF(R$110=0,INDEX($F96:$N96,0,R$108),(INDEX($F96:$N96,0,R$110+1)-INDEX($F96:$N96,0,R$110))/(INDEX($F$4:$N$4,0,R$110+1)-INDEX($F$4:$N$4,0,R$110))+O115)))</f>
        <v>0.58333949369060389</v>
      </c>
      <c r="S115" s="9" cm="1">
        <f t="array" ref="S115">IF(S$110=-1,T115,IF(S$110=99,P115,IF(S$110=0,INDEX($F96:$N96,0,S$108),(INDEX($F96:$N96,0,S$110+1)-INDEX($F96:$N96,0,S$110))/(INDEX($F$4:$N$4,0,S$110+1)-INDEX($F$4:$N$4,0,S$110))+P115)))</f>
        <v>0.61162423807688249</v>
      </c>
      <c r="T115" s="9" cm="1">
        <f t="array" ref="T115">IF(T$110=-1,U115,IF(T$110=99,S115,IF(T$110=0,INDEX($F96:$N96,0,T$108),(INDEX($F96:$N96,0,T$110+1)-INDEX($F96:$N96,0,T$110))/(INDEX($F$4:$N$4,0,T$110+1)-INDEX($F$4:$N$4,0,T$110))+S115)))</f>
        <v>0.62778430991961154</v>
      </c>
      <c r="U115" s="9" cm="1">
        <f t="array" ref="U115">IF(U$110=-1,V115,IF(U$110=99,T115,IF(U$110=0,INDEX($F96:$N96,0,U$108),(INDEX($F96:$N96,0,U$110+1)-INDEX($F96:$N96,0,U$110))/(INDEX($F$4:$N$4,0,U$110+1)-INDEX($F$4:$N$4,0,U$110))+T115)))</f>
        <v>0.64394438176234059</v>
      </c>
      <c r="V115" s="9" cm="1">
        <f t="array" ref="V115">IF(V$110=-1,W115,IF(V$110=99,U115,IF(V$110=0,INDEX($F96:$N96,0,V$108),(INDEX($F96:$N96,0,V$110+1)-INDEX($F96:$N96,0,V$110))/(INDEX($F$4:$N$4,0,V$110+1)-INDEX($F$4:$N$4,0,V$110))+U115)))</f>
        <v>0.66010445360506964</v>
      </c>
      <c r="W115" s="9" cm="1">
        <f t="array" ref="W115">IF(W$110=-1,X115,IF(W$110=99,V115,IF(W$110=0,INDEX($F96:$N96,0,W$108),(INDEX($F96:$N96,0,W$110+1)-INDEX($F96:$N96,0,W$110))/(INDEX($F$4:$N$4,0,W$110+1)-INDEX($F$4:$N$4,0,W$110))+V115)))</f>
        <v>0.67626452544779869</v>
      </c>
      <c r="X115" s="9" cm="1">
        <f t="array" ref="X115">IF(X$110=-1,Y115,IF(X$110=99,W115,IF(X$110=0,INDEX($F96:$N96,0,X$108),(INDEX($F96:$N96,0,X$110+1)-INDEX($F96:$N96,0,X$110))/(INDEX($F$4:$N$4,0,X$110+1)-INDEX($F$4:$N$4,0,X$110))+W115)))</f>
        <v>0.69242459729052774</v>
      </c>
      <c r="Y115" s="9" cm="1">
        <f t="array" ref="Y115">IF(Y$110=-1,Z115,IF(Y$110=99,X115,IF(Y$110=0,INDEX($F96:$N96,0,Y$108),(INDEX($F96:$N96,0,Y$110+1)-INDEX($F96:$N96,0,Y$110))/(INDEX($F$4:$N$4,0,Y$110+1)-INDEX($F$4:$N$4,0,Y$110))+X115)))</f>
        <v>0.70858466913325679</v>
      </c>
      <c r="Z115" s="9" cm="1">
        <f t="array" ref="Z115">IF(Z$110=-1,AC115,IF(Z$110=99,Y115,IF(Z$110=0,INDEX($F96:$N96,0,Z$108),(INDEX($F96:$N96,0,Z$110+1)-INDEX($F96:$N96,0,Z$110))/(INDEX($F$4:$N$4,0,Z$110+1)-INDEX($F$4:$N$4,0,Z$110))+Y115)))</f>
        <v>0.72474474097598585</v>
      </c>
      <c r="AA115" s="9" cm="1">
        <f t="array" ref="AA115">IF(AA$110=-1,AB115,IF(AA$110=99,X115,IF(AA$110=0,INDEX($F96:$N96,0,AA$108),(INDEX($F96:$N96,0,AA$110+1)-INDEX($F96:$N96,0,AA$110))/(INDEX($F$4:$N$4,0,AA$110+1)-INDEX($F$4:$N$4,0,AA$110))+X115)))</f>
        <v>0.70858466913325679</v>
      </c>
      <c r="AB115" s="9" cm="1">
        <f t="array" ref="AB115">IF(AB$110=-1,AC115,IF(AB$110=99,Y115,IF(AB$110=0,INDEX($F96:$N96,0,AB$108),(INDEX($F96:$N96,0,AB$110+1)-INDEX($F96:$N96,0,AB$110))/(INDEX($F$4:$N$4,0,AB$110+1)-INDEX($F$4:$N$4,0,AB$110))+Y115)))</f>
        <v>0.72474474097598585</v>
      </c>
      <c r="AC115" s="9" cm="1">
        <f t="array" ref="AC115">IF(AC$110=-1,AD115,IF(AC$110=99,Z115,IF(AC$110=0,INDEX($F96:$N96,0,AC$108),(INDEX($F96:$N96,0,AC$110+1)-INDEX($F96:$N96,0,AC$110))/(INDEX($F$4:$N$4,0,AC$110+1)-INDEX($F$4:$N$4,0,AC$110))+Z115)))</f>
        <v>0.7409048128187149</v>
      </c>
      <c r="AD115" s="9" cm="1">
        <f t="array" ref="AD115">IF(AD$110=-1,AE115,IF(AD$110=99,AC115,IF(AD$110=0,INDEX($F96:$N96,0,AD$108),(INDEX($F96:$N96,0,AD$110+1)-INDEX($F96:$N96,0,AD$110))/(INDEX($F$4:$N$4,0,AD$110+1)-INDEX($F$4:$N$4,0,AD$110))+AC115)))</f>
        <v>0.75706488466144362</v>
      </c>
      <c r="AE115" s="9" cm="1">
        <f t="array" ref="AE115">IF(AE$110=-1,AF115,IF(AE$110=99,AD115,IF(AE$110=0,INDEX($F96:$N96,0,AE$108),(INDEX($F96:$N96,0,AE$110+1)-INDEX($F96:$N96,0,AE$110))/(INDEX($F$4:$N$4,0,AE$110+1)-INDEX($F$4:$N$4,0,AE$110))+AD115)))</f>
        <v>0.78042712233646472</v>
      </c>
      <c r="AF115" s="9" cm="1">
        <f t="array" ref="AF115">IF(AF$110=-1,AG115,IF(AF$110=99,AE115,IF(AF$110=0,INDEX($F96:$N96,0,AF$108),(INDEX($F96:$N96,0,AF$110+1)-INDEX($F96:$N96,0,AF$110))/(INDEX($F$4:$N$4,0,AF$110+1)-INDEX($F$4:$N$4,0,AF$110))+AE115)))</f>
        <v>0.80378936001148582</v>
      </c>
      <c r="AG115" s="9" cm="1">
        <f t="array" ref="AG115">IF(AG$110=-1,AH115,IF(AG$110=99,AF115,IF(AG$110=0,INDEX($F96:$N96,0,AG$108),(INDEX($F96:$N96,0,AG$110+1)-INDEX($F96:$N96,0,AG$110))/(INDEX($F$4:$N$4,0,AG$110+1)-INDEX($F$4:$N$4,0,AG$110))+AF115)))</f>
        <v>0.82715159768650692</v>
      </c>
      <c r="AH115" s="9" cm="1">
        <f t="array" ref="AH115">IF(AH$110=-1,AI115,IF(AH$110=99,AG115,IF(AH$110=0,INDEX($F96:$N96,0,AH$108),(INDEX($F96:$N96,0,AH$110+1)-INDEX($F96:$N96,0,AH$110))/(INDEX($F$4:$N$4,0,AH$110+1)-INDEX($F$4:$N$4,0,AH$110))+AG115)))</f>
        <v>0.85051383536152803</v>
      </c>
      <c r="AI115" s="9" cm="1">
        <f t="array" ref="AI115">IF(AI$110=-1,AJ115,IF(AI$110=99,AH115,IF(AI$110=0,INDEX($F96:$N96,0,AI$108),(INDEX($F96:$N96,0,AI$110+1)-INDEX($F96:$N96,0,AI$110))/(INDEX($F$4:$N$4,0,AI$110+1)-INDEX($F$4:$N$4,0,AI$110))+AH115)))</f>
        <v>0.87387607303654913</v>
      </c>
      <c r="AJ115" s="9" cm="1">
        <f t="array" ref="AJ115">IF(AJ$110=-1,AK115,IF(AJ$110=99,AI115,IF(AJ$110=0,INDEX($F96:$N96,0,AJ$108),(INDEX($F96:$N96,0,AJ$110+1)-INDEX($F96:$N96,0,AJ$110))/(INDEX($F$4:$N$4,0,AJ$110+1)-INDEX($F$4:$N$4,0,AJ$110))+AI115)))</f>
        <v>0.89723831071157023</v>
      </c>
      <c r="AK115" s="9" cm="1">
        <f t="array" ref="AK115">IF(AK$110=-1,AL115,IF(AK$110=99,AJ115,IF(AK$110=0,INDEX($F96:$N96,0,AK$108),(INDEX($F96:$N96,0,AK$110+1)-INDEX($F96:$N96,0,AK$110))/(INDEX($F$4:$N$4,0,AK$110+1)-INDEX($F$4:$N$4,0,AK$110))+AJ115)))</f>
        <v>0.92060054838659133</v>
      </c>
      <c r="AL115" s="9" cm="1">
        <f t="array" ref="AL115">IF(AL$110=-1,AM115,IF(AL$110=99,AK115,IF(AL$110=0,INDEX($F96:$N96,0,AL$108),(INDEX($F96:$N96,0,AL$110+1)-INDEX($F96:$N96,0,AL$110))/(INDEX($F$4:$N$4,0,AL$110+1)-INDEX($F$4:$N$4,0,AL$110))+AK115)))</f>
        <v>0.94396278606161244</v>
      </c>
      <c r="AM115" s="9" cm="1">
        <f t="array" ref="AM115">IF(AM$110=-1,AN115,IF(AM$110=99,AL115,IF(AM$110=0,INDEX($F96:$N96,0,AM$108),(INDEX($F96:$N96,0,AM$110+1)-INDEX($F96:$N96,0,AM$110))/(INDEX($F$4:$N$4,0,AM$110+1)-INDEX($F$4:$N$4,0,AM$110))+AL115)))</f>
        <v>0.96732502373663354</v>
      </c>
      <c r="AN115" s="9" cm="1">
        <f t="array" ref="AN115">IF(AN$110=-1,AO115,IF(AN$110=99,AM115,IF(AN$110=0,INDEX($F96:$N96,0,AN$108),(INDEX($F96:$N96,0,AN$110+1)-INDEX($F96:$N96,0,AN$110))/(INDEX($F$4:$N$4,0,AN$110+1)-INDEX($F$4:$N$4,0,AN$110))+AM115)))</f>
        <v>0.99068726141165409</v>
      </c>
      <c r="AO115" s="9" cm="1">
        <f t="array" ref="AO115">IF(AO$110=-1,AP115,IF(AO$110=99,AN115,IF(AO$110=0,INDEX($F96:$N96,0,AO$108),(INDEX($F96:$N96,0,AO$110+1)-INDEX($F96:$N96,0,AO$110))/(INDEX($F$4:$N$4,0,AO$110+1)-INDEX($F$4:$N$4,0,AO$110))+AN115)))</f>
        <v>1.0175591046698531</v>
      </c>
      <c r="AP115" s="9" cm="1">
        <f t="array" ref="AP115">IF(AP$110=-1,AQ115,IF(AP$110=99,AO115,IF(AP$110=0,INDEX($F96:$N96,0,AP$108),(INDEX($F96:$N96,0,AP$110+1)-INDEX($F96:$N96,0,AP$110))/(INDEX($F$4:$N$4,0,AP$110+1)-INDEX($F$4:$N$4,0,AP$110))+AO115)))</f>
        <v>1.044430947928052</v>
      </c>
      <c r="AQ115" s="9" cm="1">
        <f t="array" ref="AQ115">IF(AQ$110=-1,AR115,IF(AQ$110=99,AP115,IF(AQ$110=0,INDEX($F96:$N96,0,AQ$108),(INDEX($F96:$N96,0,AQ$110+1)-INDEX($F96:$N96,0,AQ$110))/(INDEX($F$4:$N$4,0,AQ$110+1)-INDEX($F$4:$N$4,0,AQ$110))+AP115)))</f>
        <v>1.0713027911862509</v>
      </c>
      <c r="AR115" s="9" cm="1">
        <f t="array" ref="AR115">IF(AR$110=-1,AS115,IF(AR$110=99,AQ115,IF(AR$110=0,INDEX($F96:$N96,0,AR$108),(INDEX($F96:$N96,0,AR$110+1)-INDEX($F96:$N96,0,AR$110))/(INDEX($F$4:$N$4,0,AR$110+1)-INDEX($F$4:$N$4,0,AR$110))+AQ115)))</f>
        <v>1.0981746344444498</v>
      </c>
      <c r="AS115" s="9" cm="1">
        <f t="array" ref="AS115">IF(AS$110=-1,AT115,IF(AS$110=99,AR115,IF(AS$110=0,INDEX($F96:$N96,0,AS$108),(INDEX($F96:$N96,0,AS$110+1)-INDEX($F96:$N96,0,AS$110))/(INDEX($F$4:$N$4,0,AS$110+1)-INDEX($F$4:$N$4,0,AS$110))+AR115)))</f>
        <v>1.1250464777026488</v>
      </c>
      <c r="AT115" s="9" cm="1">
        <f t="array" ref="AT115">IF(AT$110=-1,AU115,IF(AT$110=99,AS115,IF(AT$110=0,INDEX($F96:$N96,0,AT$108),(INDEX($F96:$N96,0,AT$110+1)-INDEX($F96:$N96,0,AT$110))/(INDEX($F$4:$N$4,0,AT$110+1)-INDEX($F$4:$N$4,0,AT$110))+AS115)))</f>
        <v>1.1519183209608477</v>
      </c>
      <c r="AU115" s="9" cm="1">
        <f t="array" ref="AU115">IF(AU$110=-1,AV115,IF(AU$110=99,AT115,IF(AU$110=0,INDEX($F96:$N96,0,AU$108),(INDEX($F96:$N96,0,AU$110+1)-INDEX($F96:$N96,0,AU$110))/(INDEX($F$4:$N$4,0,AU$110+1)-INDEX($F$4:$N$4,0,AU$110))+AT115)))</f>
        <v>1.1787901642190466</v>
      </c>
      <c r="AV115" s="9" cm="1">
        <f t="array" ref="AV115">IF(AV$110=-1,AW115,IF(AV$110=99,AU115,IF(AV$110=0,INDEX($F96:$N96,0,AV$108),(INDEX($F96:$N96,0,AV$110+1)-INDEX($F96:$N96,0,AV$110))/(INDEX($F$4:$N$4,0,AV$110+1)-INDEX($F$4:$N$4,0,AV$110))+AU115)))</f>
        <v>1.2056620074772455</v>
      </c>
      <c r="AW115" s="9" cm="1">
        <f t="array" ref="AW115">IF(AW$110=-1,AX115,IF(AW$110=99,AV115,IF(AW$110=0,INDEX($F96:$N96,0,AW$108),(INDEX($F96:$N96,0,AW$110+1)-INDEX($F96:$N96,0,AW$110))/(INDEX($F$4:$N$4,0,AW$110+1)-INDEX($F$4:$N$4,0,AW$110))+AV115)))</f>
        <v>1.2325338507354444</v>
      </c>
      <c r="AX115" s="9" cm="1">
        <f t="array" ref="AX115">IF(AX$110=-1,AY115,IF(AX$110=99,AW115,IF(AX$110=0,INDEX($F96:$N96,0,AX$108),(INDEX($F96:$N96,0,AX$110+1)-INDEX($F96:$N96,0,AX$110))/(INDEX($F$4:$N$4,0,AX$110+1)-INDEX($F$4:$N$4,0,AX$110))+AW115)))</f>
        <v>1.2594056939936438</v>
      </c>
      <c r="AY115" s="9" cm="1">
        <f t="array" ref="AY115">IF(AY$110=-1,AZ115,IF(AY$110=99,AX115,IF(AY$110=0,INDEX($F96:$N96,0,AY$108),(INDEX($F96:$N96,0,AY$110+1)-INDEX($F96:$N96,0,AY$110))/(INDEX($F$4:$N$4,0,AY$110+1)-INDEX($F$4:$N$4,0,AY$110))+AX115)))</f>
        <v>1.5284581742103804</v>
      </c>
      <c r="AZ115" s="9" cm="1">
        <f t="array" ref="AZ115">IF(AZ$110=-1,BA115,IF(AZ$110=99,AY115,IF(AZ$110=0,INDEX($F96:$N96,0,AZ$108),(INDEX($F96:$N96,0,AZ$110+1)-INDEX($F96:$N96,0,AZ$110))/(INDEX($F$4:$N$4,0,AZ$110+1)-INDEX($F$4:$N$4,0,AZ$110))+AY115)))</f>
        <v>1.641965595434536</v>
      </c>
    </row>
    <row r="116" spans="1:52" ht="15">
      <c r="A116" s="103" t="s">
        <v>16</v>
      </c>
      <c r="B116" s="20" t="str">
        <f t="shared" si="320"/>
        <v/>
      </c>
      <c r="C116" s="21" t="str">
        <f t="shared" si="321"/>
        <v/>
      </c>
      <c r="D116" s="48" t="s">
        <v>400</v>
      </c>
      <c r="E116" s="21" t="str">
        <f t="shared" si="322"/>
        <v/>
      </c>
      <c r="H116" s="21" t="str">
        <f t="shared" si="322"/>
        <v/>
      </c>
      <c r="J116" s="21" t="str">
        <f t="shared" si="322"/>
        <v/>
      </c>
      <c r="K116" s="21" t="str">
        <f t="shared" si="322"/>
        <v/>
      </c>
      <c r="L116" s="110" t="str">
        <f t="shared" si="323"/>
        <v/>
      </c>
      <c r="M116" s="9" cm="1">
        <f t="array" ref="M116">IF(M$110=-1,N116,IF(M$110=99,#REF!,IF(M$110=0,INDEX($F97:$N97,0,M$108),(INDEX($F97:$N97,0,M$110+1)-INDEX($F97:$N97,0,M$110))/(INDEX($F$4:$N$4,0,M$110+1)-INDEX($F$4:$N$4,0,M$110))+#REF!)))</f>
        <v>0.29798809605332599</v>
      </c>
      <c r="N116" s="9" cm="1">
        <f t="array" ref="N116">IF(N$110=-1,O116,IF(N$110=99,M116,IF(N$110=0,INDEX($F97:$N97,0,N$108),(INDEX($F97:$N97,0,N$110+1)-INDEX($F97:$N97,0,N$110))/(INDEX($F$4:$N$4,0,N$110+1)-INDEX($F$4:$N$4,0,N$110))+M116)))</f>
        <v>0.29984270307869226</v>
      </c>
      <c r="O116" s="9" cm="1">
        <f t="array" ref="O116">IF(O$110=-1,P116,IF(O$110=99,N116,IF(O$110=0,INDEX($F97:$N97,0,O$108),(INDEX($F97:$N97,0,O$110+1)-INDEX($F97:$N97,0,O$110))/(INDEX($F$4:$N$4,0,O$110+1)-INDEX($F$4:$N$4,0,O$110))+N116)))</f>
        <v>0.30169731010405854</v>
      </c>
      <c r="P116" s="9" cm="1">
        <f t="array" ref="P116">IF(P$110=-1,S116,IF(P$110=99,O116,IF(P$110=0,INDEX($F97:$N97,0,P$108),(INDEX($F97:$N97,0,P$110+1)-INDEX($F97:$N97,0,P$110))/(INDEX($F$4:$N$4,0,P$110+1)-INDEX($F$4:$N$4,0,P$110))+O116)))</f>
        <v>0.29048495128243912</v>
      </c>
      <c r="Q116" s="9" cm="1">
        <f t="array" ref="Q116">IF(Q$110=-1,R116,IF(Q$110=99,N116,IF(Q$110=0,INDEX($F97:$N97,0,Q$108),(INDEX($F97:$N97,0,Q$110+1)-INDEX($F97:$N97,0,Q$110))/(INDEX($F$4:$N$4,0,Q$110+1)-INDEX($F$4:$N$4,0,Q$110))+N116)))</f>
        <v>0.30169731010405854</v>
      </c>
      <c r="R116" s="9" cm="1">
        <f t="array" ref="R116">IF(R$110=-1,S116,IF(R$110=99,O116,IF(R$110=0,INDEX($F97:$N97,0,R$108),(INDEX($F97:$N97,0,R$110+1)-INDEX($F97:$N97,0,R$110))/(INDEX($F$4:$N$4,0,R$110+1)-INDEX($F$4:$N$4,0,R$110))+O116)))</f>
        <v>0.29048495128243912</v>
      </c>
      <c r="S116" s="9" cm="1">
        <f t="array" ref="S116">IF(S$110=-1,T116,IF(S$110=99,P116,IF(S$110=0,INDEX($F97:$N97,0,S$108),(INDEX($F97:$N97,0,S$110+1)-INDEX($F97:$N97,0,S$110))/(INDEX($F$4:$N$4,0,S$110+1)-INDEX($F$4:$N$4,0,S$110))+P116)))</f>
        <v>0.30456987555715687</v>
      </c>
      <c r="T116" s="9" cm="1">
        <f t="array" ref="T116">IF(T$110=-1,U116,IF(T$110=99,S116,IF(T$110=0,INDEX($F97:$N97,0,T$108),(INDEX($F97:$N97,0,T$110+1)-INDEX($F97:$N97,0,T$110))/(INDEX($F$4:$N$4,0,T$110+1)-INDEX($F$4:$N$4,0,T$110))+S116)))</f>
        <v>0.31261708945700234</v>
      </c>
      <c r="U116" s="9" cm="1">
        <f t="array" ref="U116">IF(U$110=-1,V116,IF(U$110=99,T116,IF(U$110=0,INDEX($F97:$N97,0,U$108),(INDEX($F97:$N97,0,U$110+1)-INDEX($F97:$N97,0,U$110))/(INDEX($F$4:$N$4,0,U$110+1)-INDEX($F$4:$N$4,0,U$110))+T116)))</f>
        <v>0.32066430335684781</v>
      </c>
      <c r="V116" s="9" cm="1">
        <f t="array" ref="V116">IF(V$110=-1,W116,IF(V$110=99,U116,IF(V$110=0,INDEX($F97:$N97,0,V$108),(INDEX($F97:$N97,0,V$110+1)-INDEX($F97:$N97,0,V$110))/(INDEX($F$4:$N$4,0,V$110+1)-INDEX($F$4:$N$4,0,V$110))+U116)))</f>
        <v>0.32871151725669329</v>
      </c>
      <c r="W116" s="9" cm="1">
        <f t="array" ref="W116">IF(W$110=-1,X116,IF(W$110=99,V116,IF(W$110=0,INDEX($F97:$N97,0,W$108),(INDEX($F97:$N97,0,W$110+1)-INDEX($F97:$N97,0,W$110))/(INDEX($F$4:$N$4,0,W$110+1)-INDEX($F$4:$N$4,0,W$110))+V116)))</f>
        <v>0.33675873115653876</v>
      </c>
      <c r="X116" s="9" cm="1">
        <f t="array" ref="X116">IF(X$110=-1,Y116,IF(X$110=99,W116,IF(X$110=0,INDEX($F97:$N97,0,X$108),(INDEX($F97:$N97,0,X$110+1)-INDEX($F97:$N97,0,X$110))/(INDEX($F$4:$N$4,0,X$110+1)-INDEX($F$4:$N$4,0,X$110))+W116)))</f>
        <v>0.34480594505638423</v>
      </c>
      <c r="Y116" s="9" cm="1">
        <f t="array" ref="Y116">IF(Y$110=-1,Z116,IF(Y$110=99,X116,IF(Y$110=0,INDEX($F97:$N97,0,Y$108),(INDEX($F97:$N97,0,Y$110+1)-INDEX($F97:$N97,0,Y$110))/(INDEX($F$4:$N$4,0,Y$110+1)-INDEX($F$4:$N$4,0,Y$110))+X116)))</f>
        <v>0.35285315895622971</v>
      </c>
      <c r="Z116" s="9" cm="1">
        <f t="array" ref="Z116">IF(Z$110=-1,AC116,IF(Z$110=99,Y116,IF(Z$110=0,INDEX($F97:$N97,0,Z$108),(INDEX($F97:$N97,0,Z$110+1)-INDEX($F97:$N97,0,Z$110))/(INDEX($F$4:$N$4,0,Z$110+1)-INDEX($F$4:$N$4,0,Z$110))+Y116)))</f>
        <v>0.36090037285607518</v>
      </c>
      <c r="AA116" s="9" cm="1">
        <f t="array" ref="AA116">IF(AA$110=-1,AB116,IF(AA$110=99,X116,IF(AA$110=0,INDEX($F97:$N97,0,AA$108),(INDEX($F97:$N97,0,AA$110+1)-INDEX($F97:$N97,0,AA$110))/(INDEX($F$4:$N$4,0,AA$110+1)-INDEX($F$4:$N$4,0,AA$110))+X116)))</f>
        <v>0.35285315895622971</v>
      </c>
      <c r="AB116" s="9" cm="1">
        <f t="array" ref="AB116">IF(AB$110=-1,AC116,IF(AB$110=99,Y116,IF(AB$110=0,INDEX($F97:$N97,0,AB$108),(INDEX($F97:$N97,0,AB$110+1)-INDEX($F97:$N97,0,AB$110))/(INDEX($F$4:$N$4,0,AB$110+1)-INDEX($F$4:$N$4,0,AB$110))+Y116)))</f>
        <v>0.36090037285607518</v>
      </c>
      <c r="AC116" s="9" cm="1">
        <f t="array" ref="AC116">IF(AC$110=-1,AD116,IF(AC$110=99,Z116,IF(AC$110=0,INDEX($F97:$N97,0,AC$108),(INDEX($F97:$N97,0,AC$110+1)-INDEX($F97:$N97,0,AC$110))/(INDEX($F$4:$N$4,0,AC$110+1)-INDEX($F$4:$N$4,0,AC$110))+Z116)))</f>
        <v>0.36894758675592065</v>
      </c>
      <c r="AD116" s="9" cm="1">
        <f t="array" ref="AD116">IF(AD$110=-1,AE116,IF(AD$110=99,AC116,IF(AD$110=0,INDEX($F97:$N97,0,AD$108),(INDEX($F97:$N97,0,AD$110+1)-INDEX($F97:$N97,0,AD$110))/(INDEX($F$4:$N$4,0,AD$110+1)-INDEX($F$4:$N$4,0,AD$110))+AC116)))</f>
        <v>0.37699480065576624</v>
      </c>
      <c r="AE116" s="9" cm="1">
        <f t="array" ref="AE116">IF(AE$110=-1,AF116,IF(AE$110=99,AD116,IF(AE$110=0,INDEX($F97:$N97,0,AE$108),(INDEX($F97:$N97,0,AE$110+1)-INDEX($F97:$N97,0,AE$110))/(INDEX($F$4:$N$4,0,AE$110+1)-INDEX($F$4:$N$4,0,AE$110))+AD116)))</f>
        <v>0.38862846946488799</v>
      </c>
      <c r="AF116" s="9" cm="1">
        <f t="array" ref="AF116">IF(AF$110=-1,AG116,IF(AF$110=99,AE116,IF(AF$110=0,INDEX($F97:$N97,0,AF$108),(INDEX($F97:$N97,0,AF$110+1)-INDEX($F97:$N97,0,AF$110))/(INDEX($F$4:$N$4,0,AF$110+1)-INDEX($F$4:$N$4,0,AF$110))+AE116)))</f>
        <v>0.40026213827400975</v>
      </c>
      <c r="AG116" s="9" cm="1">
        <f t="array" ref="AG116">IF(AG$110=-1,AH116,IF(AG$110=99,AF116,IF(AG$110=0,INDEX($F97:$N97,0,AG$108),(INDEX($F97:$N97,0,AG$110+1)-INDEX($F97:$N97,0,AG$110))/(INDEX($F$4:$N$4,0,AG$110+1)-INDEX($F$4:$N$4,0,AG$110))+AF116)))</f>
        <v>0.4118958070831315</v>
      </c>
      <c r="AH116" s="9" cm="1">
        <f t="array" ref="AH116">IF(AH$110=-1,AI116,IF(AH$110=99,AG116,IF(AH$110=0,INDEX($F97:$N97,0,AH$108),(INDEX($F97:$N97,0,AH$110+1)-INDEX($F97:$N97,0,AH$110))/(INDEX($F$4:$N$4,0,AH$110+1)-INDEX($F$4:$N$4,0,AH$110))+AG116)))</f>
        <v>0.42352947589225326</v>
      </c>
      <c r="AI116" s="9" cm="1">
        <f t="array" ref="AI116">IF(AI$110=-1,AJ116,IF(AI$110=99,AH116,IF(AI$110=0,INDEX($F97:$N97,0,AI$108),(INDEX($F97:$N97,0,AI$110+1)-INDEX($F97:$N97,0,AI$110))/(INDEX($F$4:$N$4,0,AI$110+1)-INDEX($F$4:$N$4,0,AI$110))+AH116)))</f>
        <v>0.43516314470137502</v>
      </c>
      <c r="AJ116" s="9" cm="1">
        <f t="array" ref="AJ116">IF(AJ$110=-1,AK116,IF(AJ$110=99,AI116,IF(AJ$110=0,INDEX($F97:$N97,0,AJ$108),(INDEX($F97:$N97,0,AJ$110+1)-INDEX($F97:$N97,0,AJ$110))/(INDEX($F$4:$N$4,0,AJ$110+1)-INDEX($F$4:$N$4,0,AJ$110))+AI116)))</f>
        <v>0.44679681351049677</v>
      </c>
      <c r="AK116" s="9" cm="1">
        <f t="array" ref="AK116">IF(AK$110=-1,AL116,IF(AK$110=99,AJ116,IF(AK$110=0,INDEX($F97:$N97,0,AK$108),(INDEX($F97:$N97,0,AK$110+1)-INDEX($F97:$N97,0,AK$110))/(INDEX($F$4:$N$4,0,AK$110+1)-INDEX($F$4:$N$4,0,AK$110))+AJ116)))</f>
        <v>0.45843048231961853</v>
      </c>
      <c r="AL116" s="9" cm="1">
        <f t="array" ref="AL116">IF(AL$110=-1,AM116,IF(AL$110=99,AK116,IF(AL$110=0,INDEX($F97:$N97,0,AL$108),(INDEX($F97:$N97,0,AL$110+1)-INDEX($F97:$N97,0,AL$110))/(INDEX($F$4:$N$4,0,AL$110+1)-INDEX($F$4:$N$4,0,AL$110))+AK116)))</f>
        <v>0.47006415112874028</v>
      </c>
      <c r="AM116" s="9" cm="1">
        <f t="array" ref="AM116">IF(AM$110=-1,AN116,IF(AM$110=99,AL116,IF(AM$110=0,INDEX($F97:$N97,0,AM$108),(INDEX($F97:$N97,0,AM$110+1)-INDEX($F97:$N97,0,AM$110))/(INDEX($F$4:$N$4,0,AM$110+1)-INDEX($F$4:$N$4,0,AM$110))+AL116)))</f>
        <v>0.48169781993786204</v>
      </c>
      <c r="AN116" s="9" cm="1">
        <f t="array" ref="AN116">IF(AN$110=-1,AO116,IF(AN$110=99,AM116,IF(AN$110=0,INDEX($F97:$N97,0,AN$108),(INDEX($F97:$N97,0,AN$110+1)-INDEX($F97:$N97,0,AN$110))/(INDEX($F$4:$N$4,0,AN$110+1)-INDEX($F$4:$N$4,0,AN$110))+AM116)))</f>
        <v>0.49333148874698374</v>
      </c>
      <c r="AO116" s="9" cm="1">
        <f t="array" ref="AO116">IF(AO$110=-1,AP116,IF(AO$110=99,AN116,IF(AO$110=0,INDEX($F97:$N97,0,AO$108),(INDEX($F97:$N97,0,AO$110+1)-INDEX($F97:$N97,0,AO$110))/(INDEX($F$4:$N$4,0,AO$110+1)-INDEX($F$4:$N$4,0,AO$110))+AN116)))</f>
        <v>0.50671283213990581</v>
      </c>
      <c r="AP116" s="9" cm="1">
        <f t="array" ref="AP116">IF(AP$110=-1,AQ116,IF(AP$110=99,AO116,IF(AP$110=0,INDEX($F97:$N97,0,AP$108),(INDEX($F97:$N97,0,AP$110+1)-INDEX($F97:$N97,0,AP$110))/(INDEX($F$4:$N$4,0,AP$110+1)-INDEX($F$4:$N$4,0,AP$110))+AO116)))</f>
        <v>0.52009417553282788</v>
      </c>
      <c r="AQ116" s="9" cm="1">
        <f t="array" ref="AQ116">IF(AQ$110=-1,AR116,IF(AQ$110=99,AP116,IF(AQ$110=0,INDEX($F97:$N97,0,AQ$108),(INDEX($F97:$N97,0,AQ$110+1)-INDEX($F97:$N97,0,AQ$110))/(INDEX($F$4:$N$4,0,AQ$110+1)-INDEX($F$4:$N$4,0,AQ$110))+AP116)))</f>
        <v>0.53347551892574996</v>
      </c>
      <c r="AR116" s="9" cm="1">
        <f t="array" ref="AR116">IF(AR$110=-1,AS116,IF(AR$110=99,AQ116,IF(AR$110=0,INDEX($F97:$N97,0,AR$108),(INDEX($F97:$N97,0,AR$110+1)-INDEX($F97:$N97,0,AR$110))/(INDEX($F$4:$N$4,0,AR$110+1)-INDEX($F$4:$N$4,0,AR$110))+AQ116)))</f>
        <v>0.54685686231867203</v>
      </c>
      <c r="AS116" s="9" cm="1">
        <f t="array" ref="AS116">IF(AS$110=-1,AT116,IF(AS$110=99,AR116,IF(AS$110=0,INDEX($F97:$N97,0,AS$108),(INDEX($F97:$N97,0,AS$110+1)-INDEX($F97:$N97,0,AS$110))/(INDEX($F$4:$N$4,0,AS$110+1)-INDEX($F$4:$N$4,0,AS$110))+AR116)))</f>
        <v>0.56023820571159411</v>
      </c>
      <c r="AT116" s="9" cm="1">
        <f t="array" ref="AT116">IF(AT$110=-1,AU116,IF(AT$110=99,AS116,IF(AT$110=0,INDEX($F97:$N97,0,AT$108),(INDEX($F97:$N97,0,AT$110+1)-INDEX($F97:$N97,0,AT$110))/(INDEX($F$4:$N$4,0,AT$110+1)-INDEX($F$4:$N$4,0,AT$110))+AS116)))</f>
        <v>0.57361954910451618</v>
      </c>
      <c r="AU116" s="9" cm="1">
        <f t="array" ref="AU116">IF(AU$110=-1,AV116,IF(AU$110=99,AT116,IF(AU$110=0,INDEX($F97:$N97,0,AU$108),(INDEX($F97:$N97,0,AU$110+1)-INDEX($F97:$N97,0,AU$110))/(INDEX($F$4:$N$4,0,AU$110+1)-INDEX($F$4:$N$4,0,AU$110))+AT116)))</f>
        <v>0.58700089249743825</v>
      </c>
      <c r="AV116" s="9" cm="1">
        <f t="array" ref="AV116">IF(AV$110=-1,AW116,IF(AV$110=99,AU116,IF(AV$110=0,INDEX($F97:$N97,0,AV$108),(INDEX($F97:$N97,0,AV$110+1)-INDEX($F97:$N97,0,AV$110))/(INDEX($F$4:$N$4,0,AV$110+1)-INDEX($F$4:$N$4,0,AV$110))+AU116)))</f>
        <v>0.60038223589036033</v>
      </c>
      <c r="AW116" s="9" cm="1">
        <f t="array" ref="AW116">IF(AW$110=-1,AX116,IF(AW$110=99,AV116,IF(AW$110=0,INDEX($F97:$N97,0,AW$108),(INDEX($F97:$N97,0,AW$110+1)-INDEX($F97:$N97,0,AW$110))/(INDEX($F$4:$N$4,0,AW$110+1)-INDEX($F$4:$N$4,0,AW$110))+AV116)))</f>
        <v>0.6137635792832824</v>
      </c>
      <c r="AX116" s="9" cm="1">
        <f t="array" ref="AX116">IF(AX$110=-1,AY116,IF(AX$110=99,AW116,IF(AX$110=0,INDEX($F97:$N97,0,AX$108),(INDEX($F97:$N97,0,AX$110+1)-INDEX($F97:$N97,0,AX$110))/(INDEX($F$4:$N$4,0,AX$110+1)-INDEX($F$4:$N$4,0,AX$110))+AW116)))</f>
        <v>0.62714492267620425</v>
      </c>
      <c r="AY116" s="9" cm="1">
        <f t="array" ref="AY116">IF(AY$110=-1,AZ116,IF(AY$110=99,AX116,IF(AY$110=0,INDEX($F97:$N97,0,AY$108),(INDEX($F97:$N97,0,AY$110+1)-INDEX($F97:$N97,0,AY$110))/(INDEX($F$4:$N$4,0,AY$110+1)-INDEX($F$4:$N$4,0,AY$110))+AX116)))</f>
        <v>0.76112470195312598</v>
      </c>
      <c r="AZ116" s="9" cm="1">
        <f t="array" ref="AZ116">IF(AZ$110=-1,BA116,IF(AZ$110=99,AY116,IF(AZ$110=0,INDEX($F97:$N97,0,AZ$108),(INDEX($F97:$N97,0,AZ$110+1)-INDEX($F97:$N97,0,AZ$110))/(INDEX($F$4:$N$4,0,AZ$110+1)-INDEX($F$4:$N$4,0,AZ$110))+AY116)))</f>
        <v>0.81764787256152993</v>
      </c>
    </row>
    <row r="117" spans="1:52" ht="15">
      <c r="A117" s="103" t="s">
        <v>16</v>
      </c>
      <c r="B117" s="20" t="str">
        <f t="shared" si="320"/>
        <v/>
      </c>
      <c r="C117" s="21" t="str">
        <f t="shared" si="321"/>
        <v/>
      </c>
      <c r="D117" s="48" t="s">
        <v>401</v>
      </c>
      <c r="E117" s="21" t="str">
        <f t="shared" si="322"/>
        <v/>
      </c>
      <c r="H117" s="21" t="str">
        <f t="shared" si="322"/>
        <v/>
      </c>
      <c r="J117" s="21" t="str">
        <f t="shared" si="322"/>
        <v/>
      </c>
      <c r="K117" s="21" t="str">
        <f t="shared" si="322"/>
        <v/>
      </c>
      <c r="L117" s="110" t="str">
        <f t="shared" si="323"/>
        <v/>
      </c>
      <c r="M117" s="9" cm="1">
        <f t="array" ref="M117">IF(M$110=-1,N117,IF(M$110=99,#REF!,IF(M$110=0,INDEX($F98:$N98,0,M$108),(INDEX($F98:$N98,0,M$110+1)-INDEX($F98:$N98,0,M$110))/(INDEX($F$4:$N$4,0,M$110+1)-INDEX($F$4:$N$4,0,M$110))+#REF!)))</f>
        <v>6.6621877646371201</v>
      </c>
      <c r="N117" s="9" cm="1">
        <f t="array" ref="N117">IF(N$110=-1,O117,IF(N$110=99,M117,IF(N$110=0,INDEX($F98:$N98,0,N$108),(INDEX($F98:$N98,0,N$110+1)-INDEX($F98:$N98,0,N$110))/(INDEX($F$4:$N$4,0,N$110+1)-INDEX($F$4:$N$4,0,N$110))+M117)))</f>
        <v>6.7819219966270463</v>
      </c>
      <c r="O117" s="9" cm="1">
        <f t="array" ref="O117">IF(O$110=-1,P117,IF(O$110=99,N117,IF(O$110=0,INDEX($F98:$N98,0,O$108),(INDEX($F98:$N98,0,O$110+1)-INDEX($F98:$N98,0,O$110))/(INDEX($F$4:$N$4,0,O$110+1)-INDEX($F$4:$N$4,0,O$110))+N117)))</f>
        <v>6.9016562286169734</v>
      </c>
      <c r="P117" s="9" cm="1">
        <f t="array" ref="P117">IF(P$110=-1,S117,IF(P$110=99,O117,IF(P$110=0,INDEX($F98:$N98,0,P$108),(INDEX($F98:$N98,0,P$110+1)-INDEX($F98:$N98,0,P$110))/(INDEX($F$4:$N$4,0,P$110+1)-INDEX($F$4:$N$4,0,P$110))+O117)))</f>
        <v>6.7116128591697501</v>
      </c>
      <c r="Q117" s="9" cm="1">
        <f t="array" ref="Q117">IF(Q$110=-1,R117,IF(Q$110=99,N117,IF(Q$110=0,INDEX($F98:$N98,0,Q$108),(INDEX($F98:$N98,0,Q$110+1)-INDEX($F98:$N98,0,Q$110))/(INDEX($F$4:$N$4,0,Q$110+1)-INDEX($F$4:$N$4,0,Q$110))+N117)))</f>
        <v>6.9016562286169734</v>
      </c>
      <c r="R117" s="9" cm="1">
        <f t="array" ref="R117">IF(R$110=-1,S117,IF(R$110=99,O117,IF(R$110=0,INDEX($F98:$N98,0,R$108),(INDEX($F98:$N98,0,R$110+1)-INDEX($F98:$N98,0,R$110))/(INDEX($F$4:$N$4,0,R$110+1)-INDEX($F$4:$N$4,0,R$110))+O117)))</f>
        <v>6.7116128591697501</v>
      </c>
      <c r="S117" s="9" cm="1">
        <f t="array" ref="S117">IF(S$110=-1,T117,IF(S$110=99,P117,IF(S$110=0,INDEX($F98:$N98,0,S$108),(INDEX($F98:$N98,0,S$110+1)-INDEX($F98:$N98,0,S$110))/(INDEX($F$4:$N$4,0,S$110+1)-INDEX($F$4:$N$4,0,S$110))+P117)))</f>
        <v>7.0834921296752222</v>
      </c>
      <c r="T117" s="9" cm="1">
        <f t="array" ref="T117">IF(T$110=-1,U117,IF(T$110=99,S117,IF(T$110=0,INDEX($F98:$N98,0,T$108),(INDEX($F98:$N98,0,T$110+1)-INDEX($F98:$N98,0,T$110))/(INDEX($F$4:$N$4,0,T$110+1)-INDEX($F$4:$N$4,0,T$110))+S117)))</f>
        <v>7.2329439666365554</v>
      </c>
      <c r="U117" s="9" cm="1">
        <f t="array" ref="U117">IF(U$110=-1,V117,IF(U$110=99,T117,IF(U$110=0,INDEX($F98:$N98,0,U$108),(INDEX($F98:$N98,0,U$110+1)-INDEX($F98:$N98,0,U$110))/(INDEX($F$4:$N$4,0,U$110+1)-INDEX($F$4:$N$4,0,U$110))+T117)))</f>
        <v>7.3823958035978885</v>
      </c>
      <c r="V117" s="9" cm="1">
        <f t="array" ref="V117">IF(V$110=-1,W117,IF(V$110=99,U117,IF(V$110=0,INDEX($F98:$N98,0,V$108),(INDEX($F98:$N98,0,V$110+1)-INDEX($F98:$N98,0,V$110))/(INDEX($F$4:$N$4,0,V$110+1)-INDEX($F$4:$N$4,0,V$110))+U117)))</f>
        <v>7.5318476405592216</v>
      </c>
      <c r="W117" s="9" cm="1">
        <f t="array" ref="W117">IF(W$110=-1,X117,IF(W$110=99,V117,IF(W$110=0,INDEX($F98:$N98,0,W$108),(INDEX($F98:$N98,0,W$110+1)-INDEX($F98:$N98,0,W$110))/(INDEX($F$4:$N$4,0,W$110+1)-INDEX($F$4:$N$4,0,W$110))+V117)))</f>
        <v>7.6812994775205548</v>
      </c>
      <c r="X117" s="9" cm="1">
        <f t="array" ref="X117">IF(X$110=-1,Y117,IF(X$110=99,W117,IF(X$110=0,INDEX($F98:$N98,0,X$108),(INDEX($F98:$N98,0,X$110+1)-INDEX($F98:$N98,0,X$110))/(INDEX($F$4:$N$4,0,X$110+1)-INDEX($F$4:$N$4,0,X$110))+W117)))</f>
        <v>7.8307513144818879</v>
      </c>
      <c r="Y117" s="9" cm="1">
        <f t="array" ref="Y117">IF(Y$110=-1,Z117,IF(Y$110=99,X117,IF(Y$110=0,INDEX($F98:$N98,0,Y$108),(INDEX($F98:$N98,0,Y$110+1)-INDEX($F98:$N98,0,Y$110))/(INDEX($F$4:$N$4,0,Y$110+1)-INDEX($F$4:$N$4,0,Y$110))+X117)))</f>
        <v>7.980203151443221</v>
      </c>
      <c r="Z117" s="9" cm="1">
        <f t="array" ref="Z117">IF(Z$110=-1,AC117,IF(Z$110=99,Y117,IF(Z$110=0,INDEX($F98:$N98,0,Z$108),(INDEX($F98:$N98,0,Z$110+1)-INDEX($F98:$N98,0,Z$110))/(INDEX($F$4:$N$4,0,Z$110+1)-INDEX($F$4:$N$4,0,Z$110))+Y117)))</f>
        <v>8.1296549884045533</v>
      </c>
      <c r="AA117" s="9" cm="1">
        <f t="array" ref="AA117">IF(AA$110=-1,AB117,IF(AA$110=99,X117,IF(AA$110=0,INDEX($F98:$N98,0,AA$108),(INDEX($F98:$N98,0,AA$110+1)-INDEX($F98:$N98,0,AA$110))/(INDEX($F$4:$N$4,0,AA$110+1)-INDEX($F$4:$N$4,0,AA$110))+X117)))</f>
        <v>7.980203151443221</v>
      </c>
      <c r="AB117" s="9" cm="1">
        <f t="array" ref="AB117">IF(AB$110=-1,AC117,IF(AB$110=99,Y117,IF(AB$110=0,INDEX($F98:$N98,0,AB$108),(INDEX($F98:$N98,0,AB$110+1)-INDEX($F98:$N98,0,AB$110))/(INDEX($F$4:$N$4,0,AB$110+1)-INDEX($F$4:$N$4,0,AB$110))+Y117)))</f>
        <v>8.1296549884045533</v>
      </c>
      <c r="AC117" s="9" cm="1">
        <f t="array" ref="AC117">IF(AC$110=-1,AD117,IF(AC$110=99,Z117,IF(AC$110=0,INDEX($F98:$N98,0,AC$108),(INDEX($F98:$N98,0,AC$110+1)-INDEX($F98:$N98,0,AC$110))/(INDEX($F$4:$N$4,0,AC$110+1)-INDEX($F$4:$N$4,0,AC$110))+Z117)))</f>
        <v>8.2791068253658864</v>
      </c>
      <c r="AD117" s="9" cm="1">
        <f t="array" ref="AD117">IF(AD$110=-1,AE117,IF(AD$110=99,AC117,IF(AD$110=0,INDEX($F98:$N98,0,AD$108),(INDEX($F98:$N98,0,AD$110+1)-INDEX($F98:$N98,0,AD$110))/(INDEX($F$4:$N$4,0,AD$110+1)-INDEX($F$4:$N$4,0,AD$110))+AC117)))</f>
        <v>8.4285586623272195</v>
      </c>
      <c r="AE117" s="9" cm="1">
        <f t="array" ref="AE117">IF(AE$110=-1,AF117,IF(AE$110=99,AD117,IF(AE$110=0,INDEX($F98:$N98,0,AE$108),(INDEX($F98:$N98,0,AE$110+1)-INDEX($F98:$N98,0,AE$110))/(INDEX($F$4:$N$4,0,AE$110+1)-INDEX($F$4:$N$4,0,AE$110))+AD117)))</f>
        <v>8.6886552468032026</v>
      </c>
      <c r="AF117" s="9" cm="1">
        <f t="array" ref="AF117">IF(AF$110=-1,AG117,IF(AF$110=99,AE117,IF(AF$110=0,INDEX($F98:$N98,0,AF$108),(INDEX($F98:$N98,0,AF$110+1)-INDEX($F98:$N98,0,AF$110))/(INDEX($F$4:$N$4,0,AF$110+1)-INDEX($F$4:$N$4,0,AF$110))+AE117)))</f>
        <v>8.9487518312791856</v>
      </c>
      <c r="AG117" s="9" cm="1">
        <f t="array" ref="AG117">IF(AG$110=-1,AH117,IF(AG$110=99,AF117,IF(AG$110=0,INDEX($F98:$N98,0,AG$108),(INDEX($F98:$N98,0,AG$110+1)-INDEX($F98:$N98,0,AG$110))/(INDEX($F$4:$N$4,0,AG$110+1)-INDEX($F$4:$N$4,0,AG$110))+AF117)))</f>
        <v>9.2088484157551687</v>
      </c>
      <c r="AH117" s="9" cm="1">
        <f t="array" ref="AH117">IF(AH$110=-1,AI117,IF(AH$110=99,AG117,IF(AH$110=0,INDEX($F98:$N98,0,AH$108),(INDEX($F98:$N98,0,AH$110+1)-INDEX($F98:$N98,0,AH$110))/(INDEX($F$4:$N$4,0,AH$110+1)-INDEX($F$4:$N$4,0,AH$110))+AG117)))</f>
        <v>9.4689450002311517</v>
      </c>
      <c r="AI117" s="9" cm="1">
        <f t="array" ref="AI117">IF(AI$110=-1,AJ117,IF(AI$110=99,AH117,IF(AI$110=0,INDEX($F98:$N98,0,AI$108),(INDEX($F98:$N98,0,AI$110+1)-INDEX($F98:$N98,0,AI$110))/(INDEX($F$4:$N$4,0,AI$110+1)-INDEX($F$4:$N$4,0,AI$110))+AH117)))</f>
        <v>9.7290415847071348</v>
      </c>
      <c r="AJ117" s="9" cm="1">
        <f t="array" ref="AJ117">IF(AJ$110=-1,AK117,IF(AJ$110=99,AI117,IF(AJ$110=0,INDEX($F98:$N98,0,AJ$108),(INDEX($F98:$N98,0,AJ$110+1)-INDEX($F98:$N98,0,AJ$110))/(INDEX($F$4:$N$4,0,AJ$110+1)-INDEX($F$4:$N$4,0,AJ$110))+AI117)))</f>
        <v>9.9891381691831178</v>
      </c>
      <c r="AK117" s="9" cm="1">
        <f t="array" ref="AK117">IF(AK$110=-1,AL117,IF(AK$110=99,AJ117,IF(AK$110=0,INDEX($F98:$N98,0,AK$108),(INDEX($F98:$N98,0,AK$110+1)-INDEX($F98:$N98,0,AK$110))/(INDEX($F$4:$N$4,0,AK$110+1)-INDEX($F$4:$N$4,0,AK$110))+AJ117)))</f>
        <v>10.249234753659101</v>
      </c>
      <c r="AL117" s="9" cm="1">
        <f t="array" ref="AL117">IF(AL$110=-1,AM117,IF(AL$110=99,AK117,IF(AL$110=0,INDEX($F98:$N98,0,AL$108),(INDEX($F98:$N98,0,AL$110+1)-INDEX($F98:$N98,0,AL$110))/(INDEX($F$4:$N$4,0,AL$110+1)-INDEX($F$4:$N$4,0,AL$110))+AK117)))</f>
        <v>10.509331338135084</v>
      </c>
      <c r="AM117" s="9" cm="1">
        <f t="array" ref="AM117">IF(AM$110=-1,AN117,IF(AM$110=99,AL117,IF(AM$110=0,INDEX($F98:$N98,0,AM$108),(INDEX($F98:$N98,0,AM$110+1)-INDEX($F98:$N98,0,AM$110))/(INDEX($F$4:$N$4,0,AM$110+1)-INDEX($F$4:$N$4,0,AM$110))+AL117)))</f>
        <v>10.769427922611067</v>
      </c>
      <c r="AN117" s="9" cm="1">
        <f t="array" ref="AN117">IF(AN$110=-1,AO117,IF(AN$110=99,AM117,IF(AN$110=0,INDEX($F98:$N98,0,AN$108),(INDEX($F98:$N98,0,AN$110+1)-INDEX($F98:$N98,0,AN$110))/(INDEX($F$4:$N$4,0,AN$110+1)-INDEX($F$4:$N$4,0,AN$110))+AM117)))</f>
        <v>11.029524507087057</v>
      </c>
      <c r="AO117" s="9" cm="1">
        <f t="array" ref="AO117">IF(AO$110=-1,AP117,IF(AO$110=99,AN117,IF(AO$110=0,INDEX($F98:$N98,0,AO$108),(INDEX($F98:$N98,0,AO$110+1)-INDEX($F98:$N98,0,AO$110))/(INDEX($F$4:$N$4,0,AO$110+1)-INDEX($F$4:$N$4,0,AO$110))+AN117)))</f>
        <v>11.32869425046761</v>
      </c>
      <c r="AP117" s="9" cm="1">
        <f t="array" ref="AP117">IF(AP$110=-1,AQ117,IF(AP$110=99,AO117,IF(AP$110=0,INDEX($F98:$N98,0,AP$108),(INDEX($F98:$N98,0,AP$110+1)-INDEX($F98:$N98,0,AP$110))/(INDEX($F$4:$N$4,0,AP$110+1)-INDEX($F$4:$N$4,0,AP$110))+AO117)))</f>
        <v>11.627863993848162</v>
      </c>
      <c r="AQ117" s="9" cm="1">
        <f t="array" ref="AQ117">IF(AQ$110=-1,AR117,IF(AQ$110=99,AP117,IF(AQ$110=0,INDEX($F98:$N98,0,AQ$108),(INDEX($F98:$N98,0,AQ$110+1)-INDEX($F98:$N98,0,AQ$110))/(INDEX($F$4:$N$4,0,AQ$110+1)-INDEX($F$4:$N$4,0,AQ$110))+AP117)))</f>
        <v>11.927033737228715</v>
      </c>
      <c r="AR117" s="9" cm="1">
        <f t="array" ref="AR117">IF(AR$110=-1,AS117,IF(AR$110=99,AQ117,IF(AR$110=0,INDEX($F98:$N98,0,AR$108),(INDEX($F98:$N98,0,AR$110+1)-INDEX($F98:$N98,0,AR$110))/(INDEX($F$4:$N$4,0,AR$110+1)-INDEX($F$4:$N$4,0,AR$110))+AQ117)))</f>
        <v>12.226203480609268</v>
      </c>
      <c r="AS117" s="9" cm="1">
        <f t="array" ref="AS117">IF(AS$110=-1,AT117,IF(AS$110=99,AR117,IF(AS$110=0,INDEX($F98:$N98,0,AS$108),(INDEX($F98:$N98,0,AS$110+1)-INDEX($F98:$N98,0,AS$110))/(INDEX($F$4:$N$4,0,AS$110+1)-INDEX($F$4:$N$4,0,AS$110))+AR117)))</f>
        <v>12.525373223989821</v>
      </c>
      <c r="AT117" s="9" cm="1">
        <f t="array" ref="AT117">IF(AT$110=-1,AU117,IF(AT$110=99,AS117,IF(AT$110=0,INDEX($F98:$N98,0,AT$108),(INDEX($F98:$N98,0,AT$110+1)-INDEX($F98:$N98,0,AT$110))/(INDEX($F$4:$N$4,0,AT$110+1)-INDEX($F$4:$N$4,0,AT$110))+AS117)))</f>
        <v>12.824542967370373</v>
      </c>
      <c r="AU117" s="9" cm="1">
        <f t="array" ref="AU117">IF(AU$110=-1,AV117,IF(AU$110=99,AT117,IF(AU$110=0,INDEX($F98:$N98,0,AU$108),(INDEX($F98:$N98,0,AU$110+1)-INDEX($F98:$N98,0,AU$110))/(INDEX($F$4:$N$4,0,AU$110+1)-INDEX($F$4:$N$4,0,AU$110))+AT117)))</f>
        <v>13.123712710750926</v>
      </c>
      <c r="AV117" s="9" cm="1">
        <f t="array" ref="AV117">IF(AV$110=-1,AW117,IF(AV$110=99,AU117,IF(AV$110=0,INDEX($F98:$N98,0,AV$108),(INDEX($F98:$N98,0,AV$110+1)-INDEX($F98:$N98,0,AV$110))/(INDEX($F$4:$N$4,0,AV$110+1)-INDEX($F$4:$N$4,0,AV$110))+AU117)))</f>
        <v>13.422882454131479</v>
      </c>
      <c r="AW117" s="9" cm="1">
        <f t="array" ref="AW117">IF(AW$110=-1,AX117,IF(AW$110=99,AV117,IF(AW$110=0,INDEX($F98:$N98,0,AW$108),(INDEX($F98:$N98,0,AW$110+1)-INDEX($F98:$N98,0,AW$110))/(INDEX($F$4:$N$4,0,AW$110+1)-INDEX($F$4:$N$4,0,AW$110))+AV117)))</f>
        <v>13.722052197512031</v>
      </c>
      <c r="AX117" s="9" cm="1">
        <f t="array" ref="AX117">IF(AX$110=-1,AY117,IF(AX$110=99,AW117,IF(AX$110=0,INDEX($F98:$N98,0,AX$108),(INDEX($F98:$N98,0,AX$110+1)-INDEX($F98:$N98,0,AX$110))/(INDEX($F$4:$N$4,0,AX$110+1)-INDEX($F$4:$N$4,0,AX$110))+AW117)))</f>
        <v>14.021221940892586</v>
      </c>
      <c r="AY117" s="9" cm="1">
        <f t="array" ref="AY117">IF(AY$110=-1,AZ117,IF(AY$110=99,AX117,IF(AY$110=0,INDEX($F98:$N98,0,AY$108),(INDEX($F98:$N98,0,AY$110+1)-INDEX($F98:$N98,0,AY$110))/(INDEX($F$4:$N$4,0,AY$110+1)-INDEX($F$4:$N$4,0,AY$110))+AX117)))</f>
        <v>17.016638395541012</v>
      </c>
      <c r="AZ117" s="9" cm="1">
        <f t="array" ref="AZ117">IF(AZ$110=-1,BA117,IF(AZ$110=99,AY117,IF(AZ$110=0,INDEX($F98:$N98,0,AZ$108),(INDEX($F98:$N98,0,AZ$110+1)-INDEX($F98:$N98,0,AZ$110))/(INDEX($F$4:$N$4,0,AZ$110+1)-INDEX($F$4:$N$4,0,AZ$110))+AY117)))</f>
        <v>18.280339800507264</v>
      </c>
    </row>
    <row r="118" spans="1:52" ht="15">
      <c r="A118" s="103" t="s">
        <v>16</v>
      </c>
      <c r="B118" s="20" t="str">
        <f t="shared" si="320"/>
        <v/>
      </c>
      <c r="C118" s="21" t="str">
        <f t="shared" si="321"/>
        <v/>
      </c>
      <c r="D118" s="48" t="s">
        <v>402</v>
      </c>
      <c r="E118" s="21" t="str">
        <f t="shared" si="322"/>
        <v/>
      </c>
      <c r="H118" s="21" t="str">
        <f t="shared" si="322"/>
        <v/>
      </c>
      <c r="J118" s="21" t="str">
        <f t="shared" si="322"/>
        <v/>
      </c>
      <c r="K118" s="21" t="str">
        <f t="shared" si="322"/>
        <v/>
      </c>
      <c r="L118" s="110" t="str">
        <f t="shared" si="323"/>
        <v/>
      </c>
      <c r="M118" s="9" cm="1">
        <f t="array" ref="M118">IF(M$110=-1,N118,IF(M$110=99,#REF!,IF(M$110=0,INDEX($F99:$N99,0,M$108),(INDEX($F99:$N99,0,M$110+1)-INDEX($F99:$N99,0,M$110))/(INDEX($F$4:$N$4,0,M$110+1)-INDEX($F$4:$N$4,0,M$110))+#REF!)))</f>
        <v>2.2261566306639899</v>
      </c>
      <c r="N118" s="9" cm="1">
        <f t="array" ref="N118">IF(N$110=-1,O118,IF(N$110=99,M118,IF(N$110=0,INDEX($F99:$N99,0,N$108),(INDEX($F99:$N99,0,N$110+1)-INDEX($F99:$N99,0,N$110))/(INDEX($F$4:$N$4,0,N$110+1)-INDEX($F$4:$N$4,0,N$110))+M118)))</f>
        <v>2.2400116999821158</v>
      </c>
      <c r="O118" s="9" cm="1">
        <f t="array" ref="O118">IF(O$110=-1,P118,IF(O$110=99,N118,IF(O$110=0,INDEX($F99:$N99,0,O$108),(INDEX($F99:$N99,0,O$110+1)-INDEX($F99:$N99,0,O$110))/(INDEX($F$4:$N$4,0,O$110+1)-INDEX($F$4:$N$4,0,O$110))+N118)))</f>
        <v>2.2538667693002417</v>
      </c>
      <c r="P118" s="9" cm="1">
        <f t="array" ref="P118">IF(P$110=-1,S118,IF(P$110=99,O118,IF(P$110=0,INDEX($F99:$N99,0,P$108),(INDEX($F99:$N99,0,P$110+1)-INDEX($F99:$N99,0,P$110))/(INDEX($F$4:$N$4,0,P$110+1)-INDEX($F$4:$N$4,0,P$110))+O118)))</f>
        <v>2.1701034671189854</v>
      </c>
      <c r="Q118" s="9" cm="1">
        <f t="array" ref="Q118">IF(Q$110=-1,R118,IF(Q$110=99,N118,IF(Q$110=0,INDEX($F99:$N99,0,Q$108),(INDEX($F99:$N99,0,Q$110+1)-INDEX($F99:$N99,0,Q$110))/(INDEX($F$4:$N$4,0,Q$110+1)-INDEX($F$4:$N$4,0,Q$110))+N118)))</f>
        <v>2.2538667693002417</v>
      </c>
      <c r="R118" s="9" cm="1">
        <f t="array" ref="R118">IF(R$110=-1,S118,IF(R$110=99,O118,IF(R$110=0,INDEX($F99:$N99,0,R$108),(INDEX($F99:$N99,0,R$110+1)-INDEX($F99:$N99,0,R$110))/(INDEX($F$4:$N$4,0,R$110+1)-INDEX($F$4:$N$4,0,R$110))+O118)))</f>
        <v>2.1701034671189854</v>
      </c>
      <c r="S118" s="9" cm="1">
        <f t="array" ref="S118">IF(S$110=-1,T118,IF(S$110=99,P118,IF(S$110=0,INDEX($F99:$N99,0,S$108),(INDEX($F99:$N99,0,S$110+1)-INDEX($F99:$N99,0,S$110))/(INDEX($F$4:$N$4,0,S$110+1)-INDEX($F$4:$N$4,0,S$110))+P118)))</f>
        <v>2.2753266219424315</v>
      </c>
      <c r="T118" s="9" cm="1">
        <f t="array" ref="T118">IF(T$110=-1,U118,IF(T$110=99,S118,IF(T$110=0,INDEX($F99:$N99,0,T$108),(INDEX($F99:$N99,0,T$110+1)-INDEX($F99:$N99,0,T$110))/(INDEX($F$4:$N$4,0,T$110+1)-INDEX($F$4:$N$4,0,T$110))+S118)))</f>
        <v>2.335444320665224</v>
      </c>
      <c r="U118" s="9" cm="1">
        <f t="array" ref="U118">IF(U$110=-1,V118,IF(U$110=99,T118,IF(U$110=0,INDEX($F99:$N99,0,U$108),(INDEX($F99:$N99,0,U$110+1)-INDEX($F99:$N99,0,U$110))/(INDEX($F$4:$N$4,0,U$110+1)-INDEX($F$4:$N$4,0,U$110))+T118)))</f>
        <v>2.3955620193880165</v>
      </c>
      <c r="V118" s="9" cm="1">
        <f t="array" ref="V118">IF(V$110=-1,W118,IF(V$110=99,U118,IF(V$110=0,INDEX($F99:$N99,0,V$108),(INDEX($F99:$N99,0,V$110+1)-INDEX($F99:$N99,0,V$110))/(INDEX($F$4:$N$4,0,V$110+1)-INDEX($F$4:$N$4,0,V$110))+U118)))</f>
        <v>2.455679718110809</v>
      </c>
      <c r="W118" s="9" cm="1">
        <f t="array" ref="W118">IF(W$110=-1,X118,IF(W$110=99,V118,IF(W$110=0,INDEX($F99:$N99,0,W$108),(INDEX($F99:$N99,0,W$110+1)-INDEX($F99:$N99,0,W$110))/(INDEX($F$4:$N$4,0,W$110+1)-INDEX($F$4:$N$4,0,W$110))+V118)))</f>
        <v>2.5157974168336015</v>
      </c>
      <c r="X118" s="9" cm="1">
        <f t="array" ref="X118">IF(X$110=-1,Y118,IF(X$110=99,W118,IF(X$110=0,INDEX($F99:$N99,0,X$108),(INDEX($F99:$N99,0,X$110+1)-INDEX($F99:$N99,0,X$110))/(INDEX($F$4:$N$4,0,X$110+1)-INDEX($F$4:$N$4,0,X$110))+W118)))</f>
        <v>2.575915115556394</v>
      </c>
      <c r="Y118" s="9" cm="1">
        <f t="array" ref="Y118">IF(Y$110=-1,Z118,IF(Y$110=99,X118,IF(Y$110=0,INDEX($F99:$N99,0,Y$108),(INDEX($F99:$N99,0,Y$110+1)-INDEX($F99:$N99,0,Y$110))/(INDEX($F$4:$N$4,0,Y$110+1)-INDEX($F$4:$N$4,0,Y$110))+X118)))</f>
        <v>2.6360328142791865</v>
      </c>
      <c r="Z118" s="9" cm="1">
        <f t="array" ref="Z118">IF(Z$110=-1,AC118,IF(Z$110=99,Y118,IF(Z$110=0,INDEX($F99:$N99,0,Z$108),(INDEX($F99:$N99,0,Z$110+1)-INDEX($F99:$N99,0,Z$110))/(INDEX($F$4:$N$4,0,Z$110+1)-INDEX($F$4:$N$4,0,Z$110))+Y118)))</f>
        <v>2.6961505130019789</v>
      </c>
      <c r="AA118" s="9" cm="1">
        <f t="array" ref="AA118">IF(AA$110=-1,AB118,IF(AA$110=99,X118,IF(AA$110=0,INDEX($F99:$N99,0,AA$108),(INDEX($F99:$N99,0,AA$110+1)-INDEX($F99:$N99,0,AA$110))/(INDEX($F$4:$N$4,0,AA$110+1)-INDEX($F$4:$N$4,0,AA$110))+X118)))</f>
        <v>2.6360328142791865</v>
      </c>
      <c r="AB118" s="9" cm="1">
        <f t="array" ref="AB118">IF(AB$110=-1,AC118,IF(AB$110=99,Y118,IF(AB$110=0,INDEX($F99:$N99,0,AB$108),(INDEX($F99:$N99,0,AB$110+1)-INDEX($F99:$N99,0,AB$110))/(INDEX($F$4:$N$4,0,AB$110+1)-INDEX($F$4:$N$4,0,AB$110))+Y118)))</f>
        <v>2.6961505130019789</v>
      </c>
      <c r="AC118" s="9" cm="1">
        <f t="array" ref="AC118">IF(AC$110=-1,AD118,IF(AC$110=99,Z118,IF(AC$110=0,INDEX($F99:$N99,0,AC$108),(INDEX($F99:$N99,0,AC$110+1)-INDEX($F99:$N99,0,AC$110))/(INDEX($F$4:$N$4,0,AC$110+1)-INDEX($F$4:$N$4,0,AC$110))+Z118)))</f>
        <v>2.7562682117247714</v>
      </c>
      <c r="AD118" s="9" cm="1">
        <f t="array" ref="AD118">IF(AD$110=-1,AE118,IF(AD$110=99,AC118,IF(AD$110=0,INDEX($F99:$N99,0,AD$108),(INDEX($F99:$N99,0,AD$110+1)-INDEX($F99:$N99,0,AD$110))/(INDEX($F$4:$N$4,0,AD$110+1)-INDEX($F$4:$N$4,0,AD$110))+AC118)))</f>
        <v>2.8163859104475653</v>
      </c>
      <c r="AE118" s="9" cm="1">
        <f t="array" ref="AE118">IF(AE$110=-1,AF118,IF(AE$110=99,AD118,IF(AE$110=0,INDEX($F99:$N99,0,AE$108),(INDEX($F99:$N99,0,AE$110+1)-INDEX($F99:$N99,0,AE$110))/(INDEX($F$4:$N$4,0,AE$110+1)-INDEX($F$4:$N$4,0,AE$110))+AD118)))</f>
        <v>2.9032966605794788</v>
      </c>
      <c r="AF118" s="9" cm="1">
        <f t="array" ref="AF118">IF(AF$110=-1,AG118,IF(AF$110=99,AE118,IF(AF$110=0,INDEX($F99:$N99,0,AF$108),(INDEX($F99:$N99,0,AF$110+1)-INDEX($F99:$N99,0,AF$110))/(INDEX($F$4:$N$4,0,AF$110+1)-INDEX($F$4:$N$4,0,AF$110))+AE118)))</f>
        <v>2.9902074107113923</v>
      </c>
      <c r="AG118" s="9" cm="1">
        <f t="array" ref="AG118">IF(AG$110=-1,AH118,IF(AG$110=99,AF118,IF(AG$110=0,INDEX($F99:$N99,0,AG$108),(INDEX($F99:$N99,0,AG$110+1)-INDEX($F99:$N99,0,AG$110))/(INDEX($F$4:$N$4,0,AG$110+1)-INDEX($F$4:$N$4,0,AG$110))+AF118)))</f>
        <v>3.0771181608433058</v>
      </c>
      <c r="AH118" s="9" cm="1">
        <f t="array" ref="AH118">IF(AH$110=-1,AI118,IF(AH$110=99,AG118,IF(AH$110=0,INDEX($F99:$N99,0,AH$108),(INDEX($F99:$N99,0,AH$110+1)-INDEX($F99:$N99,0,AH$110))/(INDEX($F$4:$N$4,0,AH$110+1)-INDEX($F$4:$N$4,0,AH$110))+AG118)))</f>
        <v>3.1640289109752193</v>
      </c>
      <c r="AI118" s="9" cm="1">
        <f t="array" ref="AI118">IF(AI$110=-1,AJ118,IF(AI$110=99,AH118,IF(AI$110=0,INDEX($F99:$N99,0,AI$108),(INDEX($F99:$N99,0,AI$110+1)-INDEX($F99:$N99,0,AI$110))/(INDEX($F$4:$N$4,0,AI$110+1)-INDEX($F$4:$N$4,0,AI$110))+AH118)))</f>
        <v>3.2509396611071328</v>
      </c>
      <c r="AJ118" s="9" cm="1">
        <f t="array" ref="AJ118">IF(AJ$110=-1,AK118,IF(AJ$110=99,AI118,IF(AJ$110=0,INDEX($F99:$N99,0,AJ$108),(INDEX($F99:$N99,0,AJ$110+1)-INDEX($F99:$N99,0,AJ$110))/(INDEX($F$4:$N$4,0,AJ$110+1)-INDEX($F$4:$N$4,0,AJ$110))+AI118)))</f>
        <v>3.3378504112390464</v>
      </c>
      <c r="AK118" s="9" cm="1">
        <f t="array" ref="AK118">IF(AK$110=-1,AL118,IF(AK$110=99,AJ118,IF(AK$110=0,INDEX($F99:$N99,0,AK$108),(INDEX($F99:$N99,0,AK$110+1)-INDEX($F99:$N99,0,AK$110))/(INDEX($F$4:$N$4,0,AK$110+1)-INDEX($F$4:$N$4,0,AK$110))+AJ118)))</f>
        <v>3.4247611613709599</v>
      </c>
      <c r="AL118" s="9" cm="1">
        <f t="array" ref="AL118">IF(AL$110=-1,AM118,IF(AL$110=99,AK118,IF(AL$110=0,INDEX($F99:$N99,0,AL$108),(INDEX($F99:$N99,0,AL$110+1)-INDEX($F99:$N99,0,AL$110))/(INDEX($F$4:$N$4,0,AL$110+1)-INDEX($F$4:$N$4,0,AL$110))+AK118)))</f>
        <v>3.5116719115028734</v>
      </c>
      <c r="AM118" s="9" cm="1">
        <f t="array" ref="AM118">IF(AM$110=-1,AN118,IF(AM$110=99,AL118,IF(AM$110=0,INDEX($F99:$N99,0,AM$108),(INDEX($F99:$N99,0,AM$110+1)-INDEX($F99:$N99,0,AM$110))/(INDEX($F$4:$N$4,0,AM$110+1)-INDEX($F$4:$N$4,0,AM$110))+AL118)))</f>
        <v>3.5985826616347869</v>
      </c>
      <c r="AN118" s="9" cm="1">
        <f t="array" ref="AN118">IF(AN$110=-1,AO118,IF(AN$110=99,AM118,IF(AN$110=0,INDEX($F99:$N99,0,AN$108),(INDEX($F99:$N99,0,AN$110+1)-INDEX($F99:$N99,0,AN$110))/(INDEX($F$4:$N$4,0,AN$110+1)-INDEX($F$4:$N$4,0,AN$110))+AM118)))</f>
        <v>3.6854934117666991</v>
      </c>
      <c r="AO118" s="9" cm="1">
        <f t="array" ref="AO118">IF(AO$110=-1,AP118,IF(AO$110=99,AN118,IF(AO$110=0,INDEX($F99:$N99,0,AO$108),(INDEX($F99:$N99,0,AO$110+1)-INDEX($F99:$N99,0,AO$110))/(INDEX($F$4:$N$4,0,AO$110+1)-INDEX($F$4:$N$4,0,AO$110))+AN118)))</f>
        <v>3.7854603792928594</v>
      </c>
      <c r="AP118" s="9" cm="1">
        <f t="array" ref="AP118">IF(AP$110=-1,AQ118,IF(AP$110=99,AO118,IF(AP$110=0,INDEX($F99:$N99,0,AP$108),(INDEX($F99:$N99,0,AP$110+1)-INDEX($F99:$N99,0,AP$110))/(INDEX($F$4:$N$4,0,AP$110+1)-INDEX($F$4:$N$4,0,AP$110))+AO118)))</f>
        <v>3.8854273468190197</v>
      </c>
      <c r="AQ118" s="9" cm="1">
        <f t="array" ref="AQ118">IF(AQ$110=-1,AR118,IF(AQ$110=99,AP118,IF(AQ$110=0,INDEX($F99:$N99,0,AQ$108),(INDEX($F99:$N99,0,AQ$110+1)-INDEX($F99:$N99,0,AQ$110))/(INDEX($F$4:$N$4,0,AQ$110+1)-INDEX($F$4:$N$4,0,AQ$110))+AP118)))</f>
        <v>3.98539431434518</v>
      </c>
      <c r="AR118" s="9" cm="1">
        <f t="array" ref="AR118">IF(AR$110=-1,AS118,IF(AR$110=99,AQ118,IF(AR$110=0,INDEX($F99:$N99,0,AR$108),(INDEX($F99:$N99,0,AR$110+1)-INDEX($F99:$N99,0,AR$110))/(INDEX($F$4:$N$4,0,AR$110+1)-INDEX($F$4:$N$4,0,AR$110))+AQ118)))</f>
        <v>4.0853612818713403</v>
      </c>
      <c r="AS118" s="9" cm="1">
        <f t="array" ref="AS118">IF(AS$110=-1,AT118,IF(AS$110=99,AR118,IF(AS$110=0,INDEX($F99:$N99,0,AS$108),(INDEX($F99:$N99,0,AS$110+1)-INDEX($F99:$N99,0,AS$110))/(INDEX($F$4:$N$4,0,AS$110+1)-INDEX($F$4:$N$4,0,AS$110))+AR118)))</f>
        <v>4.185328249397501</v>
      </c>
      <c r="AT118" s="9" cm="1">
        <f t="array" ref="AT118">IF(AT$110=-1,AU118,IF(AT$110=99,AS118,IF(AT$110=0,INDEX($F99:$N99,0,AT$108),(INDEX($F99:$N99,0,AT$110+1)-INDEX($F99:$N99,0,AT$110))/(INDEX($F$4:$N$4,0,AT$110+1)-INDEX($F$4:$N$4,0,AT$110))+AS118)))</f>
        <v>4.2852952169236618</v>
      </c>
      <c r="AU118" s="9" cm="1">
        <f t="array" ref="AU118">IF(AU$110=-1,AV118,IF(AU$110=99,AT118,IF(AU$110=0,INDEX($F99:$N99,0,AU$108),(INDEX($F99:$N99,0,AU$110+1)-INDEX($F99:$N99,0,AU$110))/(INDEX($F$4:$N$4,0,AU$110+1)-INDEX($F$4:$N$4,0,AU$110))+AT118)))</f>
        <v>4.3852621844498225</v>
      </c>
      <c r="AV118" s="9" cm="1">
        <f t="array" ref="AV118">IF(AV$110=-1,AW118,IF(AV$110=99,AU118,IF(AV$110=0,INDEX($F99:$N99,0,AV$108),(INDEX($F99:$N99,0,AV$110+1)-INDEX($F99:$N99,0,AV$110))/(INDEX($F$4:$N$4,0,AV$110+1)-INDEX($F$4:$N$4,0,AV$110))+AU118)))</f>
        <v>4.4852291519759833</v>
      </c>
      <c r="AW118" s="9" cm="1">
        <f t="array" ref="AW118">IF(AW$110=-1,AX118,IF(AW$110=99,AV118,IF(AW$110=0,INDEX($F99:$N99,0,AW$108),(INDEX($F99:$N99,0,AW$110+1)-INDEX($F99:$N99,0,AW$110))/(INDEX($F$4:$N$4,0,AW$110+1)-INDEX($F$4:$N$4,0,AW$110))+AV118)))</f>
        <v>4.585196119502144</v>
      </c>
      <c r="AX118" s="9" cm="1">
        <f t="array" ref="AX118">IF(AX$110=-1,AY118,IF(AX$110=99,AW118,IF(AX$110=0,INDEX($F99:$N99,0,AX$108),(INDEX($F99:$N99,0,AX$110+1)-INDEX($F99:$N99,0,AX$110))/(INDEX($F$4:$N$4,0,AX$110+1)-INDEX($F$4:$N$4,0,AX$110))+AW118)))</f>
        <v>4.6851630870283039</v>
      </c>
      <c r="AY118" s="9" cm="1">
        <f t="array" ref="AY118">IF(AY$110=-1,AZ118,IF(AY$110=99,AX118,IF(AY$110=0,INDEX($F99:$N99,0,AY$108),(INDEX($F99:$N99,0,AY$110+1)-INDEX($F99:$N99,0,AY$110))/(INDEX($F$4:$N$4,0,AY$110+1)-INDEX($F$4:$N$4,0,AY$110))+AX118)))</f>
        <v>5.6860754656182255</v>
      </c>
      <c r="AZ118" s="9" cm="1">
        <f t="array" ref="AZ118">IF(AZ$110=-1,BA118,IF(AZ$110=99,AY118,IF(AZ$110=0,INDEX($F99:$N99,0,AZ$108),(INDEX($F99:$N99,0,AZ$110+1)-INDEX($F99:$N99,0,AZ$110))/(INDEX($F$4:$N$4,0,AZ$110+1)-INDEX($F$4:$N$4,0,AZ$110))+AY118)))</f>
        <v>6.1083387462746899</v>
      </c>
    </row>
    <row r="119" spans="1:52" ht="15">
      <c r="A119" s="103" t="s">
        <v>16</v>
      </c>
      <c r="B119" s="20" t="str">
        <f t="shared" si="320"/>
        <v/>
      </c>
      <c r="C119" s="21" t="str">
        <f t="shared" si="321"/>
        <v/>
      </c>
      <c r="D119" s="48" t="s">
        <v>403</v>
      </c>
      <c r="E119" s="21" t="str">
        <f t="shared" si="322"/>
        <v/>
      </c>
      <c r="H119" s="21" t="str">
        <f t="shared" si="322"/>
        <v/>
      </c>
      <c r="J119" s="21" t="str">
        <f t="shared" si="322"/>
        <v/>
      </c>
      <c r="K119" s="21" t="str">
        <f t="shared" si="322"/>
        <v/>
      </c>
      <c r="L119" s="110" t="str">
        <f t="shared" si="323"/>
        <v/>
      </c>
      <c r="M119" s="9" cm="1">
        <f t="array" ref="M119">IF(M$110=-1,N119,IF(M$110=99,#REF!,IF(M$110=0,INDEX($F100:$N100,0,M$108),(INDEX($F100:$N100,0,M$110+1)-INDEX($F100:$N100,0,M$110))/(INDEX($F$4:$N$4,0,M$110+1)-INDEX($F$4:$N$4,0,M$110))+#REF!)))</f>
        <v>0.122213678849837</v>
      </c>
      <c r="N119" s="9" cm="1">
        <f t="array" ref="N119">IF(N$110=-1,O119,IF(N$110=99,M119,IF(N$110=0,INDEX($F100:$N100,0,N$108),(INDEX($F100:$N100,0,N$110+1)-INDEX($F100:$N100,0,N$110))/(INDEX($F$4:$N$4,0,N$110+1)-INDEX($F$4:$N$4,0,N$110))+M119)))</f>
        <v>0.12297430771519344</v>
      </c>
      <c r="O119" s="9" cm="1">
        <f t="array" ref="O119">IF(O$110=-1,P119,IF(O$110=99,N119,IF(O$110=0,INDEX($F100:$N100,0,O$108),(INDEX($F100:$N100,0,O$110+1)-INDEX($F100:$N100,0,O$110))/(INDEX($F$4:$N$4,0,O$110+1)-INDEX($F$4:$N$4,0,O$110))+N119)))</f>
        <v>0.12373493658054988</v>
      </c>
      <c r="P119" s="9" cm="1">
        <f t="array" ref="P119">IF(P$110=-1,S119,IF(P$110=99,O119,IF(P$110=0,INDEX($F100:$N100,0,P$108),(INDEX($F100:$N100,0,P$110+1)-INDEX($F100:$N100,0,P$110))/(INDEX($F$4:$N$4,0,P$110+1)-INDEX($F$4:$N$4,0,P$110))+O119)))</f>
        <v>0.11913641859166579</v>
      </c>
      <c r="Q119" s="9" cm="1">
        <f t="array" ref="Q119">IF(Q$110=-1,R119,IF(Q$110=99,N119,IF(Q$110=0,INDEX($F100:$N100,0,Q$108),(INDEX($F100:$N100,0,Q$110+1)-INDEX($F100:$N100,0,Q$110))/(INDEX($F$4:$N$4,0,Q$110+1)-INDEX($F$4:$N$4,0,Q$110))+N119)))</f>
        <v>0.12373493658054988</v>
      </c>
      <c r="R119" s="9" cm="1">
        <f t="array" ref="R119">IF(R$110=-1,S119,IF(R$110=99,O119,IF(R$110=0,INDEX($F100:$N100,0,R$108),(INDEX($F100:$N100,0,R$110+1)-INDEX($F100:$N100,0,R$110))/(INDEX($F$4:$N$4,0,R$110+1)-INDEX($F$4:$N$4,0,R$110))+O119)))</f>
        <v>0.11913641859166579</v>
      </c>
      <c r="S119" s="9" cm="1">
        <f t="array" ref="S119">IF(S$110=-1,T119,IF(S$110=99,P119,IF(S$110=0,INDEX($F100:$N100,0,S$108),(INDEX($F100:$N100,0,S$110+1)-INDEX($F100:$N100,0,S$110))/(INDEX($F$4:$N$4,0,S$110+1)-INDEX($F$4:$N$4,0,S$110))+P119)))</f>
        <v>0.12491306012444225</v>
      </c>
      <c r="T119" s="9" cm="1">
        <f t="array" ref="T119">IF(T$110=-1,U119,IF(T$110=99,S119,IF(T$110=0,INDEX($F100:$N100,0,T$108),(INDEX($F100:$N100,0,T$110+1)-INDEX($F100:$N100,0,T$110))/(INDEX($F$4:$N$4,0,T$110+1)-INDEX($F$4:$N$4,0,T$110))+S119)))</f>
        <v>0.12821345912768184</v>
      </c>
      <c r="U119" s="9" cm="1">
        <f t="array" ref="U119">IF(U$110=-1,V119,IF(U$110=99,T119,IF(U$110=0,INDEX($F100:$N100,0,U$108),(INDEX($F100:$N100,0,U$110+1)-INDEX($F100:$N100,0,U$110))/(INDEX($F$4:$N$4,0,U$110+1)-INDEX($F$4:$N$4,0,U$110))+T119)))</f>
        <v>0.13151385813092142</v>
      </c>
      <c r="V119" s="9" cm="1">
        <f t="array" ref="V119">IF(V$110=-1,W119,IF(V$110=99,U119,IF(V$110=0,INDEX($F100:$N100,0,V$108),(INDEX($F100:$N100,0,V$110+1)-INDEX($F100:$N100,0,V$110))/(INDEX($F$4:$N$4,0,V$110+1)-INDEX($F$4:$N$4,0,V$110))+U119)))</f>
        <v>0.13481425713416101</v>
      </c>
      <c r="W119" s="9" cm="1">
        <f t="array" ref="W119">IF(W$110=-1,X119,IF(W$110=99,V119,IF(W$110=0,INDEX($F100:$N100,0,W$108),(INDEX($F100:$N100,0,W$110+1)-INDEX($F100:$N100,0,W$110))/(INDEX($F$4:$N$4,0,W$110+1)-INDEX($F$4:$N$4,0,W$110))+V119)))</f>
        <v>0.13811465613740059</v>
      </c>
      <c r="X119" s="9" cm="1">
        <f t="array" ref="X119">IF(X$110=-1,Y119,IF(X$110=99,W119,IF(X$110=0,INDEX($F100:$N100,0,X$108),(INDEX($F100:$N100,0,X$110+1)-INDEX($F100:$N100,0,X$110))/(INDEX($F$4:$N$4,0,X$110+1)-INDEX($F$4:$N$4,0,X$110))+W119)))</f>
        <v>0.14141505514064018</v>
      </c>
      <c r="Y119" s="9" cm="1">
        <f t="array" ref="Y119">IF(Y$110=-1,Z119,IF(Y$110=99,X119,IF(Y$110=0,INDEX($F100:$N100,0,Y$108),(INDEX($F100:$N100,0,Y$110+1)-INDEX($F100:$N100,0,Y$110))/(INDEX($F$4:$N$4,0,Y$110+1)-INDEX($F$4:$N$4,0,Y$110))+X119)))</f>
        <v>0.14471545414387976</v>
      </c>
      <c r="Z119" s="9" cm="1">
        <f t="array" ref="Z119">IF(Z$110=-1,AC119,IF(Z$110=99,Y119,IF(Z$110=0,INDEX($F100:$N100,0,Z$108),(INDEX($F100:$N100,0,Z$110+1)-INDEX($F100:$N100,0,Z$110))/(INDEX($F$4:$N$4,0,Z$110+1)-INDEX($F$4:$N$4,0,Z$110))+Y119)))</f>
        <v>0.14801585314711935</v>
      </c>
      <c r="AA119" s="9" cm="1">
        <f t="array" ref="AA119">IF(AA$110=-1,AB119,IF(AA$110=99,X119,IF(AA$110=0,INDEX($F100:$N100,0,AA$108),(INDEX($F100:$N100,0,AA$110+1)-INDEX($F100:$N100,0,AA$110))/(INDEX($F$4:$N$4,0,AA$110+1)-INDEX($F$4:$N$4,0,AA$110))+X119)))</f>
        <v>0.14471545414387976</v>
      </c>
      <c r="AB119" s="9" cm="1">
        <f t="array" ref="AB119">IF(AB$110=-1,AC119,IF(AB$110=99,Y119,IF(AB$110=0,INDEX($F100:$N100,0,AB$108),(INDEX($F100:$N100,0,AB$110+1)-INDEX($F100:$N100,0,AB$110))/(INDEX($F$4:$N$4,0,AB$110+1)-INDEX($F$4:$N$4,0,AB$110))+Y119)))</f>
        <v>0.14801585314711935</v>
      </c>
      <c r="AC119" s="9" cm="1">
        <f t="array" ref="AC119">IF(AC$110=-1,AD119,IF(AC$110=99,Z119,IF(AC$110=0,INDEX($F100:$N100,0,AC$108),(INDEX($F100:$N100,0,AC$110+1)-INDEX($F100:$N100,0,AC$110))/(INDEX($F$4:$N$4,0,AC$110+1)-INDEX($F$4:$N$4,0,AC$110))+Z119)))</f>
        <v>0.15131625215035893</v>
      </c>
      <c r="AD119" s="9" cm="1">
        <f t="array" ref="AD119">IF(AD$110=-1,AE119,IF(AD$110=99,AC119,IF(AD$110=0,INDEX($F100:$N100,0,AD$108),(INDEX($F100:$N100,0,AD$110+1)-INDEX($F100:$N100,0,AD$110))/(INDEX($F$4:$N$4,0,AD$110+1)-INDEX($F$4:$N$4,0,AD$110))+AC119)))</f>
        <v>0.15461665115359857</v>
      </c>
      <c r="AE119" s="9" cm="1">
        <f t="array" ref="AE119">IF(AE$110=-1,AF119,IF(AE$110=99,AD119,IF(AE$110=0,INDEX($F100:$N100,0,AE$108),(INDEX($F100:$N100,0,AE$110+1)-INDEX($F100:$N100,0,AE$110))/(INDEX($F$4:$N$4,0,AE$110+1)-INDEX($F$4:$N$4,0,AE$110))+AD119)))</f>
        <v>0.15938796075459999</v>
      </c>
      <c r="AF119" s="9" cm="1">
        <f t="array" ref="AF119">IF(AF$110=-1,AG119,IF(AF$110=99,AE119,IF(AF$110=0,INDEX($F100:$N100,0,AF$108),(INDEX($F100:$N100,0,AF$110+1)-INDEX($F100:$N100,0,AF$110))/(INDEX($F$4:$N$4,0,AF$110+1)-INDEX($F$4:$N$4,0,AF$110))+AE119)))</f>
        <v>0.16415927035560141</v>
      </c>
      <c r="AG119" s="9" cm="1">
        <f t="array" ref="AG119">IF(AG$110=-1,AH119,IF(AG$110=99,AF119,IF(AG$110=0,INDEX($F100:$N100,0,AG$108),(INDEX($F100:$N100,0,AG$110+1)-INDEX($F100:$N100,0,AG$110))/(INDEX($F$4:$N$4,0,AG$110+1)-INDEX($F$4:$N$4,0,AG$110))+AF119)))</f>
        <v>0.16893057995660282</v>
      </c>
      <c r="AH119" s="9" cm="1">
        <f t="array" ref="AH119">IF(AH$110=-1,AI119,IF(AH$110=99,AG119,IF(AH$110=0,INDEX($F100:$N100,0,AH$108),(INDEX($F100:$N100,0,AH$110+1)-INDEX($F100:$N100,0,AH$110))/(INDEX($F$4:$N$4,0,AH$110+1)-INDEX($F$4:$N$4,0,AH$110))+AG119)))</f>
        <v>0.17370188955760424</v>
      </c>
      <c r="AI119" s="9" cm="1">
        <f t="array" ref="AI119">IF(AI$110=-1,AJ119,IF(AI$110=99,AH119,IF(AI$110=0,INDEX($F100:$N100,0,AI$108),(INDEX($F100:$N100,0,AI$110+1)-INDEX($F100:$N100,0,AI$110))/(INDEX($F$4:$N$4,0,AI$110+1)-INDEX($F$4:$N$4,0,AI$110))+AH119)))</f>
        <v>0.17847319915860566</v>
      </c>
      <c r="AJ119" s="9" cm="1">
        <f t="array" ref="AJ119">IF(AJ$110=-1,AK119,IF(AJ$110=99,AI119,IF(AJ$110=0,INDEX($F100:$N100,0,AJ$108),(INDEX($F100:$N100,0,AJ$110+1)-INDEX($F100:$N100,0,AJ$110))/(INDEX($F$4:$N$4,0,AJ$110+1)-INDEX($F$4:$N$4,0,AJ$110))+AI119)))</f>
        <v>0.18324450875960707</v>
      </c>
      <c r="AK119" s="9" cm="1">
        <f t="array" ref="AK119">IF(AK$110=-1,AL119,IF(AK$110=99,AJ119,IF(AK$110=0,INDEX($F100:$N100,0,AK$108),(INDEX($F100:$N100,0,AK$110+1)-INDEX($F100:$N100,0,AK$110))/(INDEX($F$4:$N$4,0,AK$110+1)-INDEX($F$4:$N$4,0,AK$110))+AJ119)))</f>
        <v>0.18801581836060849</v>
      </c>
      <c r="AL119" s="9" cm="1">
        <f t="array" ref="AL119">IF(AL$110=-1,AM119,IF(AL$110=99,AK119,IF(AL$110=0,INDEX($F100:$N100,0,AL$108),(INDEX($F100:$N100,0,AL$110+1)-INDEX($F100:$N100,0,AL$110))/(INDEX($F$4:$N$4,0,AL$110+1)-INDEX($F$4:$N$4,0,AL$110))+AK119)))</f>
        <v>0.19278712796160991</v>
      </c>
      <c r="AM119" s="9" cm="1">
        <f t="array" ref="AM119">IF(AM$110=-1,AN119,IF(AM$110=99,AL119,IF(AM$110=0,INDEX($F100:$N100,0,AM$108),(INDEX($F100:$N100,0,AM$110+1)-INDEX($F100:$N100,0,AM$110))/(INDEX($F$4:$N$4,0,AM$110+1)-INDEX($F$4:$N$4,0,AM$110))+AL119)))</f>
        <v>0.19755843756261132</v>
      </c>
      <c r="AN119" s="9" cm="1">
        <f t="array" ref="AN119">IF(AN$110=-1,AO119,IF(AN$110=99,AM119,IF(AN$110=0,INDEX($F100:$N100,0,AN$108),(INDEX($F100:$N100,0,AN$110+1)-INDEX($F100:$N100,0,AN$110))/(INDEX($F$4:$N$4,0,AN$110+1)-INDEX($F$4:$N$4,0,AN$110))+AM119)))</f>
        <v>0.20232974716361288</v>
      </c>
      <c r="AO119" s="9" cm="1">
        <f t="array" ref="AO119">IF(AO$110=-1,AP119,IF(AO$110=99,AN119,IF(AO$110=0,INDEX($F100:$N100,0,AO$108),(INDEX($F100:$N100,0,AO$110+1)-INDEX($F100:$N100,0,AO$110))/(INDEX($F$4:$N$4,0,AO$110+1)-INDEX($F$4:$N$4,0,AO$110))+AN119)))</f>
        <v>0.20781782949193953</v>
      </c>
      <c r="AP119" s="9" cm="1">
        <f t="array" ref="AP119">IF(AP$110=-1,AQ119,IF(AP$110=99,AO119,IF(AP$110=0,INDEX($F100:$N100,0,AP$108),(INDEX($F100:$N100,0,AP$110+1)-INDEX($F100:$N100,0,AP$110))/(INDEX($F$4:$N$4,0,AP$110+1)-INDEX($F$4:$N$4,0,AP$110))+AO119)))</f>
        <v>0.21330591182026618</v>
      </c>
      <c r="AQ119" s="9" cm="1">
        <f t="array" ref="AQ119">IF(AQ$110=-1,AR119,IF(AQ$110=99,AP119,IF(AQ$110=0,INDEX($F100:$N100,0,AQ$108),(INDEX($F100:$N100,0,AQ$110+1)-INDEX($F100:$N100,0,AQ$110))/(INDEX($F$4:$N$4,0,AQ$110+1)-INDEX($F$4:$N$4,0,AQ$110))+AP119)))</f>
        <v>0.21879399414859282</v>
      </c>
      <c r="AR119" s="9" cm="1">
        <f t="array" ref="AR119">IF(AR$110=-1,AS119,IF(AR$110=99,AQ119,IF(AR$110=0,INDEX($F100:$N100,0,AR$108),(INDEX($F100:$N100,0,AR$110+1)-INDEX($F100:$N100,0,AR$110))/(INDEX($F$4:$N$4,0,AR$110+1)-INDEX($F$4:$N$4,0,AR$110))+AQ119)))</f>
        <v>0.22428207647691947</v>
      </c>
      <c r="AS119" s="9" cm="1">
        <f t="array" ref="AS119">IF(AS$110=-1,AT119,IF(AS$110=99,AR119,IF(AS$110=0,INDEX($F100:$N100,0,AS$108),(INDEX($F100:$N100,0,AS$110+1)-INDEX($F100:$N100,0,AS$110))/(INDEX($F$4:$N$4,0,AS$110+1)-INDEX($F$4:$N$4,0,AS$110))+AR119)))</f>
        <v>0.22977015880524612</v>
      </c>
      <c r="AT119" s="9" cm="1">
        <f t="array" ref="AT119">IF(AT$110=-1,AU119,IF(AT$110=99,AS119,IF(AT$110=0,INDEX($F100:$N100,0,AT$108),(INDEX($F100:$N100,0,AT$110+1)-INDEX($F100:$N100,0,AT$110))/(INDEX($F$4:$N$4,0,AT$110+1)-INDEX($F$4:$N$4,0,AT$110))+AS119)))</f>
        <v>0.23525824113357277</v>
      </c>
      <c r="AU119" s="9" cm="1">
        <f t="array" ref="AU119">IF(AU$110=-1,AV119,IF(AU$110=99,AT119,IF(AU$110=0,INDEX($F100:$N100,0,AU$108),(INDEX($F100:$N100,0,AU$110+1)-INDEX($F100:$N100,0,AU$110))/(INDEX($F$4:$N$4,0,AU$110+1)-INDEX($F$4:$N$4,0,AU$110))+AT119)))</f>
        <v>0.24074632346189942</v>
      </c>
      <c r="AV119" s="9" cm="1">
        <f t="array" ref="AV119">IF(AV$110=-1,AW119,IF(AV$110=99,AU119,IF(AV$110=0,INDEX($F100:$N100,0,AV$108),(INDEX($F100:$N100,0,AV$110+1)-INDEX($F100:$N100,0,AV$110))/(INDEX($F$4:$N$4,0,AV$110+1)-INDEX($F$4:$N$4,0,AV$110))+AU119)))</f>
        <v>0.24623440579022607</v>
      </c>
      <c r="AW119" s="9" cm="1">
        <f t="array" ref="AW119">IF(AW$110=-1,AX119,IF(AW$110=99,AV119,IF(AW$110=0,INDEX($F100:$N100,0,AW$108),(INDEX($F100:$N100,0,AW$110+1)-INDEX($F100:$N100,0,AW$110))/(INDEX($F$4:$N$4,0,AW$110+1)-INDEX($F$4:$N$4,0,AW$110))+AV119)))</f>
        <v>0.25172248811855275</v>
      </c>
      <c r="AX119" s="9" cm="1">
        <f t="array" ref="AX119">IF(AX$110=-1,AY119,IF(AX$110=99,AW119,IF(AX$110=0,INDEX($F100:$N100,0,AX$108),(INDEX($F100:$N100,0,AX$110+1)-INDEX($F100:$N100,0,AX$110))/(INDEX($F$4:$N$4,0,AX$110+1)-INDEX($F$4:$N$4,0,AX$110))+AW119)))</f>
        <v>0.25721057044687945</v>
      </c>
      <c r="AY119" s="9" cm="1">
        <f t="array" ref="AY119">IF(AY$110=-1,AZ119,IF(AY$110=99,AX119,IF(AY$110=0,INDEX($F100:$N100,0,AY$108),(INDEX($F100:$N100,0,AY$110+1)-INDEX($F100:$N100,0,AY$110))/(INDEX($F$4:$N$4,0,AY$110+1)-INDEX($F$4:$N$4,0,AY$110))+AX119)))</f>
        <v>0.3121596168476844</v>
      </c>
      <c r="AZ119" s="9" cm="1">
        <f t="array" ref="AZ119">IF(AZ$110=-1,BA119,IF(AZ$110=99,AY119,IF(AZ$110=0,INDEX($F100:$N100,0,AZ$108),(INDEX($F100:$N100,0,AZ$110+1)-INDEX($F100:$N100,0,AZ$110))/(INDEX($F$4:$N$4,0,AZ$110+1)-INDEX($F$4:$N$4,0,AZ$110))+AY119)))</f>
        <v>0.33534143085905294</v>
      </c>
    </row>
    <row r="120" spans="1:52" ht="15">
      <c r="A120" s="103" t="s">
        <v>16</v>
      </c>
      <c r="B120" s="20" t="str">
        <f t="shared" si="320"/>
        <v/>
      </c>
      <c r="C120" s="21" t="str">
        <f t="shared" si="321"/>
        <v/>
      </c>
      <c r="D120" s="48" t="s">
        <v>404</v>
      </c>
      <c r="E120" s="21" t="str">
        <f t="shared" si="322"/>
        <v/>
      </c>
      <c r="H120" s="21" t="str">
        <f t="shared" si="322"/>
        <v/>
      </c>
      <c r="J120" s="21" t="str">
        <f t="shared" si="322"/>
        <v/>
      </c>
      <c r="K120" s="21" t="str">
        <f t="shared" si="322"/>
        <v/>
      </c>
      <c r="L120" s="110" t="str">
        <f t="shared" si="323"/>
        <v/>
      </c>
      <c r="M120" s="9" cm="1">
        <f t="array" ref="M120">IF(M$110=-1,N120,IF(M$110=99,#REF!,IF(M$110=0,INDEX($F101:$N101,0,M$108),(INDEX($F101:$N101,0,M$110+1)-INDEX($F101:$N101,0,M$110))/(INDEX($F$4:$N$4,0,M$110+1)-INDEX($F$4:$N$4,0,M$110))+#REF!)))</f>
        <v>0.029412068148240201</v>
      </c>
      <c r="N120" s="9" cm="1">
        <f t="array" ref="N120">IF(N$110=-1,O120,IF(N$110=99,M120,IF(N$110=0,INDEX($F101:$N101,0,N$108),(INDEX($F101:$N101,0,N$110+1)-INDEX($F101:$N101,0,N$110))/(INDEX($F$4:$N$4,0,N$110+1)-INDEX($F$4:$N$4,0,N$110))+M120)))</f>
        <v>0.029595121863944723</v>
      </c>
      <c r="O120" s="9" cm="1">
        <f t="array" ref="O120">IF(O$110=-1,P120,IF(O$110=99,N120,IF(O$110=0,INDEX($F101:$N101,0,O$108),(INDEX($F101:$N101,0,O$110+1)-INDEX($F101:$N101,0,O$110))/(INDEX($F$4:$N$4,0,O$110+1)-INDEX($F$4:$N$4,0,O$110))+N120)))</f>
        <v>0.029778175579649242</v>
      </c>
      <c r="P120" s="9" cm="1">
        <f t="array" ref="P120">IF(P$110=-1,S120,IF(P$110=99,O120,IF(P$110=0,INDEX($F101:$N101,0,P$108),(INDEX($F101:$N101,0,P$110+1)-INDEX($F101:$N101,0,P$110))/(INDEX($F$4:$N$4,0,P$110+1)-INDEX($F$4:$N$4,0,P$110))+O120)))</f>
        <v>0.028671491567328906</v>
      </c>
      <c r="Q120" s="9" cm="1">
        <f t="array" ref="Q120">IF(Q$110=-1,R120,IF(Q$110=99,N120,IF(Q$110=0,INDEX($F101:$N101,0,Q$108),(INDEX($F101:$N101,0,Q$110+1)-INDEX($F101:$N101,0,Q$110))/(INDEX($F$4:$N$4,0,Q$110+1)-INDEX($F$4:$N$4,0,Q$110))+N120)))</f>
        <v>0.029778175579649242</v>
      </c>
      <c r="R120" s="9" cm="1">
        <f t="array" ref="R120">IF(R$110=-1,S120,IF(R$110=99,O120,IF(R$110=0,INDEX($F101:$N101,0,R$108),(INDEX($F101:$N101,0,R$110+1)-INDEX($F101:$N101,0,R$110))/(INDEX($F$4:$N$4,0,R$110+1)-INDEX($F$4:$N$4,0,R$110))+O120)))</f>
        <v>0.028671491567328906</v>
      </c>
      <c r="S120" s="9" cm="1">
        <f t="array" ref="S120">IF(S$110=-1,T120,IF(S$110=99,P120,IF(S$110=0,INDEX($F101:$N101,0,S$108),(INDEX($F101:$N101,0,S$110+1)-INDEX($F101:$N101,0,S$110))/(INDEX($F$4:$N$4,0,S$110+1)-INDEX($F$4:$N$4,0,S$110))+P120)))</f>
        <v>0.03006170398895754</v>
      </c>
      <c r="T120" s="9" cm="1">
        <f t="array" ref="T120">IF(T$110=-1,U120,IF(T$110=99,S120,IF(T$110=0,INDEX($F101:$N101,0,T$108),(INDEX($F101:$N101,0,T$110+1)-INDEX($F101:$N101,0,T$110))/(INDEX($F$4:$N$4,0,T$110+1)-INDEX($F$4:$N$4,0,T$110))+S120)))</f>
        <v>0.030855981367015506</v>
      </c>
      <c r="U120" s="9" cm="1">
        <f t="array" ref="U120">IF(U$110=-1,V120,IF(U$110=99,T120,IF(U$110=0,INDEX($F101:$N101,0,U$108),(INDEX($F101:$N101,0,U$110+1)-INDEX($F101:$N101,0,U$110))/(INDEX($F$4:$N$4,0,U$110+1)-INDEX($F$4:$N$4,0,U$110))+T120)))</f>
        <v>0.031650258745073476</v>
      </c>
      <c r="V120" s="9" cm="1">
        <f t="array" ref="V120">IF(V$110=-1,W120,IF(V$110=99,U120,IF(V$110=0,INDEX($F101:$N101,0,V$108),(INDEX($F101:$N101,0,V$110+1)-INDEX($F101:$N101,0,V$110))/(INDEX($F$4:$N$4,0,V$110+1)-INDEX($F$4:$N$4,0,V$110))+U120)))</f>
        <v>0.032444536123131446</v>
      </c>
      <c r="W120" s="9" cm="1">
        <f t="array" ref="W120">IF(W$110=-1,X120,IF(W$110=99,V120,IF(W$110=0,INDEX($F101:$N101,0,W$108),(INDEX($F101:$N101,0,W$110+1)-INDEX($F101:$N101,0,W$110))/(INDEX($F$4:$N$4,0,W$110+1)-INDEX($F$4:$N$4,0,W$110))+V120)))</f>
        <v>0.033238813501189415</v>
      </c>
      <c r="X120" s="9" cm="1">
        <f t="array" ref="X120">IF(X$110=-1,Y120,IF(X$110=99,W120,IF(X$110=0,INDEX($F101:$N101,0,X$108),(INDEX($F101:$N101,0,X$110+1)-INDEX($F101:$N101,0,X$110))/(INDEX($F$4:$N$4,0,X$110+1)-INDEX($F$4:$N$4,0,X$110))+W120)))</f>
        <v>0.034033090879247385</v>
      </c>
      <c r="Y120" s="9" cm="1">
        <f t="array" ref="Y120">IF(Y$110=-1,Z120,IF(Y$110=99,X120,IF(Y$110=0,INDEX($F101:$N101,0,Y$108),(INDEX($F101:$N101,0,Y$110+1)-INDEX($F101:$N101,0,Y$110))/(INDEX($F$4:$N$4,0,Y$110+1)-INDEX($F$4:$N$4,0,Y$110))+X120)))</f>
        <v>0.034827368257305355</v>
      </c>
      <c r="Z120" s="9" cm="1">
        <f t="array" ref="Z120">IF(Z$110=-1,AC120,IF(Z$110=99,Y120,IF(Z$110=0,INDEX($F101:$N101,0,Z$108),(INDEX($F101:$N101,0,Z$110+1)-INDEX($F101:$N101,0,Z$110))/(INDEX($F$4:$N$4,0,Z$110+1)-INDEX($F$4:$N$4,0,Z$110))+Y120)))</f>
        <v>0.035621645635363325</v>
      </c>
      <c r="AA120" s="9" cm="1">
        <f t="array" ref="AA120">IF(AA$110=-1,AB120,IF(AA$110=99,X120,IF(AA$110=0,INDEX($F101:$N101,0,AA$108),(INDEX($F101:$N101,0,AA$110+1)-INDEX($F101:$N101,0,AA$110))/(INDEX($F$4:$N$4,0,AA$110+1)-INDEX($F$4:$N$4,0,AA$110))+X120)))</f>
        <v>0.034827368257305355</v>
      </c>
      <c r="AB120" s="9" cm="1">
        <f t="array" ref="AB120">IF(AB$110=-1,AC120,IF(AB$110=99,Y120,IF(AB$110=0,INDEX($F101:$N101,0,AB$108),(INDEX($F101:$N101,0,AB$110+1)-INDEX($F101:$N101,0,AB$110))/(INDEX($F$4:$N$4,0,AB$110+1)-INDEX($F$4:$N$4,0,AB$110))+Y120)))</f>
        <v>0.035621645635363325</v>
      </c>
      <c r="AC120" s="9" cm="1">
        <f t="array" ref="AC120">IF(AC$110=-1,AD120,IF(AC$110=99,Z120,IF(AC$110=0,INDEX($F101:$N101,0,AC$108),(INDEX($F101:$N101,0,AC$110+1)-INDEX($F101:$N101,0,AC$110))/(INDEX($F$4:$N$4,0,AC$110+1)-INDEX($F$4:$N$4,0,AC$110))+Z120)))</f>
        <v>0.036415923013421295</v>
      </c>
      <c r="AD120" s="9" cm="1">
        <f t="array" ref="AD120">IF(AD$110=-1,AE120,IF(AD$110=99,AC120,IF(AD$110=0,INDEX($F101:$N101,0,AD$108),(INDEX($F101:$N101,0,AD$110+1)-INDEX($F101:$N101,0,AD$110))/(INDEX($F$4:$N$4,0,AD$110+1)-INDEX($F$4:$N$4,0,AD$110))+AC120)))</f>
        <v>0.037210200391479237</v>
      </c>
      <c r="AE120" s="9" cm="1">
        <f t="array" ref="AE120">IF(AE$110=-1,AF120,IF(AE$110=99,AD120,IF(AE$110=0,INDEX($F101:$N101,0,AE$108),(INDEX($F101:$N101,0,AE$110+1)-INDEX($F101:$N101,0,AE$110))/(INDEX($F$4:$N$4,0,AE$110+1)-INDEX($F$4:$N$4,0,AE$110))+AD120)))</f>
        <v>0.038358468608766391</v>
      </c>
      <c r="AF120" s="9" cm="1">
        <f t="array" ref="AF120">IF(AF$110=-1,AG120,IF(AF$110=99,AE120,IF(AF$110=0,INDEX($F101:$N101,0,AF$108),(INDEX($F101:$N101,0,AF$110+1)-INDEX($F101:$N101,0,AF$110))/(INDEX($F$4:$N$4,0,AF$110+1)-INDEX($F$4:$N$4,0,AF$110))+AE120)))</f>
        <v>0.039506736826053546</v>
      </c>
      <c r="AG120" s="9" cm="1">
        <f t="array" ref="AG120">IF(AG$110=-1,AH120,IF(AG$110=99,AF120,IF(AG$110=0,INDEX($F101:$N101,0,AG$108),(INDEX($F101:$N101,0,AG$110+1)-INDEX($F101:$N101,0,AG$110))/(INDEX($F$4:$N$4,0,AG$110+1)-INDEX($F$4:$N$4,0,AG$110))+AF120)))</f>
        <v>0.0406550050433407</v>
      </c>
      <c r="AH120" s="9" cm="1">
        <f t="array" ref="AH120">IF(AH$110=-1,AI120,IF(AH$110=99,AG120,IF(AH$110=0,INDEX($F101:$N101,0,AH$108),(INDEX($F101:$N101,0,AH$110+1)-INDEX($F101:$N101,0,AH$110))/(INDEX($F$4:$N$4,0,AH$110+1)-INDEX($F$4:$N$4,0,AH$110))+AG120)))</f>
        <v>0.041803273260627855</v>
      </c>
      <c r="AI120" s="9" cm="1">
        <f t="array" ref="AI120">IF(AI$110=-1,AJ120,IF(AI$110=99,AH120,IF(AI$110=0,INDEX($F101:$N101,0,AI$108),(INDEX($F101:$N101,0,AI$110+1)-INDEX($F101:$N101,0,AI$110))/(INDEX($F$4:$N$4,0,AI$110+1)-INDEX($F$4:$N$4,0,AI$110))+AH120)))</f>
        <v>0.042951541477915009</v>
      </c>
      <c r="AJ120" s="9" cm="1">
        <f t="array" ref="AJ120">IF(AJ$110=-1,AK120,IF(AJ$110=99,AI120,IF(AJ$110=0,INDEX($F101:$N101,0,AJ$108),(INDEX($F101:$N101,0,AJ$110+1)-INDEX($F101:$N101,0,AJ$110))/(INDEX($F$4:$N$4,0,AJ$110+1)-INDEX($F$4:$N$4,0,AJ$110))+AI120)))</f>
        <v>0.044099809695202163</v>
      </c>
      <c r="AK120" s="9" cm="1">
        <f t="array" ref="AK120">IF(AK$110=-1,AL120,IF(AK$110=99,AJ120,IF(AK$110=0,INDEX($F101:$N101,0,AK$108),(INDEX($F101:$N101,0,AK$110+1)-INDEX($F101:$N101,0,AK$110))/(INDEX($F$4:$N$4,0,AK$110+1)-INDEX($F$4:$N$4,0,AK$110))+AJ120)))</f>
        <v>0.045248077912489318</v>
      </c>
      <c r="AL120" s="9" cm="1">
        <f t="array" ref="AL120">IF(AL$110=-1,AM120,IF(AL$110=99,AK120,IF(AL$110=0,INDEX($F101:$N101,0,AL$108),(INDEX($F101:$N101,0,AL$110+1)-INDEX($F101:$N101,0,AL$110))/(INDEX($F$4:$N$4,0,AL$110+1)-INDEX($F$4:$N$4,0,AL$110))+AK120)))</f>
        <v>0.046396346129776472</v>
      </c>
      <c r="AM120" s="9" cm="1">
        <f t="array" ref="AM120">IF(AM$110=-1,AN120,IF(AM$110=99,AL120,IF(AM$110=0,INDEX($F101:$N101,0,AM$108),(INDEX($F101:$N101,0,AM$110+1)-INDEX($F101:$N101,0,AM$110))/(INDEX($F$4:$N$4,0,AM$110+1)-INDEX($F$4:$N$4,0,AM$110))+AL120)))</f>
        <v>0.047544614347063627</v>
      </c>
      <c r="AN120" s="9" cm="1">
        <f t="array" ref="AN120">IF(AN$110=-1,AO120,IF(AN$110=99,AM120,IF(AN$110=0,INDEX($F101:$N101,0,AN$108),(INDEX($F101:$N101,0,AN$110+1)-INDEX($F101:$N101,0,AN$110))/(INDEX($F$4:$N$4,0,AN$110+1)-INDEX($F$4:$N$4,0,AN$110))+AM120)))</f>
        <v>0.048692882564350753</v>
      </c>
      <c r="AO120" s="9" cm="1">
        <f t="array" ref="AO120">IF(AO$110=-1,AP120,IF(AO$110=99,AN120,IF(AO$110=0,INDEX($F101:$N101,0,AO$108),(INDEX($F101:$N101,0,AO$110+1)-INDEX($F101:$N101,0,AO$110))/(INDEX($F$4:$N$4,0,AO$110+1)-INDEX($F$4:$N$4,0,AO$110))+AN120)))</f>
        <v>0.050013650034596263</v>
      </c>
      <c r="AP120" s="9" cm="1">
        <f t="array" ref="AP120">IF(AP$110=-1,AQ120,IF(AP$110=99,AO120,IF(AP$110=0,INDEX($F101:$N101,0,AP$108),(INDEX($F101:$N101,0,AP$110+1)-INDEX($F101:$N101,0,AP$110))/(INDEX($F$4:$N$4,0,AP$110+1)-INDEX($F$4:$N$4,0,AP$110))+AO120)))</f>
        <v>0.051334417504841773</v>
      </c>
      <c r="AQ120" s="9" cm="1">
        <f t="array" ref="AQ120">IF(AQ$110=-1,AR120,IF(AQ$110=99,AP120,IF(AQ$110=0,INDEX($F101:$N101,0,AQ$108),(INDEX($F101:$N101,0,AQ$110+1)-INDEX($F101:$N101,0,AQ$110))/(INDEX($F$4:$N$4,0,AQ$110+1)-INDEX($F$4:$N$4,0,AQ$110))+AP120)))</f>
        <v>0.052655184975087282</v>
      </c>
      <c r="AR120" s="9" cm="1">
        <f t="array" ref="AR120">IF(AR$110=-1,AS120,IF(AR$110=99,AQ120,IF(AR$110=0,INDEX($F101:$N101,0,AR$108),(INDEX($F101:$N101,0,AR$110+1)-INDEX($F101:$N101,0,AR$110))/(INDEX($F$4:$N$4,0,AR$110+1)-INDEX($F$4:$N$4,0,AR$110))+AQ120)))</f>
        <v>0.053975952445332792</v>
      </c>
      <c r="AS120" s="9" cm="1">
        <f t="array" ref="AS120">IF(AS$110=-1,AT120,IF(AS$110=99,AR120,IF(AS$110=0,INDEX($F101:$N101,0,AS$108),(INDEX($F101:$N101,0,AS$110+1)-INDEX($F101:$N101,0,AS$110))/(INDEX($F$4:$N$4,0,AS$110+1)-INDEX($F$4:$N$4,0,AS$110))+AR120)))</f>
        <v>0.055296719915578302</v>
      </c>
      <c r="AT120" s="9" cm="1">
        <f t="array" ref="AT120">IF(AT$110=-1,AU120,IF(AT$110=99,AS120,IF(AT$110=0,INDEX($F101:$N101,0,AT$108),(INDEX($F101:$N101,0,AT$110+1)-INDEX($F101:$N101,0,AT$110))/(INDEX($F$4:$N$4,0,AT$110+1)-INDEX($F$4:$N$4,0,AT$110))+AS120)))</f>
        <v>0.056617487385823811</v>
      </c>
      <c r="AU120" s="9" cm="1">
        <f t="array" ref="AU120">IF(AU$110=-1,AV120,IF(AU$110=99,AT120,IF(AU$110=0,INDEX($F101:$N101,0,AU$108),(INDEX($F101:$N101,0,AU$110+1)-INDEX($F101:$N101,0,AU$110))/(INDEX($F$4:$N$4,0,AU$110+1)-INDEX($F$4:$N$4,0,AU$110))+AT120)))</f>
        <v>0.057938254856069321</v>
      </c>
      <c r="AV120" s="9" cm="1">
        <f t="array" ref="AV120">IF(AV$110=-1,AW120,IF(AV$110=99,AU120,IF(AV$110=0,INDEX($F101:$N101,0,AV$108),(INDEX($F101:$N101,0,AV$110+1)-INDEX($F101:$N101,0,AV$110))/(INDEX($F$4:$N$4,0,AV$110+1)-INDEX($F$4:$N$4,0,AV$110))+AU120)))</f>
        <v>0.059259022326314831</v>
      </c>
      <c r="AW120" s="9" cm="1">
        <f t="array" ref="AW120">IF(AW$110=-1,AX120,IF(AW$110=99,AV120,IF(AW$110=0,INDEX($F101:$N101,0,AW$108),(INDEX($F101:$N101,0,AW$110+1)-INDEX($F101:$N101,0,AW$110))/(INDEX($F$4:$N$4,0,AW$110+1)-INDEX($F$4:$N$4,0,AW$110))+AV120)))</f>
        <v>0.06057978979656034</v>
      </c>
      <c r="AX120" s="9" cm="1">
        <f t="array" ref="AX120">IF(AX$110=-1,AY120,IF(AX$110=99,AW120,IF(AX$110=0,INDEX($F101:$N101,0,AX$108),(INDEX($F101:$N101,0,AX$110+1)-INDEX($F101:$N101,0,AX$110))/(INDEX($F$4:$N$4,0,AX$110+1)-INDEX($F$4:$N$4,0,AX$110))+AW120)))</f>
        <v>0.061900557266805857</v>
      </c>
      <c r="AY120" s="9" cm="1">
        <f t="array" ref="AY120">IF(AY$110=-1,AZ120,IF(AY$110=99,AX120,IF(AY$110=0,INDEX($F101:$N101,0,AY$108),(INDEX($F101:$N101,0,AY$110+1)-INDEX($F101:$N101,0,AY$110))/(INDEX($F$4:$N$4,0,AY$110+1)-INDEX($F$4:$N$4,0,AY$110))+AX120)))</f>
        <v>0.07512465061405757</v>
      </c>
      <c r="AZ120" s="9" cm="1">
        <f t="array" ref="AZ120">IF(AZ$110=-1,BA120,IF(AZ$110=99,AY120,IF(AZ$110=0,INDEX($F101:$N101,0,AZ$108),(INDEX($F101:$N101,0,AZ$110+1)-INDEX($F101:$N101,0,AZ$110))/(INDEX($F$4:$N$4,0,AZ$110+1)-INDEX($F$4:$N$4,0,AZ$110))+AY120)))</f>
        <v>0.080703609531904696</v>
      </c>
    </row>
    <row r="121" spans="1:52" ht="15">
      <c r="A121" s="103" t="s">
        <v>16</v>
      </c>
      <c r="B121" s="20" t="str">
        <f t="shared" si="320"/>
        <v/>
      </c>
      <c r="C121" s="21" t="str">
        <f t="shared" si="321"/>
        <v/>
      </c>
      <c r="D121" s="48" t="s">
        <v>366</v>
      </c>
      <c r="E121" s="21" t="str">
        <f t="shared" si="322"/>
        <v/>
      </c>
      <c r="H121" s="21" t="str">
        <f t="shared" si="322"/>
        <v/>
      </c>
      <c r="J121" s="21" t="str">
        <f t="shared" si="322"/>
        <v/>
      </c>
      <c r="K121" s="21" t="str">
        <f t="shared" si="322"/>
        <v/>
      </c>
      <c r="L121" s="110" t="str">
        <f t="shared" si="323"/>
        <v/>
      </c>
      <c r="M121" s="9" cm="1">
        <f t="array" ref="M121">IF(M$110=-1,N121,IF(M$110=99,#REF!,IF(M$110=0,INDEX($F102:$N102,0,M$108),(INDEX($F102:$N102,0,M$110+1)-INDEX($F102:$N102,0,M$110))/(INDEX($F$4:$N$4,0,M$110+1)-INDEX($F$4:$N$4,0,M$110))+#REF!)))</f>
        <v>22</v>
      </c>
      <c r="N121" s="9" cm="1">
        <f t="array" ref="N121">IF(N$110=-1,O121,IF(N$110=99,M121,IF(N$110=0,INDEX($F102:$N102,0,N$108),(INDEX($F102:$N102,0,N$110+1)-INDEX($F102:$N102,0,N$110))/(INDEX($F$4:$N$4,0,N$110+1)-INDEX($F$4:$N$4,0,N$110))+M121)))</f>
        <v>20.60902456349335</v>
      </c>
      <c r="O121" s="9" cm="1">
        <f t="array" ref="O121">IF(O$110=-1,P121,IF(O$110=99,N121,IF(O$110=0,INDEX($F102:$N102,0,O$108),(INDEX($F102:$N102,0,O$110+1)-INDEX($F102:$N102,0,O$110))/(INDEX($F$4:$N$4,0,O$110+1)-INDEX($F$4:$N$4,0,O$110))+N121)))</f>
        <v>19.218049126986699</v>
      </c>
      <c r="P121" s="9" cm="1">
        <f t="array" ref="P121">IF(P$110=-1,S121,IF(P$110=99,O121,IF(P$110=0,INDEX($F102:$N102,0,P$108),(INDEX($F102:$N102,0,P$110+1)-INDEX($F102:$N102,0,P$110))/(INDEX($F$4:$N$4,0,P$110+1)-INDEX($F$4:$N$4,0,P$110))+O121)))</f>
        <v>17.206637381742077</v>
      </c>
      <c r="Q121" s="9" cm="1">
        <f t="array" ref="Q121">IF(Q$110=-1,R121,IF(Q$110=99,N121,IF(Q$110=0,INDEX($F102:$N102,0,Q$108),(INDEX($F102:$N102,0,Q$110+1)-INDEX($F102:$N102,0,Q$110))/(INDEX($F$4:$N$4,0,Q$110+1)-INDEX($F$4:$N$4,0,Q$110))+N121)))</f>
        <v>19.218049126986699</v>
      </c>
      <c r="R121" s="9" cm="1">
        <f t="array" ref="R121">IF(R$110=-1,S121,IF(R$110=99,O121,IF(R$110=0,INDEX($F102:$N102,0,R$108),(INDEX($F102:$N102,0,R$110+1)-INDEX($F102:$N102,0,R$110))/(INDEX($F$4:$N$4,0,R$110+1)-INDEX($F$4:$N$4,0,R$110))+O121)))</f>
        <v>17.206637381742077</v>
      </c>
      <c r="S121" s="9" cm="1">
        <f t="array" ref="S121">IF(S$110=-1,T121,IF(S$110=99,P121,IF(S$110=0,INDEX($F102:$N102,0,S$108),(INDEX($F102:$N102,0,S$110+1)-INDEX($F102:$N102,0,S$110))/(INDEX($F$4:$N$4,0,S$110+1)-INDEX($F$4:$N$4,0,S$110))+P121)))</f>
        <v>17.134223238421335</v>
      </c>
      <c r="T121" s="9" cm="1">
        <f t="array" ref="T121">IF(T$110=-1,U121,IF(T$110=99,S121,IF(T$110=0,INDEX($F102:$N102,0,T$108),(INDEX($F102:$N102,0,T$110+1)-INDEX($F102:$N102,0,T$110))/(INDEX($F$4:$N$4,0,T$110+1)-INDEX($F$4:$N$4,0,T$110))+S121)))</f>
        <v>18.322969849623217</v>
      </c>
      <c r="U121" s="9" cm="1">
        <f t="array" ref="U121">IF(U$110=-1,V121,IF(U$110=99,T121,IF(U$110=0,INDEX($F102:$N102,0,U$108),(INDEX($F102:$N102,0,U$110+1)-INDEX($F102:$N102,0,U$110))/(INDEX($F$4:$N$4,0,U$110+1)-INDEX($F$4:$N$4,0,U$110))+T121)))</f>
        <v>19.511716460825099</v>
      </c>
      <c r="V121" s="9" cm="1">
        <f t="array" ref="V121">IF(V$110=-1,W121,IF(V$110=99,U121,IF(V$110=0,INDEX($F102:$N102,0,V$108),(INDEX($F102:$N102,0,V$110+1)-INDEX($F102:$N102,0,V$110))/(INDEX($F$4:$N$4,0,V$110+1)-INDEX($F$4:$N$4,0,V$110))+U121)))</f>
        <v>20.700463072026981</v>
      </c>
      <c r="W121" s="9" cm="1">
        <f t="array" ref="W121">IF(W$110=-1,X121,IF(W$110=99,V121,IF(W$110=0,INDEX($F102:$N102,0,W$108),(INDEX($F102:$N102,0,W$110+1)-INDEX($F102:$N102,0,W$110))/(INDEX($F$4:$N$4,0,W$110+1)-INDEX($F$4:$N$4,0,W$110))+V121)))</f>
        <v>21.889209683228863</v>
      </c>
      <c r="X121" s="9" cm="1">
        <f t="array" ref="X121">IF(X$110=-1,Y121,IF(X$110=99,W121,IF(X$110=0,INDEX($F102:$N102,0,X$108),(INDEX($F102:$N102,0,X$110+1)-INDEX($F102:$N102,0,X$110))/(INDEX($F$4:$N$4,0,X$110+1)-INDEX($F$4:$N$4,0,X$110))+W121)))</f>
        <v>23.077956294430745</v>
      </c>
      <c r="Y121" s="9" cm="1">
        <f t="array" ref="Y121">IF(Y$110=-1,Z121,IF(Y$110=99,X121,IF(Y$110=0,INDEX($F102:$N102,0,Y$108),(INDEX($F102:$N102,0,Y$110+1)-INDEX($F102:$N102,0,Y$110))/(INDEX($F$4:$N$4,0,Y$110+1)-INDEX($F$4:$N$4,0,Y$110))+X121)))</f>
        <v>24.266702905632627</v>
      </c>
      <c r="Z121" s="9" cm="1">
        <f t="array" ref="Z121">IF(Z$110=-1,AC121,IF(Z$110=99,Y121,IF(Z$110=0,INDEX($F102:$N102,0,Z$108),(INDEX($F102:$N102,0,Z$110+1)-INDEX($F102:$N102,0,Z$110))/(INDEX($F$4:$N$4,0,Z$110+1)-INDEX($F$4:$N$4,0,Z$110))+Y121)))</f>
        <v>25.455449516834509</v>
      </c>
      <c r="AA121" s="9" cm="1">
        <f t="array" ref="AA121">IF(AA$110=-1,AB121,IF(AA$110=99,X121,IF(AA$110=0,INDEX($F102:$N102,0,AA$108),(INDEX($F102:$N102,0,AA$110+1)-INDEX($F102:$N102,0,AA$110))/(INDEX($F$4:$N$4,0,AA$110+1)-INDEX($F$4:$N$4,0,AA$110))+X121)))</f>
        <v>24.266702905632627</v>
      </c>
      <c r="AB121" s="9" cm="1">
        <f t="array" ref="AB121">IF(AB$110=-1,AC121,IF(AB$110=99,Y121,IF(AB$110=0,INDEX($F102:$N102,0,AB$108),(INDEX($F102:$N102,0,AB$110+1)-INDEX($F102:$N102,0,AB$110))/(INDEX($F$4:$N$4,0,AB$110+1)-INDEX($F$4:$N$4,0,AB$110))+Y121)))</f>
        <v>25.455449516834509</v>
      </c>
      <c r="AC121" s="9" cm="1">
        <f t="array" ref="AC121">IF(AC$110=-1,AD121,IF(AC$110=99,Z121,IF(AC$110=0,INDEX($F102:$N102,0,AC$108),(INDEX($F102:$N102,0,AC$110+1)-INDEX($F102:$N102,0,AC$110))/(INDEX($F$4:$N$4,0,AC$110+1)-INDEX($F$4:$N$4,0,AC$110))+Z121)))</f>
        <v>26.644196128036391</v>
      </c>
      <c r="AD121" s="9" cm="1">
        <f t="array" ref="AD121">IF(AD$110=-1,AE121,IF(AD$110=99,AC121,IF(AD$110=0,INDEX($F102:$N102,0,AD$108),(INDEX($F102:$N102,0,AD$110+1)-INDEX($F102:$N102,0,AD$110))/(INDEX($F$4:$N$4,0,AD$110+1)-INDEX($F$4:$N$4,0,AD$110))+AC121)))</f>
        <v>27.83294273923827</v>
      </c>
      <c r="AE121" s="9" cm="1">
        <f t="array" ref="AE121">IF(AE$110=-1,AF121,IF(AE$110=99,AD121,IF(AE$110=0,INDEX($F102:$N102,0,AE$108),(INDEX($F102:$N102,0,AE$110+1)-INDEX($F102:$N102,0,AE$110))/(INDEX($F$4:$N$4,0,AE$110+1)-INDEX($F$4:$N$4,0,AE$110))+AD121)))</f>
        <v>28.691838504506951</v>
      </c>
      <c r="AF121" s="9" cm="1">
        <f t="array" ref="AF121">IF(AF$110=-1,AG121,IF(AF$110=99,AE121,IF(AF$110=0,INDEX($F102:$N102,0,AF$108),(INDEX($F102:$N102,0,AF$110+1)-INDEX($F102:$N102,0,AF$110))/(INDEX($F$4:$N$4,0,AF$110+1)-INDEX($F$4:$N$4,0,AF$110))+AE121)))</f>
        <v>29.550734269775631</v>
      </c>
      <c r="AG121" s="9" cm="1">
        <f t="array" ref="AG121">IF(AG$110=-1,AH121,IF(AG$110=99,AF121,IF(AG$110=0,INDEX($F102:$N102,0,AG$108),(INDEX($F102:$N102,0,AG$110+1)-INDEX($F102:$N102,0,AG$110))/(INDEX($F$4:$N$4,0,AG$110+1)-INDEX($F$4:$N$4,0,AG$110))+AF121)))</f>
        <v>30.409630035044312</v>
      </c>
      <c r="AH121" s="9" cm="1">
        <f t="array" ref="AH121">IF(AH$110=-1,AI121,IF(AH$110=99,AG121,IF(AH$110=0,INDEX($F102:$N102,0,AH$108),(INDEX($F102:$N102,0,AH$110+1)-INDEX($F102:$N102,0,AH$110))/(INDEX($F$4:$N$4,0,AH$110+1)-INDEX($F$4:$N$4,0,AH$110))+AG121)))</f>
        <v>31.268525800312993</v>
      </c>
      <c r="AI121" s="9" cm="1">
        <f t="array" ref="AI121">IF(AI$110=-1,AJ121,IF(AI$110=99,AH121,IF(AI$110=0,INDEX($F102:$N102,0,AI$108),(INDEX($F102:$N102,0,AI$110+1)-INDEX($F102:$N102,0,AI$110))/(INDEX($F$4:$N$4,0,AI$110+1)-INDEX($F$4:$N$4,0,AI$110))+AH121)))</f>
        <v>32.12742156558167</v>
      </c>
      <c r="AJ121" s="9" cm="1">
        <f t="array" ref="AJ121">IF(AJ$110=-1,AK121,IF(AJ$110=99,AI121,IF(AJ$110=0,INDEX($F102:$N102,0,AJ$108),(INDEX($F102:$N102,0,AJ$110+1)-INDEX($F102:$N102,0,AJ$110))/(INDEX($F$4:$N$4,0,AJ$110+1)-INDEX($F$4:$N$4,0,AJ$110))+AI121)))</f>
        <v>32.986317330850355</v>
      </c>
      <c r="AK121" s="9" cm="1">
        <f t="array" ref="AK121">IF(AK$110=-1,AL121,IF(AK$110=99,AJ121,IF(AK$110=0,INDEX($F102:$N102,0,AK$108),(INDEX($F102:$N102,0,AK$110+1)-INDEX($F102:$N102,0,AK$110))/(INDEX($F$4:$N$4,0,AK$110+1)-INDEX($F$4:$N$4,0,AK$110))+AJ121)))</f>
        <v>33.845213096119039</v>
      </c>
      <c r="AL121" s="9" cm="1">
        <f t="array" ref="AL121">IF(AL$110=-1,AM121,IF(AL$110=99,AK121,IF(AL$110=0,INDEX($F102:$N102,0,AL$108),(INDEX($F102:$N102,0,AL$110+1)-INDEX($F102:$N102,0,AL$110))/(INDEX($F$4:$N$4,0,AL$110+1)-INDEX($F$4:$N$4,0,AL$110))+AK121)))</f>
        <v>34.704108861387724</v>
      </c>
      <c r="AM121" s="9" cm="1">
        <f t="array" ref="AM121">IF(AM$110=-1,AN121,IF(AM$110=99,AL121,IF(AM$110=0,INDEX($F102:$N102,0,AM$108),(INDEX($F102:$N102,0,AM$110+1)-INDEX($F102:$N102,0,AM$110))/(INDEX($F$4:$N$4,0,AM$110+1)-INDEX($F$4:$N$4,0,AM$110))+AL121)))</f>
        <v>35.563004626656408</v>
      </c>
      <c r="AN121" s="9" cm="1">
        <f t="array" ref="AN121">IF(AN$110=-1,AO121,IF(AN$110=99,AM121,IF(AN$110=0,INDEX($F102:$N102,0,AN$108),(INDEX($F102:$N102,0,AN$110+1)-INDEX($F102:$N102,0,AN$110))/(INDEX($F$4:$N$4,0,AN$110+1)-INDEX($F$4:$N$4,0,AN$110))+AM121)))</f>
        <v>36.421900391925078</v>
      </c>
      <c r="AO121" s="9" cm="1">
        <f t="array" ref="AO121">IF(AO$110=-1,AP121,IF(AO$110=99,AN121,IF(AO$110=0,INDEX($F102:$N102,0,AO$108),(INDEX($F102:$N102,0,AO$110+1)-INDEX($F102:$N102,0,AO$110))/(INDEX($F$4:$N$4,0,AO$110+1)-INDEX($F$4:$N$4,0,AO$110))+AN121)))</f>
        <v>37.409824267218418</v>
      </c>
      <c r="AP121" s="9" cm="1">
        <f t="array" ref="AP121">IF(AP$110=-1,AQ121,IF(AP$110=99,AO121,IF(AP$110=0,INDEX($F102:$N102,0,AP$108),(INDEX($F102:$N102,0,AP$110+1)-INDEX($F102:$N102,0,AP$110))/(INDEX($F$4:$N$4,0,AP$110+1)-INDEX($F$4:$N$4,0,AP$110))+AO121)))</f>
        <v>38.397748142511759</v>
      </c>
      <c r="AQ121" s="9" cm="1">
        <f t="array" ref="AQ121">IF(AQ$110=-1,AR121,IF(AQ$110=99,AP121,IF(AQ$110=0,INDEX($F102:$N102,0,AQ$108),(INDEX($F102:$N102,0,AQ$110+1)-INDEX($F102:$N102,0,AQ$110))/(INDEX($F$4:$N$4,0,AQ$110+1)-INDEX($F$4:$N$4,0,AQ$110))+AP121)))</f>
        <v>39.385672017805099</v>
      </c>
      <c r="AR121" s="9" cm="1">
        <f t="array" ref="AR121">IF(AR$110=-1,AS121,IF(AR$110=99,AQ121,IF(AR$110=0,INDEX($F102:$N102,0,AR$108),(INDEX($F102:$N102,0,AR$110+1)-INDEX($F102:$N102,0,AR$110))/(INDEX($F$4:$N$4,0,AR$110+1)-INDEX($F$4:$N$4,0,AR$110))+AQ121)))</f>
        <v>40.37359589309844</v>
      </c>
      <c r="AS121" s="9" cm="1">
        <f t="array" ref="AS121">IF(AS$110=-1,AT121,IF(AS$110=99,AR121,IF(AS$110=0,INDEX($F102:$N102,0,AS$108),(INDEX($F102:$N102,0,AS$110+1)-INDEX($F102:$N102,0,AS$110))/(INDEX($F$4:$N$4,0,AS$110+1)-INDEX($F$4:$N$4,0,AS$110))+AR121)))</f>
        <v>41.36151976839178</v>
      </c>
      <c r="AT121" s="9" cm="1">
        <f t="array" ref="AT121">IF(AT$110=-1,AU121,IF(AT$110=99,AS121,IF(AT$110=0,INDEX($F102:$N102,0,AT$108),(INDEX($F102:$N102,0,AT$110+1)-INDEX($F102:$N102,0,AT$110))/(INDEX($F$4:$N$4,0,AT$110+1)-INDEX($F$4:$N$4,0,AT$110))+AS121)))</f>
        <v>42.34944364368512</v>
      </c>
      <c r="AU121" s="9" cm="1">
        <f t="array" ref="AU121">IF(AU$110=-1,AV121,IF(AU$110=99,AT121,IF(AU$110=0,INDEX($F102:$N102,0,AU$108),(INDEX($F102:$N102,0,AU$110+1)-INDEX($F102:$N102,0,AU$110))/(INDEX($F$4:$N$4,0,AU$110+1)-INDEX($F$4:$N$4,0,AU$110))+AT121)))</f>
        <v>43.337367518978461</v>
      </c>
      <c r="AV121" s="9" cm="1">
        <f t="array" ref="AV121">IF(AV$110=-1,AW121,IF(AV$110=99,AU121,IF(AV$110=0,INDEX($F102:$N102,0,AV$108),(INDEX($F102:$N102,0,AV$110+1)-INDEX($F102:$N102,0,AV$110))/(INDEX($F$4:$N$4,0,AV$110+1)-INDEX($F$4:$N$4,0,AV$110))+AU121)))</f>
        <v>44.325291394271801</v>
      </c>
      <c r="AW121" s="9" cm="1">
        <f t="array" ref="AW121">IF(AW$110=-1,AX121,IF(AW$110=99,AV121,IF(AW$110=0,INDEX($F102:$N102,0,AW$108),(INDEX($F102:$N102,0,AW$110+1)-INDEX($F102:$N102,0,AW$110))/(INDEX($F$4:$N$4,0,AW$110+1)-INDEX($F$4:$N$4,0,AW$110))+AV121)))</f>
        <v>45.313215269565141</v>
      </c>
      <c r="AX121" s="9" cm="1">
        <f t="array" ref="AX121">IF(AX$110=-1,AY121,IF(AX$110=99,AW121,IF(AX$110=0,INDEX($F102:$N102,0,AX$108),(INDEX($F102:$N102,0,AX$110+1)-INDEX($F102:$N102,0,AX$110))/(INDEX($F$4:$N$4,0,AX$110+1)-INDEX($F$4:$N$4,0,AX$110))+AW121)))</f>
        <v>46.301139144858453</v>
      </c>
      <c r="AY121" s="9" cm="1">
        <f t="array" ref="AY121">IF(AY$110=-1,AZ121,IF(AY$110=99,AX121,IF(AY$110=0,INDEX($F102:$N102,0,AY$108),(INDEX($F102:$N102,0,AY$110+1)-INDEX($F102:$N102,0,AY$110))/(INDEX($F$4:$N$4,0,AY$110+1)-INDEX($F$4:$N$4,0,AY$110))+AX121)))</f>
        <v>56.192658917395939</v>
      </c>
      <c r="AZ121" s="9" cm="1">
        <f t="array" ref="AZ121">IF(AZ$110=-1,BA121,IF(AZ$110=99,AY121,IF(AZ$110=0,INDEX($F102:$N102,0,AZ$108),(INDEX($F102:$N102,0,AZ$110+1)-INDEX($F102:$N102,0,AZ$110))/(INDEX($F$4:$N$4,0,AZ$110+1)-INDEX($F$4:$N$4,0,AZ$110))+AY121)))</f>
        <v>60.365677134749021</v>
      </c>
    </row>
    <row r="122" spans="1:52" ht="15">
      <c r="A122" s="103" t="s">
        <v>16</v>
      </c>
      <c r="B122" s="20" t="str">
        <f t="shared" si="320"/>
        <v/>
      </c>
      <c r="C122" s="21" t="str">
        <f t="shared" si="321"/>
        <v/>
      </c>
      <c r="D122" s="48" t="s">
        <v>368</v>
      </c>
      <c r="E122" s="21" t="str">
        <f t="shared" si="322"/>
        <v/>
      </c>
      <c r="H122" s="21" t="str">
        <f t="shared" si="322"/>
        <v/>
      </c>
      <c r="J122" s="21" t="str">
        <f t="shared" si="322"/>
        <v/>
      </c>
      <c r="K122" s="21" t="str">
        <f t="shared" si="322"/>
        <v/>
      </c>
      <c r="L122" s="110" t="str">
        <f t="shared" si="323"/>
        <v/>
      </c>
      <c r="M122" s="9" cm="1">
        <f t="array" ref="M122">IF(M$110=-1,N122,IF(M$110=99,#REF!,IF(M$110=0,INDEX($F103:$N103,0,M$108),(INDEX($F103:$N103,0,M$110+1)-INDEX($F103:$N103,0,M$110))/(INDEX($F$4:$N$4,0,M$110+1)-INDEX($F$4:$N$4,0,M$110))+#REF!)))</f>
        <v>27.142505514316699</v>
      </c>
      <c r="N122" s="9" cm="1">
        <f t="array" ref="N122">IF(N$110=-1,O122,IF(N$110=99,M122,IF(N$110=0,INDEX($F103:$N103,0,N$108),(INDEX($F103:$N103,0,N$110+1)-INDEX($F103:$N103,0,N$110))/(INDEX($F$4:$N$4,0,N$110+1)-INDEX($F$4:$N$4,0,N$110))+M122)))</f>
        <v>26.922878309927583</v>
      </c>
      <c r="O122" s="9" cm="1">
        <f t="array" ref="O122">IF(O$110=-1,P122,IF(O$110=99,N122,IF(O$110=0,INDEX($F103:$N103,0,O$108),(INDEX($F103:$N103,0,O$110+1)-INDEX($F103:$N103,0,O$110))/(INDEX($F$4:$N$4,0,O$110+1)-INDEX($F$4:$N$4,0,O$110))+N122)))</f>
        <v>26.703251105538467</v>
      </c>
      <c r="P122" s="9" cm="1">
        <f t="array" ref="P122">IF(P$110=-1,S122,IF(P$110=99,O122,IF(P$110=0,INDEX($F103:$N103,0,P$108),(INDEX($F103:$N103,0,P$110+1)-INDEX($F103:$N103,0,P$110))/(INDEX($F$4:$N$4,0,P$110+1)-INDEX($F$4:$N$4,0,P$110))+O122)))</f>
        <v>25.710844401627732</v>
      </c>
      <c r="Q122" s="9" cm="1">
        <f t="array" ref="Q122">IF(Q$110=-1,R122,IF(Q$110=99,N122,IF(Q$110=0,INDEX($F103:$N103,0,Q$108),(INDEX($F103:$N103,0,Q$110+1)-INDEX($F103:$N103,0,Q$110))/(INDEX($F$4:$N$4,0,Q$110+1)-INDEX($F$4:$N$4,0,Q$110))+N122)))</f>
        <v>26.703251105538467</v>
      </c>
      <c r="R122" s="9" cm="1">
        <f t="array" ref="R122">IF(R$110=-1,S122,IF(R$110=99,O122,IF(R$110=0,INDEX($F103:$N103,0,R$108),(INDEX($F103:$N103,0,R$110+1)-INDEX($F103:$N103,0,R$110))/(INDEX($F$4:$N$4,0,R$110+1)-INDEX($F$4:$N$4,0,R$110))+O122)))</f>
        <v>25.710844401627732</v>
      </c>
      <c r="S122" s="9" cm="1">
        <f t="array" ref="S122">IF(S$110=-1,T122,IF(S$110=99,P122,IF(S$110=0,INDEX($F103:$N103,0,S$108),(INDEX($F103:$N103,0,S$110+1)-INDEX($F103:$N103,0,S$110))/(INDEX($F$4:$N$4,0,S$110+1)-INDEX($F$4:$N$4,0,S$110))+P122)))</f>
        <v>26.957502085054063</v>
      </c>
      <c r="T122" s="9" cm="1">
        <f t="array" ref="T122">IF(T$110=-1,U122,IF(T$110=99,S122,IF(T$110=0,INDEX($F103:$N103,0,T$108),(INDEX($F103:$N103,0,T$110+1)-INDEX($F103:$N103,0,T$110))/(INDEX($F$4:$N$4,0,T$110+1)-INDEX($F$4:$N$4,0,T$110))+S122)))</f>
        <v>27.669761579159054</v>
      </c>
      <c r="U122" s="9" cm="1">
        <f t="array" ref="U122">IF(U$110=-1,V122,IF(U$110=99,T122,IF(U$110=0,INDEX($F103:$N103,0,U$108),(INDEX($F103:$N103,0,U$110+1)-INDEX($F103:$N103,0,U$110))/(INDEX($F$4:$N$4,0,U$110+1)-INDEX($F$4:$N$4,0,U$110))+T122)))</f>
        <v>28.382021073264045</v>
      </c>
      <c r="V122" s="9" cm="1">
        <f t="array" ref="V122">IF(V$110=-1,W122,IF(V$110=99,U122,IF(V$110=0,INDEX($F103:$N103,0,V$108),(INDEX($F103:$N103,0,V$110+1)-INDEX($F103:$N103,0,V$110))/(INDEX($F$4:$N$4,0,V$110+1)-INDEX($F$4:$N$4,0,V$110))+U122)))</f>
        <v>29.094280567369037</v>
      </c>
      <c r="W122" s="9" cm="1">
        <f t="array" ref="W122">IF(W$110=-1,X122,IF(W$110=99,V122,IF(W$110=0,INDEX($F103:$N103,0,W$108),(INDEX($F103:$N103,0,W$110+1)-INDEX($F103:$N103,0,W$110))/(INDEX($F$4:$N$4,0,W$110+1)-INDEX($F$4:$N$4,0,W$110))+V122)))</f>
        <v>29.806540061474028</v>
      </c>
      <c r="X122" s="9" cm="1">
        <f t="array" ref="X122">IF(X$110=-1,Y122,IF(X$110=99,W122,IF(X$110=0,INDEX($F103:$N103,0,X$108),(INDEX($F103:$N103,0,X$110+1)-INDEX($F103:$N103,0,X$110))/(INDEX($F$4:$N$4,0,X$110+1)-INDEX($F$4:$N$4,0,X$110))+W122)))</f>
        <v>30.518799555579019</v>
      </c>
      <c r="Y122" s="9" cm="1">
        <f t="array" ref="Y122">IF(Y$110=-1,Z122,IF(Y$110=99,X122,IF(Y$110=0,INDEX($F103:$N103,0,Y$108),(INDEX($F103:$N103,0,Y$110+1)-INDEX($F103:$N103,0,Y$110))/(INDEX($F$4:$N$4,0,Y$110+1)-INDEX($F$4:$N$4,0,Y$110))+X122)))</f>
        <v>31.23105904968401</v>
      </c>
      <c r="Z122" s="9" cm="1">
        <f t="array" ref="Z122">IF(Z$110=-1,AC122,IF(Z$110=99,Y122,IF(Z$110=0,INDEX($F103:$N103,0,Z$108),(INDEX($F103:$N103,0,Z$110+1)-INDEX($F103:$N103,0,Z$110))/(INDEX($F$4:$N$4,0,Z$110+1)-INDEX($F$4:$N$4,0,Z$110))+Y122)))</f>
        <v>31.943318543789001</v>
      </c>
      <c r="AA122" s="9" cm="1">
        <f t="array" ref="AA122">IF(AA$110=-1,AB122,IF(AA$110=99,X122,IF(AA$110=0,INDEX($F103:$N103,0,AA$108),(INDEX($F103:$N103,0,AA$110+1)-INDEX($F103:$N103,0,AA$110))/(INDEX($F$4:$N$4,0,AA$110+1)-INDEX($F$4:$N$4,0,AA$110))+X122)))</f>
        <v>31.23105904968401</v>
      </c>
      <c r="AB122" s="9" cm="1">
        <f t="array" ref="AB122">IF(AB$110=-1,AC122,IF(AB$110=99,Y122,IF(AB$110=0,INDEX($F103:$N103,0,AB$108),(INDEX($F103:$N103,0,AB$110+1)-INDEX($F103:$N103,0,AB$110))/(INDEX($F$4:$N$4,0,AB$110+1)-INDEX($F$4:$N$4,0,AB$110))+Y122)))</f>
        <v>31.943318543789001</v>
      </c>
      <c r="AC122" s="9" cm="1">
        <f t="array" ref="AC122">IF(AC$110=-1,AD122,IF(AC$110=99,Z122,IF(AC$110=0,INDEX($F103:$N103,0,AC$108),(INDEX($F103:$N103,0,AC$110+1)-INDEX($F103:$N103,0,AC$110))/(INDEX($F$4:$N$4,0,AC$110+1)-INDEX($F$4:$N$4,0,AC$110))+Z122)))</f>
        <v>32.655578037893996</v>
      </c>
      <c r="AD122" s="9" cm="1">
        <f t="array" ref="AD122">IF(AD$110=-1,AE122,IF(AD$110=99,AC122,IF(AD$110=0,INDEX($F103:$N103,0,AD$108),(INDEX($F103:$N103,0,AD$110+1)-INDEX($F103:$N103,0,AD$110))/(INDEX($F$4:$N$4,0,AD$110+1)-INDEX($F$4:$N$4,0,AD$110))+AC122)))</f>
        <v>33.367837531998987</v>
      </c>
      <c r="AE122" s="9" cm="1">
        <f t="array" ref="AE122">IF(AE$110=-1,AF122,IF(AE$110=99,AD122,IF(AE$110=0,INDEX($F103:$N103,0,AE$108),(INDEX($F103:$N103,0,AE$110+1)-INDEX($F103:$N103,0,AE$110))/(INDEX($F$4:$N$4,0,AE$110+1)-INDEX($F$4:$N$4,0,AE$110))+AD122)))</f>
        <v>34.39753441388865</v>
      </c>
      <c r="AF122" s="9" cm="1">
        <f t="array" ref="AF122">IF(AF$110=-1,AG122,IF(AF$110=99,AE122,IF(AF$110=0,INDEX($F103:$N103,0,AF$108),(INDEX($F103:$N103,0,AF$110+1)-INDEX($F103:$N103,0,AF$110))/(INDEX($F$4:$N$4,0,AF$110+1)-INDEX($F$4:$N$4,0,AF$110))+AE122)))</f>
        <v>35.427231295778313</v>
      </c>
      <c r="AG122" s="9" cm="1">
        <f t="array" ref="AG122">IF(AG$110=-1,AH122,IF(AG$110=99,AF122,IF(AG$110=0,INDEX($F103:$N103,0,AG$108),(INDEX($F103:$N103,0,AG$110+1)-INDEX($F103:$N103,0,AG$110))/(INDEX($F$4:$N$4,0,AG$110+1)-INDEX($F$4:$N$4,0,AG$110))+AF122)))</f>
        <v>36.456928177667976</v>
      </c>
      <c r="AH122" s="9" cm="1">
        <f t="array" ref="AH122">IF(AH$110=-1,AI122,IF(AH$110=99,AG122,IF(AH$110=0,INDEX($F103:$N103,0,AH$108),(INDEX($F103:$N103,0,AH$110+1)-INDEX($F103:$N103,0,AH$110))/(INDEX($F$4:$N$4,0,AH$110+1)-INDEX($F$4:$N$4,0,AH$110))+AG122)))</f>
        <v>37.486625059557639</v>
      </c>
      <c r="AI122" s="9" cm="1">
        <f t="array" ref="AI122">IF(AI$110=-1,AJ122,IF(AI$110=99,AH122,IF(AI$110=0,INDEX($F103:$N103,0,AI$108),(INDEX($F103:$N103,0,AI$110+1)-INDEX($F103:$N103,0,AI$110))/(INDEX($F$4:$N$4,0,AI$110+1)-INDEX($F$4:$N$4,0,AI$110))+AH122)))</f>
        <v>38.516321941447302</v>
      </c>
      <c r="AJ122" s="9" cm="1">
        <f t="array" ref="AJ122">IF(AJ$110=-1,AK122,IF(AJ$110=99,AI122,IF(AJ$110=0,INDEX($F103:$N103,0,AJ$108),(INDEX($F103:$N103,0,AJ$110+1)-INDEX($F103:$N103,0,AJ$110))/(INDEX($F$4:$N$4,0,AJ$110+1)-INDEX($F$4:$N$4,0,AJ$110))+AI122)))</f>
        <v>39.546018823336965</v>
      </c>
      <c r="AK122" s="9" cm="1">
        <f t="array" ref="AK122">IF(AK$110=-1,AL122,IF(AK$110=99,AJ122,IF(AK$110=0,INDEX($F103:$N103,0,AK$108),(INDEX($F103:$N103,0,AK$110+1)-INDEX($F103:$N103,0,AK$110))/(INDEX($F$4:$N$4,0,AK$110+1)-INDEX($F$4:$N$4,0,AK$110))+AJ122)))</f>
        <v>40.575715705226628</v>
      </c>
      <c r="AL122" s="9" cm="1">
        <f t="array" ref="AL122">IF(AL$110=-1,AM122,IF(AL$110=99,AK122,IF(AL$110=0,INDEX($F103:$N103,0,AL$108),(INDEX($F103:$N103,0,AL$110+1)-INDEX($F103:$N103,0,AL$110))/(INDEX($F$4:$N$4,0,AL$110+1)-INDEX($F$4:$N$4,0,AL$110))+AK122)))</f>
        <v>41.605412587116291</v>
      </c>
      <c r="AM122" s="9" cm="1">
        <f t="array" ref="AM122">IF(AM$110=-1,AN122,IF(AM$110=99,AL122,IF(AM$110=0,INDEX($F103:$N103,0,AM$108),(INDEX($F103:$N103,0,AM$110+1)-INDEX($F103:$N103,0,AM$110))/(INDEX($F$4:$N$4,0,AM$110+1)-INDEX($F$4:$N$4,0,AM$110))+AL122)))</f>
        <v>42.635109469005954</v>
      </c>
      <c r="AN122" s="9" cm="1">
        <f t="array" ref="AN122">IF(AN$110=-1,AO122,IF(AN$110=99,AM122,IF(AN$110=0,INDEX($F103:$N103,0,AN$108),(INDEX($F103:$N103,0,AN$110+1)-INDEX($F103:$N103,0,AN$110))/(INDEX($F$4:$N$4,0,AN$110+1)-INDEX($F$4:$N$4,0,AN$110))+AM122)))</f>
        <v>43.664806350895645</v>
      </c>
      <c r="AO122" s="9" cm="1">
        <f t="array" ref="AO122">IF(AO$110=-1,AP122,IF(AO$110=99,AN122,IF(AO$110=0,INDEX($F103:$N103,0,AO$108),(INDEX($F103:$N103,0,AO$110+1)-INDEX($F103:$N103,0,AO$110))/(INDEX($F$4:$N$4,0,AO$110+1)-INDEX($F$4:$N$4,0,AO$110))+AN122)))</f>
        <v>44.849190038729624</v>
      </c>
      <c r="AP122" s="9" cm="1">
        <f t="array" ref="AP122">IF(AP$110=-1,AQ122,IF(AP$110=99,AO122,IF(AP$110=0,INDEX($F103:$N103,0,AP$108),(INDEX($F103:$N103,0,AP$110+1)-INDEX($F103:$N103,0,AP$110))/(INDEX($F$4:$N$4,0,AP$110+1)-INDEX($F$4:$N$4,0,AP$110))+AO122)))</f>
        <v>46.033573726563603</v>
      </c>
      <c r="AQ122" s="9" cm="1">
        <f t="array" ref="AQ122">IF(AQ$110=-1,AR122,IF(AQ$110=99,AP122,IF(AQ$110=0,INDEX($F103:$N103,0,AQ$108),(INDEX($F103:$N103,0,AQ$110+1)-INDEX($F103:$N103,0,AQ$110))/(INDEX($F$4:$N$4,0,AQ$110+1)-INDEX($F$4:$N$4,0,AQ$110))+AP122)))</f>
        <v>47.217957414397581</v>
      </c>
      <c r="AR122" s="9" cm="1">
        <f t="array" ref="AR122">IF(AR$110=-1,AS122,IF(AR$110=99,AQ122,IF(AR$110=0,INDEX($F103:$N103,0,AR$108),(INDEX($F103:$N103,0,AR$110+1)-INDEX($F103:$N103,0,AR$110))/(INDEX($F$4:$N$4,0,AR$110+1)-INDEX($F$4:$N$4,0,AR$110))+AQ122)))</f>
        <v>48.40234110223156</v>
      </c>
      <c r="AS122" s="9" cm="1">
        <f t="array" ref="AS122">IF(AS$110=-1,AT122,IF(AS$110=99,AR122,IF(AS$110=0,INDEX($F103:$N103,0,AS$108),(INDEX($F103:$N103,0,AS$110+1)-INDEX($F103:$N103,0,AS$110))/(INDEX($F$4:$N$4,0,AS$110+1)-INDEX($F$4:$N$4,0,AS$110))+AR122)))</f>
        <v>49.586724790065539</v>
      </c>
      <c r="AT122" s="9" cm="1">
        <f t="array" ref="AT122">IF(AT$110=-1,AU122,IF(AT$110=99,AS122,IF(AT$110=0,INDEX($F103:$N103,0,AT$108),(INDEX($F103:$N103,0,AT$110+1)-INDEX($F103:$N103,0,AT$110))/(INDEX($F$4:$N$4,0,AT$110+1)-INDEX($F$4:$N$4,0,AT$110))+AS122)))</f>
        <v>50.771108477899517</v>
      </c>
      <c r="AU122" s="9" cm="1">
        <f t="array" ref="AU122">IF(AU$110=-1,AV122,IF(AU$110=99,AT122,IF(AU$110=0,INDEX($F103:$N103,0,AU$108),(INDEX($F103:$N103,0,AU$110+1)-INDEX($F103:$N103,0,AU$110))/(INDEX($F$4:$N$4,0,AU$110+1)-INDEX($F$4:$N$4,0,AU$110))+AT122)))</f>
        <v>51.955492165733496</v>
      </c>
      <c r="AV122" s="9" cm="1">
        <f t="array" ref="AV122">IF(AV$110=-1,AW122,IF(AV$110=99,AU122,IF(AV$110=0,INDEX($F103:$N103,0,AV$108),(INDEX($F103:$N103,0,AV$110+1)-INDEX($F103:$N103,0,AV$110))/(INDEX($F$4:$N$4,0,AV$110+1)-INDEX($F$4:$N$4,0,AV$110))+AU122)))</f>
        <v>53.139875853567474</v>
      </c>
      <c r="AW122" s="9" cm="1">
        <f t="array" ref="AW122">IF(AW$110=-1,AX122,IF(AW$110=99,AV122,IF(AW$110=0,INDEX($F103:$N103,0,AW$108),(INDEX($F103:$N103,0,AW$110+1)-INDEX($F103:$N103,0,AW$110))/(INDEX($F$4:$N$4,0,AW$110+1)-INDEX($F$4:$N$4,0,AW$110))+AV122)))</f>
        <v>54.324259541401453</v>
      </c>
      <c r="AX122" s="9" cm="1">
        <f t="array" ref="AX122">IF(AX$110=-1,AY122,IF(AX$110=99,AW122,IF(AX$110=0,INDEX($F103:$N103,0,AX$108),(INDEX($F103:$N103,0,AX$110+1)-INDEX($F103:$N103,0,AX$110))/(INDEX($F$4:$N$4,0,AX$110+1)-INDEX($F$4:$N$4,0,AX$110))+AW122)))</f>
        <v>55.50864322923541</v>
      </c>
      <c r="AY122" s="9" cm="1">
        <f t="array" ref="AY122">IF(AY$110=-1,AZ122,IF(AY$110=99,AX122,IF(AY$110=0,INDEX($F103:$N103,0,AY$108),(INDEX($F103:$N103,0,AY$110+1)-INDEX($F103:$N103,0,AY$110))/(INDEX($F$4:$N$4,0,AY$110+1)-INDEX($F$4:$N$4,0,AY$110))+AX122)))</f>
        <v>67.367203346533998</v>
      </c>
      <c r="AZ122" s="9" cm="1">
        <f t="array" ref="AZ122">IF(AZ$110=-1,BA122,IF(AZ$110=99,AY122,IF(AZ$110=0,INDEX($F103:$N103,0,AZ$108),(INDEX($F103:$N103,0,AZ$110+1)-INDEX($F103:$N103,0,AZ$110))/(INDEX($F$4:$N$4,0,AZ$110+1)-INDEX($F$4:$N$4,0,AZ$110))+AY122)))</f>
        <v>72.37007333406163</v>
      </c>
    </row>
    <row r="123" spans="1:52" ht="15">
      <c r="A123" s="36" t="s">
        <v>16</v>
      </c>
      <c r="B123" s="20" t="str">
        <f t="shared" si="320"/>
        <v/>
      </c>
      <c r="C123" s="21" t="str">
        <f t="shared" si="321"/>
        <v/>
      </c>
      <c r="D123" s="48" t="s">
        <v>367</v>
      </c>
      <c r="E123" s="21" t="str">
        <f t="shared" si="322"/>
        <v/>
      </c>
      <c r="H123" s="21" t="str">
        <f t="shared" si="322"/>
        <v/>
      </c>
      <c r="J123" s="21" t="str">
        <f t="shared" si="322"/>
        <v/>
      </c>
      <c r="K123" s="21" t="str">
        <f t="shared" si="322"/>
        <v/>
      </c>
      <c r="L123" s="110" t="str">
        <f t="shared" si="323"/>
        <v/>
      </c>
      <c r="M123" s="9" cm="1">
        <f t="array" ref="M123">IF(M$110=-1,N123,IF(M$110=99,#REF!,IF(M$110=0,INDEX($F104:$N104,0,M$108),(INDEX($F104:$N104,0,M$110+1)-INDEX($F104:$N104,0,M$110))/(INDEX($F$4:$N$4,0,M$110+1)-INDEX($F$4:$N$4,0,M$110))+#REF!)))</f>
        <v>88.672727178245694</v>
      </c>
      <c r="N123" s="9" cm="1">
        <f t="array" ref="N123">IF(N$110=-1,O123,IF(N$110=99,M123,IF(N$110=0,INDEX($F104:$N104,0,N$108),(INDEX($F104:$N104,0,N$110+1)-INDEX($F104:$N104,0,N$110))/(INDEX($F$4:$N$4,0,N$110+1)-INDEX($F$4:$N$4,0,N$110))+M123)))</f>
        <v>88.015304929890732</v>
      </c>
      <c r="O123" s="9" cm="1">
        <f t="array" ref="O123">IF(O$110=-1,P123,IF(O$110=99,N123,IF(O$110=0,INDEX($F104:$N104,0,O$108),(INDEX($F104:$N104,0,O$110+1)-INDEX($F104:$N104,0,O$110))/(INDEX($F$4:$N$4,0,O$110+1)-INDEX($F$4:$N$4,0,O$110))+N123)))</f>
        <v>87.357882681535756</v>
      </c>
      <c r="P123" s="9" cm="1">
        <f t="array" ref="P123">IF(P$110=-1,S123,IF(P$110=99,O123,IF(P$110=0,INDEX($F104:$N104,0,P$108),(INDEX($F104:$N104,0,P$110+1)-INDEX($F104:$N104,0,P$110))/(INDEX($F$4:$N$4,0,P$110+1)-INDEX($F$4:$N$4,0,P$110))+O123)))</f>
        <v>84.559607459462228</v>
      </c>
      <c r="Q123" s="9" cm="1">
        <f t="array" ref="Q123">IF(Q$110=-1,R123,IF(Q$110=99,N123,IF(Q$110=0,INDEX($F104:$N104,0,Q$108),(INDEX($F104:$N104,0,Q$110+1)-INDEX($F104:$N104,0,Q$110))/(INDEX($F$4:$N$4,0,Q$110+1)-INDEX($F$4:$N$4,0,Q$110))+N123)))</f>
        <v>87.357882681535756</v>
      </c>
      <c r="R123" s="9" cm="1">
        <f t="array" ref="R123">IF(R$110=-1,S123,IF(R$110=99,O123,IF(R$110=0,INDEX($F104:$N104,0,R$108),(INDEX($F104:$N104,0,R$110+1)-INDEX($F104:$N104,0,R$110))/(INDEX($F$4:$N$4,0,R$110+1)-INDEX($F$4:$N$4,0,R$110))+O123)))</f>
        <v>84.559607459462228</v>
      </c>
      <c r="S123" s="9" cm="1">
        <f t="array" ref="S123">IF(S$110=-1,T123,IF(S$110=99,P123,IF(S$110=0,INDEX($F104:$N104,0,S$108),(INDEX($F104:$N104,0,S$110+1)-INDEX($F104:$N104,0,S$110))/(INDEX($F$4:$N$4,0,S$110+1)-INDEX($F$4:$N$4,0,S$110))+P123)))</f>
        <v>89.940942914951876</v>
      </c>
      <c r="T123" s="9" cm="1">
        <f t="array" ref="T123">IF(T$110=-1,U123,IF(T$110=99,S123,IF(T$110=0,INDEX($F104:$N104,0,T$108),(INDEX($F104:$N104,0,T$110+1)-INDEX($F104:$N104,0,T$110))/(INDEX($F$4:$N$4,0,T$110+1)-INDEX($F$4:$N$4,0,T$110))+S123)))</f>
        <v>90.138114713236575</v>
      </c>
      <c r="U123" s="9" cm="1">
        <f t="array" ref="U123">IF(U$110=-1,V123,IF(U$110=99,T123,IF(U$110=0,INDEX($F104:$N104,0,U$108),(INDEX($F104:$N104,0,U$110+1)-INDEX($F104:$N104,0,U$110))/(INDEX($F$4:$N$4,0,U$110+1)-INDEX($F$4:$N$4,0,U$110))+T123)))</f>
        <v>90.335286511521275</v>
      </c>
      <c r="V123" s="9" cm="1">
        <f t="array" ref="V123">IF(V$110=-1,W123,IF(V$110=99,U123,IF(V$110=0,INDEX($F104:$N104,0,V$108),(INDEX($F104:$N104,0,V$110+1)-INDEX($F104:$N104,0,V$110))/(INDEX($F$4:$N$4,0,V$110+1)-INDEX($F$4:$N$4,0,V$110))+U123)))</f>
        <v>90.532458309805975</v>
      </c>
      <c r="W123" s="9" cm="1">
        <f t="array" ref="W123">IF(W$110=-1,X123,IF(W$110=99,V123,IF(W$110=0,INDEX($F104:$N104,0,W$108),(INDEX($F104:$N104,0,W$110+1)-INDEX($F104:$N104,0,W$110))/(INDEX($F$4:$N$4,0,W$110+1)-INDEX($F$4:$N$4,0,W$110))+V123)))</f>
        <v>90.729630108090674</v>
      </c>
      <c r="X123" s="9" cm="1">
        <f t="array" ref="X123">IF(X$110=-1,Y123,IF(X$110=99,W123,IF(X$110=0,INDEX($F104:$N104,0,X$108),(INDEX($F104:$N104,0,X$110+1)-INDEX($F104:$N104,0,X$110))/(INDEX($F$4:$N$4,0,X$110+1)-INDEX($F$4:$N$4,0,X$110))+W123)))</f>
        <v>90.926801906375374</v>
      </c>
      <c r="Y123" s="9" cm="1">
        <f t="array" ref="Y123">IF(Y$110=-1,Z123,IF(Y$110=99,X123,IF(Y$110=0,INDEX($F104:$N104,0,Y$108),(INDEX($F104:$N104,0,Y$110+1)-INDEX($F104:$N104,0,Y$110))/(INDEX($F$4:$N$4,0,Y$110+1)-INDEX($F$4:$N$4,0,Y$110))+X123)))</f>
        <v>91.123973704660074</v>
      </c>
      <c r="Z123" s="9" cm="1">
        <f t="array" ref="Z123">IF(Z$110=-1,AC123,IF(Z$110=99,Y123,IF(Z$110=0,INDEX($F104:$N104,0,Z$108),(INDEX($F104:$N104,0,Z$110+1)-INDEX($F104:$N104,0,Z$110))/(INDEX($F$4:$N$4,0,Z$110+1)-INDEX($F$4:$N$4,0,Z$110))+Y123)))</f>
        <v>91.321145502944773</v>
      </c>
      <c r="AA123" s="9" cm="1">
        <f t="array" ref="AA123">IF(AA$110=-1,AB123,IF(AA$110=99,X123,IF(AA$110=0,INDEX($F104:$N104,0,AA$108),(INDEX($F104:$N104,0,AA$110+1)-INDEX($F104:$N104,0,AA$110))/(INDEX($F$4:$N$4,0,AA$110+1)-INDEX($F$4:$N$4,0,AA$110))+X123)))</f>
        <v>91.123973704660074</v>
      </c>
      <c r="AB123" s="9" cm="1">
        <f t="array" ref="AB123">IF(AB$110=-1,AC123,IF(AB$110=99,Y123,IF(AB$110=0,INDEX($F104:$N104,0,AB$108),(INDEX($F104:$N104,0,AB$110+1)-INDEX($F104:$N104,0,AB$110))/(INDEX($F$4:$N$4,0,AB$110+1)-INDEX($F$4:$N$4,0,AB$110))+Y123)))</f>
        <v>91.321145502944773</v>
      </c>
      <c r="AC123" s="9" cm="1">
        <f t="array" ref="AC123">IF(AC$110=-1,AD123,IF(AC$110=99,Z123,IF(AC$110=0,INDEX($F104:$N104,0,AC$108),(INDEX($F104:$N104,0,AC$110+1)-INDEX($F104:$N104,0,AC$110))/(INDEX($F$4:$N$4,0,AC$110+1)-INDEX($F$4:$N$4,0,AC$110))+Z123)))</f>
        <v>91.518317301229473</v>
      </c>
      <c r="AD123" s="9" cm="1">
        <f t="array" ref="AD123">IF(AD$110=-1,AE123,IF(AD$110=99,AC123,IF(AD$110=0,INDEX($F104:$N104,0,AD$108),(INDEX($F104:$N104,0,AD$110+1)-INDEX($F104:$N104,0,AD$110))/(INDEX($F$4:$N$4,0,AD$110+1)-INDEX($F$4:$N$4,0,AD$110))+AC123)))</f>
        <v>91.715489099514144</v>
      </c>
      <c r="AE123" s="9" cm="1">
        <f t="array" ref="AE123">IF(AE$110=-1,AF123,IF(AE$110=99,AD123,IF(AE$110=0,INDEX($F104:$N104,0,AE$108),(INDEX($F104:$N104,0,AE$110+1)-INDEX($F104:$N104,0,AE$110))/(INDEX($F$4:$N$4,0,AE$110+1)-INDEX($F$4:$N$4,0,AE$110))+AD123)))</f>
        <v>93.20854934451566</v>
      </c>
      <c r="AF123" s="9" cm="1">
        <f t="array" ref="AF123">IF(AF$110=-1,AG123,IF(AF$110=99,AE123,IF(AF$110=0,INDEX($F104:$N104,0,AF$108),(INDEX($F104:$N104,0,AF$110+1)-INDEX($F104:$N104,0,AF$110))/(INDEX($F$4:$N$4,0,AF$110+1)-INDEX($F$4:$N$4,0,AF$110))+AE123)))</f>
        <v>94.701609589517176</v>
      </c>
      <c r="AG123" s="9" cm="1">
        <f t="array" ref="AG123">IF(AG$110=-1,AH123,IF(AG$110=99,AF123,IF(AG$110=0,INDEX($F104:$N104,0,AG$108),(INDEX($F104:$N104,0,AG$110+1)-INDEX($F104:$N104,0,AG$110))/(INDEX($F$4:$N$4,0,AG$110+1)-INDEX($F$4:$N$4,0,AG$110))+AF123)))</f>
        <v>96.194669834518692</v>
      </c>
      <c r="AH123" s="9" cm="1">
        <f t="array" ref="AH123">IF(AH$110=-1,AI123,IF(AH$110=99,AG123,IF(AH$110=0,INDEX($F104:$N104,0,AH$108),(INDEX($F104:$N104,0,AH$110+1)-INDEX($F104:$N104,0,AH$110))/(INDEX($F$4:$N$4,0,AH$110+1)-INDEX($F$4:$N$4,0,AH$110))+AG123)))</f>
        <v>97.687730079520207</v>
      </c>
      <c r="AI123" s="9" cm="1">
        <f t="array" ref="AI123">IF(AI$110=-1,AJ123,IF(AI$110=99,AH123,IF(AI$110=0,INDEX($F104:$N104,0,AI$108),(INDEX($F104:$N104,0,AI$110+1)-INDEX($F104:$N104,0,AI$110))/(INDEX($F$4:$N$4,0,AI$110+1)-INDEX($F$4:$N$4,0,AI$110))+AH123)))</f>
        <v>99.180790324521723</v>
      </c>
      <c r="AJ123" s="9" cm="1">
        <f t="array" ref="AJ123">IF(AJ$110=-1,AK123,IF(AJ$110=99,AI123,IF(AJ$110=0,INDEX($F104:$N104,0,AJ$108),(INDEX($F104:$N104,0,AJ$110+1)-INDEX($F104:$N104,0,AJ$110))/(INDEX($F$4:$N$4,0,AJ$110+1)-INDEX($F$4:$N$4,0,AJ$110))+AI123)))</f>
        <v>100.67385056952324</v>
      </c>
      <c r="AK123" s="9" cm="1">
        <f t="array" ref="AK123">IF(AK$110=-1,AL123,IF(AK$110=99,AJ123,IF(AK$110=0,INDEX($F104:$N104,0,AK$108),(INDEX($F104:$N104,0,AK$110+1)-INDEX($F104:$N104,0,AK$110))/(INDEX($F$4:$N$4,0,AK$110+1)-INDEX($F$4:$N$4,0,AK$110))+AJ123)))</f>
        <v>102.16691081452475</v>
      </c>
      <c r="AL123" s="9" cm="1">
        <f t="array" ref="AL123">IF(AL$110=-1,AM123,IF(AL$110=99,AK123,IF(AL$110=0,INDEX($F104:$N104,0,AL$108),(INDEX($F104:$N104,0,AL$110+1)-INDEX($F104:$N104,0,AL$110))/(INDEX($F$4:$N$4,0,AL$110+1)-INDEX($F$4:$N$4,0,AL$110))+AK123)))</f>
        <v>103.65997105952627</v>
      </c>
      <c r="AM123" s="9" cm="1">
        <f t="array" ref="AM123">IF(AM$110=-1,AN123,IF(AM$110=99,AL123,IF(AM$110=0,INDEX($F104:$N104,0,AM$108),(INDEX($F104:$N104,0,AM$110+1)-INDEX($F104:$N104,0,AM$110))/(INDEX($F$4:$N$4,0,AM$110+1)-INDEX($F$4:$N$4,0,AM$110))+AL123)))</f>
        <v>105.15303130452779</v>
      </c>
      <c r="AN123" s="9" cm="1">
        <f t="array" ref="AN123">IF(AN$110=-1,AO123,IF(AN$110=99,AM123,IF(AN$110=0,INDEX($F104:$N104,0,AN$108),(INDEX($F104:$N104,0,AN$110+1)-INDEX($F104:$N104,0,AN$110))/(INDEX($F$4:$N$4,0,AN$110+1)-INDEX($F$4:$N$4,0,AN$110))+AM123)))</f>
        <v>106.64609154952934</v>
      </c>
      <c r="AO123" s="9" cm="1">
        <f t="array" ref="AO123">IF(AO$110=-1,AP123,IF(AO$110=99,AN123,IF(AO$110=0,INDEX($F104:$N104,0,AO$108),(INDEX($F104:$N104,0,AO$110+1)-INDEX($F104:$N104,0,AO$110))/(INDEX($F$4:$N$4,0,AO$110+1)-INDEX($F$4:$N$4,0,AO$110))+AN123)))</f>
        <v>109.08586082383866</v>
      </c>
      <c r="AP123" s="9" cm="1">
        <f t="array" ref="AP123">IF(AP$110=-1,AQ123,IF(AP$110=99,AO123,IF(AP$110=0,INDEX($F104:$N104,0,AP$108),(INDEX($F104:$N104,0,AP$110+1)-INDEX($F104:$N104,0,AP$110))/(INDEX($F$4:$N$4,0,AP$110+1)-INDEX($F$4:$N$4,0,AP$110))+AO123)))</f>
        <v>111.52563009814799</v>
      </c>
      <c r="AQ123" s="9" cm="1">
        <f t="array" ref="AQ123">IF(AQ$110=-1,AR123,IF(AQ$110=99,AP123,IF(AQ$110=0,INDEX($F104:$N104,0,AQ$108),(INDEX($F104:$N104,0,AQ$110+1)-INDEX($F104:$N104,0,AQ$110))/(INDEX($F$4:$N$4,0,AQ$110+1)-INDEX($F$4:$N$4,0,AQ$110))+AP123)))</f>
        <v>113.96539937245731</v>
      </c>
      <c r="AR123" s="9" cm="1">
        <f t="array" ref="AR123">IF(AR$110=-1,AS123,IF(AR$110=99,AQ123,IF(AR$110=0,INDEX($F104:$N104,0,AR$108),(INDEX($F104:$N104,0,AR$110+1)-INDEX($F104:$N104,0,AR$110))/(INDEX($F$4:$N$4,0,AR$110+1)-INDEX($F$4:$N$4,0,AR$110))+AQ123)))</f>
        <v>116.40516864676664</v>
      </c>
      <c r="AS123" s="9" cm="1">
        <f t="array" ref="AS123">IF(AS$110=-1,AT123,IF(AS$110=99,AR123,IF(AS$110=0,INDEX($F104:$N104,0,AS$108),(INDEX($F104:$N104,0,AS$110+1)-INDEX($F104:$N104,0,AS$110))/(INDEX($F$4:$N$4,0,AS$110+1)-INDEX($F$4:$N$4,0,AS$110))+AR123)))</f>
        <v>118.84493792107597</v>
      </c>
      <c r="AT123" s="9" cm="1">
        <f t="array" ref="AT123">IF(AT$110=-1,AU123,IF(AT$110=99,AS123,IF(AT$110=0,INDEX($F104:$N104,0,AT$108),(INDEX($F104:$N104,0,AT$110+1)-INDEX($F104:$N104,0,AT$110))/(INDEX($F$4:$N$4,0,AT$110+1)-INDEX($F$4:$N$4,0,AT$110))+AS123)))</f>
        <v>121.28470719538529</v>
      </c>
      <c r="AU123" s="9" cm="1">
        <f t="array" ref="AU123">IF(AU$110=-1,AV123,IF(AU$110=99,AT123,IF(AU$110=0,INDEX($F104:$N104,0,AU$108),(INDEX($F104:$N104,0,AU$110+1)-INDEX($F104:$N104,0,AU$110))/(INDEX($F$4:$N$4,0,AU$110+1)-INDEX($F$4:$N$4,0,AU$110))+AT123)))</f>
        <v>123.72447646969462</v>
      </c>
      <c r="AV123" s="9" cm="1">
        <f t="array" ref="AV123">IF(AV$110=-1,AW123,IF(AV$110=99,AU123,IF(AV$110=0,INDEX($F104:$N104,0,AV$108),(INDEX($F104:$N104,0,AV$110+1)-INDEX($F104:$N104,0,AV$110))/(INDEX($F$4:$N$4,0,AV$110+1)-INDEX($F$4:$N$4,0,AV$110))+AU123)))</f>
        <v>126.16424574400395</v>
      </c>
      <c r="AW123" s="9" cm="1">
        <f t="array" ref="AW123">IF(AW$110=-1,AX123,IF(AW$110=99,AV123,IF(AW$110=0,INDEX($F104:$N104,0,AW$108),(INDEX($F104:$N104,0,AW$110+1)-INDEX($F104:$N104,0,AW$110))/(INDEX($F$4:$N$4,0,AW$110+1)-INDEX($F$4:$N$4,0,AW$110))+AV123)))</f>
        <v>128.60401501831328</v>
      </c>
      <c r="AX123" s="9" cm="1">
        <f t="array" ref="AX123">IF(AX$110=-1,AY123,IF(AX$110=99,AW123,IF(AX$110=0,INDEX($F104:$N104,0,AX$108),(INDEX($F104:$N104,0,AX$110+1)-INDEX($F104:$N104,0,AX$110))/(INDEX($F$4:$N$4,0,AX$110+1)-INDEX($F$4:$N$4,0,AX$110))+AW123)))</f>
        <v>131.04378429262255</v>
      </c>
      <c r="AY123" s="9" cm="1">
        <f t="array" ref="AY123">IF(AY$110=-1,AZ123,IF(AY$110=99,AX123,IF(AY$110=0,INDEX($F104:$N104,0,AY$108),(INDEX($F104:$N104,0,AY$110+1)-INDEX($F104:$N104,0,AY$110))/(INDEX($F$4:$N$4,0,AY$110+1)-INDEX($F$4:$N$4,0,AY$110))+AX123)))</f>
        <v>160.05101345611124</v>
      </c>
      <c r="AZ123" s="9" cm="1">
        <f t="array" ref="AZ123">IF(AZ$110=-1,BA123,IF(AZ$110=99,AY123,IF(AZ$110=0,INDEX($F104:$N104,0,AZ$108),(INDEX($F104:$N104,0,AZ$110+1)-INDEX($F104:$N104,0,AZ$110))/(INDEX($F$4:$N$4,0,AZ$110+1)-INDEX($F$4:$N$4,0,AZ$110))+AY123)))</f>
        <v>171.4341209304275</v>
      </c>
    </row>
    <row r="124" spans="1:18" ht="15">
      <c r="A124" t="s">
        <v>16</v>
      </c>
      <c r="B124" s="9"/>
      <c r="C124" s="9"/>
      <c r="J124" s="12"/>
      <c r="K124" s="12"/>
      <c r="L124" s="12"/>
      <c r="M124" s="12"/>
      <c r="N124" s="12"/>
      <c r="O124" s="12"/>
      <c r="P124" s="12"/>
      <c r="R124" s="12"/>
    </row>
    <row r="125" spans="1:16" ht="15">
      <c r="A125" t="s">
        <v>16</v>
      </c>
      <c r="B125" s="9"/>
      <c r="C125" s="9"/>
      <c r="H125" s="12"/>
      <c r="I125" s="12"/>
      <c r="J125" s="12"/>
      <c r="K125" s="12"/>
      <c r="L125" s="12"/>
      <c r="N125" s="12"/>
      <c r="O125" s="12"/>
      <c r="P125" s="12"/>
    </row>
    <row r="126" spans="1:16" ht="15">
      <c r="A126" t="s">
        <v>16</v>
      </c>
      <c r="B126" s="9"/>
      <c r="C126" s="9"/>
      <c r="H126" s="12"/>
      <c r="I126" s="12"/>
      <c r="J126" s="12"/>
      <c r="K126" s="12"/>
      <c r="L126" s="12"/>
      <c r="N126" s="12"/>
      <c r="O126" s="12"/>
      <c r="P126" s="12"/>
    </row>
    <row r="127" spans="1:22" ht="23.25">
      <c r="A127" s="101" t="s">
        <v>16</v>
      </c>
      <c r="B127" s="105" t="s">
        <v>19</v>
      </c>
      <c r="C127" s="105" t="s">
        <v>20</v>
      </c>
      <c r="D127" s="105" t="s">
        <v>21</v>
      </c>
      <c r="E127" s="105" t="s">
        <v>22</v>
      </c>
      <c r="F127" s="105" t="s">
        <v>23</v>
      </c>
      <c r="G127" s="105" t="s">
        <v>24</v>
      </c>
      <c r="H127" s="105" t="s">
        <v>594</v>
      </c>
      <c r="I127" s="105" t="s">
        <v>594</v>
      </c>
      <c r="J127" s="105" t="s">
        <v>623</v>
      </c>
      <c r="K127" s="106" t="s">
        <v>25</v>
      </c>
      <c r="L127" s="12"/>
      <c r="N127" s="12"/>
      <c r="O127" s="12"/>
      <c r="P127" s="12"/>
      <c r="U127" s="9"/>
      <c r="V127" s="9"/>
    </row>
    <row r="128" spans="1:16" ht="15">
      <c r="A128" s="101" t="s">
        <v>16</v>
      </c>
      <c r="B128" s="102">
        <v>1</v>
      </c>
      <c r="C128" s="102">
        <v>2017</v>
      </c>
      <c r="D128" s="102">
        <v>2019</v>
      </c>
      <c r="E128" s="102">
        <v>2020</v>
      </c>
      <c r="F128" s="102">
        <v>2021</v>
      </c>
      <c r="G128" s="102">
        <v>2030</v>
      </c>
      <c r="H128" s="102">
        <v>2040</v>
      </c>
      <c r="I128" s="107">
        <v>2050</v>
      </c>
      <c r="J128" s="102">
        <v>2060</v>
      </c>
      <c r="K128" s="107">
        <v>2070</v>
      </c>
      <c r="L128" s="12"/>
      <c r="N128" s="12"/>
      <c r="O128" s="12"/>
      <c r="P128" s="12"/>
    </row>
    <row r="129" spans="1:16" ht="15">
      <c r="A129" s="36"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12"/>
      <c r="N129" s="12"/>
      <c r="O129" s="12"/>
      <c r="P129" s="12"/>
    </row>
    <row r="130" spans="1:16" ht="15">
      <c r="A130" s="36" t="s">
        <v>16</v>
      </c>
      <c r="B130">
        <v>-1</v>
      </c>
      <c r="C130">
        <v>0</v>
      </c>
      <c r="D130">
        <v>1</v>
      </c>
      <c r="E130">
        <v>2</v>
      </c>
      <c r="F130">
        <v>3</v>
      </c>
      <c r="G130">
        <v>4</v>
      </c>
      <c r="H130">
        <v>5</v>
      </c>
      <c r="I130">
        <v>6</v>
      </c>
      <c r="J130">
        <v>7</v>
      </c>
      <c r="K130">
        <v>8</v>
      </c>
      <c r="L130" s="12"/>
      <c r="N130" s="12"/>
      <c r="O130" s="12"/>
      <c r="P130" s="12"/>
    </row>
    <row r="131" spans="1:16" ht="15">
      <c r="A131" s="103" t="s">
        <v>16</v>
      </c>
      <c r="B131" s="104"/>
      <c r="C131" s="104"/>
      <c r="D131" s="104"/>
      <c r="E131" s="104"/>
      <c r="F131" s="104"/>
      <c r="G131" s="104"/>
      <c r="H131" s="104"/>
      <c r="I131" s="104"/>
      <c r="J131" s="104"/>
      <c r="K131" s="109"/>
      <c r="L131" s="12"/>
      <c r="N131" s="12"/>
      <c r="O131" s="12"/>
      <c r="P131" s="12"/>
    </row>
    <row r="132" spans="1:41" ht="15">
      <c r="A132" s="36"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102" customFormat="1" ht="15">
      <c r="A133" s="102" t="s">
        <v>16</v>
      </c>
      <c r="J133" s="102">
        <f t="shared" si="324" ref="J133:AO133">MATCH(J$132,$C$128:$K$128,$B128)</f>
        <v>1</v>
      </c>
      <c r="K133" s="102">
        <f t="shared" si="324"/>
        <v>1</v>
      </c>
      <c r="L133" s="102">
        <f t="shared" si="324"/>
        <v>2</v>
      </c>
      <c r="M133" s="102">
        <f t="shared" si="324"/>
        <v>3</v>
      </c>
      <c r="N133" s="102">
        <f t="shared" si="324"/>
        <v>4</v>
      </c>
      <c r="O133" s="102">
        <f t="shared" si="324"/>
        <v>4</v>
      </c>
      <c r="P133" s="102">
        <f t="shared" si="324"/>
        <v>4</v>
      </c>
      <c r="Q133" s="102">
        <f t="shared" si="324"/>
        <v>4</v>
      </c>
      <c r="R133" s="102">
        <f t="shared" si="324"/>
        <v>4</v>
      </c>
      <c r="S133" s="102">
        <f t="shared" si="324"/>
        <v>4</v>
      </c>
      <c r="T133" s="102">
        <f t="shared" si="324"/>
        <v>4</v>
      </c>
      <c r="U133" s="102">
        <f t="shared" si="324"/>
        <v>4</v>
      </c>
      <c r="V133" s="102">
        <f t="shared" si="324"/>
        <v>4</v>
      </c>
      <c r="W133" s="102">
        <f t="shared" si="324"/>
        <v>4</v>
      </c>
      <c r="X133" s="102">
        <f t="shared" si="324"/>
        <v>4</v>
      </c>
      <c r="Y133" s="102">
        <f t="shared" si="324"/>
        <v>5</v>
      </c>
      <c r="Z133" s="102">
        <f t="shared" si="324"/>
        <v>5</v>
      </c>
      <c r="AA133" s="102">
        <f t="shared" si="324"/>
        <v>5</v>
      </c>
      <c r="AB133" s="102">
        <f t="shared" si="324"/>
        <v>5</v>
      </c>
      <c r="AC133" s="102">
        <f t="shared" si="324"/>
        <v>5</v>
      </c>
      <c r="AD133" s="102">
        <f t="shared" si="324"/>
        <v>5</v>
      </c>
      <c r="AE133" s="102">
        <f t="shared" si="324"/>
        <v>5</v>
      </c>
      <c r="AF133" s="102">
        <f t="shared" si="324"/>
        <v>5</v>
      </c>
      <c r="AG133" s="102">
        <f t="shared" si="324"/>
        <v>5</v>
      </c>
      <c r="AH133" s="102">
        <f t="shared" si="324"/>
        <v>5</v>
      </c>
      <c r="AI133" s="102">
        <f t="shared" si="324"/>
        <v>5</v>
      </c>
      <c r="AJ133" s="102">
        <f t="shared" si="324"/>
        <v>5</v>
      </c>
      <c r="AK133" s="102">
        <f t="shared" si="324"/>
        <v>6</v>
      </c>
      <c r="AL133" s="102">
        <f t="shared" si="324"/>
        <v>6</v>
      </c>
      <c r="AM133" s="102">
        <f t="shared" si="324"/>
        <v>7</v>
      </c>
      <c r="AN133" s="102">
        <f t="shared" si="324"/>
        <v>8</v>
      </c>
      <c r="AO133" s="102">
        <f t="shared" si="324"/>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41" ht="15">
      <c r="A134" t="s">
        <v>16</v>
      </c>
      <c r="J134">
        <f t="shared" si="325" ref="J134:AO134">MATCH(J$132,$C$128:$K$128,$B129)</f>
        <v>1</v>
      </c>
      <c r="K134" t="e">
        <f t="shared" si="325"/>
        <v>#N/A</v>
      </c>
      <c r="L134">
        <f t="shared" si="325"/>
        <v>2</v>
      </c>
      <c r="M134">
        <f t="shared" si="325"/>
        <v>3</v>
      </c>
      <c r="N134">
        <f t="shared" si="325"/>
        <v>4</v>
      </c>
      <c r="O134" t="e">
        <f t="shared" si="325"/>
        <v>#N/A</v>
      </c>
      <c r="P134" t="e">
        <f t="shared" si="325"/>
        <v>#N/A</v>
      </c>
      <c r="Q134" t="e">
        <f t="shared" si="325"/>
        <v>#N/A</v>
      </c>
      <c r="R134" t="e">
        <f t="shared" si="325"/>
        <v>#N/A</v>
      </c>
      <c r="S134" t="e">
        <f t="shared" si="325"/>
        <v>#N/A</v>
      </c>
      <c r="T134" t="e">
        <f t="shared" si="325"/>
        <v>#N/A</v>
      </c>
      <c r="U134" t="e">
        <f t="shared" si="325"/>
        <v>#N/A</v>
      </c>
      <c r="V134" t="e">
        <f t="shared" si="325"/>
        <v>#N/A</v>
      </c>
      <c r="W134" t="e">
        <f t="shared" si="325"/>
        <v>#N/A</v>
      </c>
      <c r="X134" t="e">
        <f t="shared" si="325"/>
        <v>#N/A</v>
      </c>
      <c r="Y134">
        <f t="shared" si="325"/>
        <v>5</v>
      </c>
      <c r="Z134" t="e">
        <f t="shared" si="325"/>
        <v>#N/A</v>
      </c>
      <c r="AA134" t="e">
        <f t="shared" si="325"/>
        <v>#N/A</v>
      </c>
      <c r="AB134" t="e">
        <f t="shared" si="325"/>
        <v>#N/A</v>
      </c>
      <c r="AC134" t="e">
        <f t="shared" si="325"/>
        <v>#N/A</v>
      </c>
      <c r="AD134" t="e">
        <f t="shared" si="325"/>
        <v>#N/A</v>
      </c>
      <c r="AE134" t="e">
        <f t="shared" si="325"/>
        <v>#N/A</v>
      </c>
      <c r="AF134" t="e">
        <f t="shared" si="325"/>
        <v>#N/A</v>
      </c>
      <c r="AG134" t="e">
        <f t="shared" si="325"/>
        <v>#N/A</v>
      </c>
      <c r="AH134" t="e">
        <f t="shared" si="325"/>
        <v>#N/A</v>
      </c>
      <c r="AI134" t="e">
        <f t="shared" si="325"/>
        <v>#N/A</v>
      </c>
      <c r="AJ134" t="e">
        <f t="shared" si="325"/>
        <v>#N/A</v>
      </c>
      <c r="AK134">
        <f t="shared" si="325"/>
        <v>6</v>
      </c>
      <c r="AL134" t="e">
        <f t="shared" si="325"/>
        <v>#N/A</v>
      </c>
      <c r="AM134">
        <f t="shared" si="325"/>
        <v>7</v>
      </c>
      <c r="AN134">
        <f t="shared" si="325"/>
        <v>8</v>
      </c>
      <c r="AO134">
        <f t="shared" si="325"/>
        <v>9</v>
      </c>
    </row>
    <row r="135" spans="1:41" ht="15">
      <c r="A135" t="s">
        <v>16</v>
      </c>
      <c r="J135">
        <f t="shared" si="326" ref="J135:AO135">MATCH(J$132,$C$129:$K$129,$B130)</f>
        <v>9</v>
      </c>
      <c r="K135">
        <f t="shared" si="326"/>
        <v>8</v>
      </c>
      <c r="L135">
        <f t="shared" si="326"/>
        <v>8</v>
      </c>
      <c r="M135">
        <f t="shared" si="326"/>
        <v>7</v>
      </c>
      <c r="N135">
        <f t="shared" si="326"/>
        <v>6</v>
      </c>
      <c r="O135">
        <f t="shared" si="326"/>
        <v>5</v>
      </c>
      <c r="P135">
        <f t="shared" si="326"/>
        <v>5</v>
      </c>
      <c r="Q135">
        <f t="shared" si="326"/>
        <v>5</v>
      </c>
      <c r="R135">
        <f t="shared" si="326"/>
        <v>5</v>
      </c>
      <c r="S135">
        <f t="shared" si="326"/>
        <v>5</v>
      </c>
      <c r="T135">
        <f t="shared" si="326"/>
        <v>5</v>
      </c>
      <c r="U135">
        <f t="shared" si="326"/>
        <v>5</v>
      </c>
      <c r="V135">
        <f t="shared" si="326"/>
        <v>5</v>
      </c>
      <c r="W135">
        <f t="shared" si="326"/>
        <v>5</v>
      </c>
      <c r="X135">
        <f t="shared" si="326"/>
        <v>5</v>
      </c>
      <c r="Y135">
        <f t="shared" si="326"/>
        <v>5</v>
      </c>
      <c r="Z135">
        <f t="shared" si="326"/>
        <v>4</v>
      </c>
      <c r="AA135">
        <f t="shared" si="326"/>
        <v>4</v>
      </c>
      <c r="AB135">
        <f t="shared" si="326"/>
        <v>4</v>
      </c>
      <c r="AC135">
        <f t="shared" si="326"/>
        <v>4</v>
      </c>
      <c r="AD135">
        <f t="shared" si="326"/>
        <v>4</v>
      </c>
      <c r="AE135">
        <f t="shared" si="326"/>
        <v>4</v>
      </c>
      <c r="AF135">
        <f t="shared" si="326"/>
        <v>4</v>
      </c>
      <c r="AG135">
        <f t="shared" si="326"/>
        <v>4</v>
      </c>
      <c r="AH135">
        <f t="shared" si="326"/>
        <v>4</v>
      </c>
      <c r="AI135">
        <f t="shared" si="326"/>
        <v>4</v>
      </c>
      <c r="AJ135">
        <f t="shared" si="326"/>
        <v>4</v>
      </c>
      <c r="AK135">
        <f t="shared" si="326"/>
        <v>4</v>
      </c>
      <c r="AL135">
        <f t="shared" si="326"/>
        <v>3</v>
      </c>
      <c r="AM135">
        <f t="shared" si="326"/>
        <v>3</v>
      </c>
      <c r="AN135">
        <f t="shared" si="326"/>
        <v>2</v>
      </c>
      <c r="AO135">
        <f t="shared" si="326"/>
        <v>1</v>
      </c>
    </row>
    <row r="136" spans="1:75" s="104" customFormat="1" ht="15">
      <c r="A136" s="104" t="s">
        <v>16</v>
      </c>
      <c r="J136" s="71">
        <f t="shared" si="327" ref="J136:AO136">IF(ISNA(J133),-1,IF(ISNA(J135),99,IF(ISNA(J134),J133,0)))</f>
        <v>0</v>
      </c>
      <c r="K136" s="71">
        <f t="shared" si="327"/>
        <v>1</v>
      </c>
      <c r="L136" s="71">
        <f t="shared" si="327"/>
        <v>0</v>
      </c>
      <c r="M136" s="71">
        <f t="shared" si="327"/>
        <v>0</v>
      </c>
      <c r="N136" s="71">
        <f t="shared" si="327"/>
        <v>0</v>
      </c>
      <c r="O136" s="71">
        <f t="shared" si="327"/>
        <v>4</v>
      </c>
      <c r="P136" s="71">
        <f t="shared" si="327"/>
        <v>4</v>
      </c>
      <c r="Q136" s="71">
        <f t="shared" si="328" ref="Q136:R136">IF(ISNA(Q133),-1,IF(ISNA(Q135),99,IF(ISNA(Q134),Q133,0)))</f>
        <v>4</v>
      </c>
      <c r="R136" s="71">
        <f t="shared" si="328"/>
        <v>4</v>
      </c>
      <c r="S136" s="71">
        <f t="shared" si="327"/>
        <v>4</v>
      </c>
      <c r="T136" s="71">
        <f t="shared" si="327"/>
        <v>4</v>
      </c>
      <c r="U136" s="71">
        <f t="shared" si="327"/>
        <v>4</v>
      </c>
      <c r="V136" s="71">
        <f t="shared" si="327"/>
        <v>4</v>
      </c>
      <c r="W136" s="71">
        <f t="shared" si="327"/>
        <v>4</v>
      </c>
      <c r="X136" s="71">
        <f t="shared" si="327"/>
        <v>4</v>
      </c>
      <c r="Y136" s="71">
        <f t="shared" si="327"/>
        <v>0</v>
      </c>
      <c r="Z136" s="71">
        <f t="shared" si="327"/>
        <v>5</v>
      </c>
      <c r="AA136" s="71">
        <f t="shared" si="329" ref="AA136:AB136">IF(ISNA(AA133),-1,IF(ISNA(AA135),99,IF(ISNA(AA134),AA133,0)))</f>
        <v>5</v>
      </c>
      <c r="AB136" s="71">
        <f t="shared" si="329"/>
        <v>5</v>
      </c>
      <c r="AC136" s="71">
        <f t="shared" si="327"/>
        <v>5</v>
      </c>
      <c r="AD136" s="71">
        <f t="shared" si="327"/>
        <v>5</v>
      </c>
      <c r="AE136" s="71">
        <f t="shared" si="327"/>
        <v>5</v>
      </c>
      <c r="AF136" s="71">
        <f t="shared" si="327"/>
        <v>5</v>
      </c>
      <c r="AG136" s="71">
        <f t="shared" si="327"/>
        <v>5</v>
      </c>
      <c r="AH136" s="71">
        <f t="shared" si="327"/>
        <v>5</v>
      </c>
      <c r="AI136" s="71">
        <f t="shared" si="327"/>
        <v>5</v>
      </c>
      <c r="AJ136" s="71">
        <f t="shared" si="327"/>
        <v>5</v>
      </c>
      <c r="AK136" s="71">
        <f t="shared" si="327"/>
        <v>0</v>
      </c>
      <c r="AL136" s="71">
        <f t="shared" si="327"/>
        <v>6</v>
      </c>
      <c r="AM136" s="71">
        <f t="shared" si="327"/>
        <v>0</v>
      </c>
      <c r="AN136" s="71">
        <f t="shared" si="327"/>
        <v>0</v>
      </c>
      <c r="AO136" s="71">
        <f t="shared" si="327"/>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41" ht="15">
      <c r="A137" s="36" t="s">
        <v>113</v>
      </c>
      <c r="B137" s="20" t="str">
        <f t="shared" si="330" ref="B137:B149">IF(A137="*","","COM_PROJ")</f>
        <v>COM_PROJ</v>
      </c>
      <c r="C137" s="21" t="str">
        <f t="shared" si="331" ref="C137:C149">IF($A137="*","","-")</f>
        <v>-</v>
      </c>
      <c r="D137" s="48" t="s">
        <v>139</v>
      </c>
      <c r="E137" s="21" t="str">
        <f t="shared" si="332" ref="E137:H149">IF($A137="*","","-")</f>
        <v>-</v>
      </c>
      <c r="F137" s="21" t="str">
        <f t="shared" si="332"/>
        <v>-</v>
      </c>
      <c r="G137" s="21" t="str">
        <f t="shared" si="332"/>
        <v>-</v>
      </c>
      <c r="H137" s="21" t="str">
        <f t="shared" si="332"/>
        <v>-</v>
      </c>
      <c r="I137" s="110">
        <f t="shared" si="333" ref="I137:I149">IF(A137="*","",0)</f>
        <v>0</v>
      </c>
      <c r="J137" s="9">
        <f t="shared" si="334" ref="J137:AO137">INDEX($M111:$AZ111,MATCH(J$132,$M$106:$AZ$106,0))</f>
        <v>47.584820585749902</v>
      </c>
      <c r="K137" s="9">
        <f t="shared" si="334"/>
        <v>47.880977189748378</v>
      </c>
      <c r="L137" s="9">
        <f t="shared" si="334"/>
        <v>48.177133793746854</v>
      </c>
      <c r="M137" s="9">
        <f t="shared" si="334"/>
        <v>46.38666602024783</v>
      </c>
      <c r="N137" s="9">
        <f t="shared" si="334"/>
        <v>48.635845109792321</v>
      </c>
      <c r="O137" s="9">
        <f t="shared" si="334"/>
        <v>49.92088043405834</v>
      </c>
      <c r="P137" s="9">
        <f t="shared" si="334"/>
        <v>51.205915758324359</v>
      </c>
      <c r="Q137" s="9">
        <f t="shared" si="334"/>
        <v>52.490951082590378</v>
      </c>
      <c r="R137" s="9">
        <f t="shared" si="334"/>
        <v>52.490951082590378</v>
      </c>
      <c r="S137" s="9">
        <f t="shared" si="334"/>
        <v>52.490951082590378</v>
      </c>
      <c r="T137" s="9">
        <f t="shared" si="334"/>
        <v>53.775986406856397</v>
      </c>
      <c r="U137" s="9">
        <f t="shared" si="334"/>
        <v>55.061021731122416</v>
      </c>
      <c r="V137" s="9">
        <f t="shared" si="334"/>
        <v>56.346057055388435</v>
      </c>
      <c r="W137" s="9">
        <f t="shared" si="334"/>
        <v>57.631092379654454</v>
      </c>
      <c r="X137" s="9">
        <f t="shared" si="334"/>
        <v>58.916127703920473</v>
      </c>
      <c r="Y137" s="9">
        <f t="shared" si="334"/>
        <v>60.201163028186507</v>
      </c>
      <c r="Z137" s="9">
        <f t="shared" si="334"/>
        <v>62.058908523285169</v>
      </c>
      <c r="AA137" s="9">
        <f t="shared" si="334"/>
        <v>63.916654018383831</v>
      </c>
      <c r="AB137" s="9">
        <f t="shared" si="334"/>
        <v>63.916654018383831</v>
      </c>
      <c r="AC137" s="9">
        <f t="shared" si="334"/>
        <v>63.916654018383831</v>
      </c>
      <c r="AD137" s="9">
        <f t="shared" si="334"/>
        <v>65.774399513482493</v>
      </c>
      <c r="AE137" s="9">
        <f t="shared" si="334"/>
        <v>67.632145008581148</v>
      </c>
      <c r="AF137" s="9">
        <f t="shared" si="334"/>
        <v>69.489890503679803</v>
      </c>
      <c r="AG137" s="9">
        <f t="shared" si="334"/>
        <v>71.347635998778458</v>
      </c>
      <c r="AH137" s="9">
        <f t="shared" si="334"/>
        <v>73.205381493877113</v>
      </c>
      <c r="AI137" s="9">
        <f t="shared" si="334"/>
        <v>75.063126988975768</v>
      </c>
      <c r="AJ137" s="9">
        <f t="shared" si="334"/>
        <v>76.920872484074422</v>
      </c>
      <c r="AK137" s="9">
        <f t="shared" si="334"/>
        <v>78.778617979173106</v>
      </c>
      <c r="AL137" s="9">
        <f t="shared" si="334"/>
        <v>89.462749878766829</v>
      </c>
      <c r="AM137" s="9">
        <f t="shared" si="334"/>
        <v>100.14688177836048</v>
      </c>
      <c r="AN137" s="9">
        <f t="shared" si="334"/>
        <v>121.54170876456928</v>
      </c>
      <c r="AO137" s="9">
        <f t="shared" si="334"/>
        <v>130.56772345428803</v>
      </c>
    </row>
    <row r="138" spans="1:41" ht="15">
      <c r="A138" s="36"/>
      <c r="B138" s="20" t="str">
        <f t="shared" si="330"/>
        <v>COM_PROJ</v>
      </c>
      <c r="C138" s="21" t="str">
        <f t="shared" si="331"/>
        <v>-</v>
      </c>
      <c r="D138" s="48" t="s">
        <v>396</v>
      </c>
      <c r="E138" s="21" t="str">
        <f t="shared" si="332"/>
        <v>-</v>
      </c>
      <c r="F138" s="21" t="str">
        <f t="shared" si="332"/>
        <v>-</v>
      </c>
      <c r="G138" s="21" t="str">
        <f t="shared" si="332"/>
        <v>-</v>
      </c>
      <c r="H138" s="21" t="str">
        <f t="shared" si="332"/>
        <v>-</v>
      </c>
      <c r="I138" s="110">
        <f t="shared" si="333"/>
        <v>0</v>
      </c>
      <c r="J138" s="9">
        <f t="shared" si="335" ref="J138:AO138">INDEX($M112:$AZ112,MATCH(J$132,$M$106:$AZ$106,0))</f>
        <v>3.6514783707452798</v>
      </c>
      <c r="K138" s="9">
        <f t="shared" si="335"/>
        <v>3.9360166491438862</v>
      </c>
      <c r="L138" s="9">
        <f t="shared" si="335"/>
        <v>4.2205549275424925</v>
      </c>
      <c r="M138" s="9">
        <f t="shared" si="335"/>
        <v>4.0637011052209129</v>
      </c>
      <c r="N138" s="9">
        <f t="shared" si="335"/>
        <v>4.2607403049778449</v>
      </c>
      <c r="O138" s="9">
        <f t="shared" si="335"/>
        <v>4.3733157477826445</v>
      </c>
      <c r="P138" s="9">
        <f t="shared" si="335"/>
        <v>4.4858911905874441</v>
      </c>
      <c r="Q138" s="9">
        <f t="shared" si="335"/>
        <v>4.5984666333922437</v>
      </c>
      <c r="R138" s="9">
        <f t="shared" si="335"/>
        <v>4.5984666333922437</v>
      </c>
      <c r="S138" s="9">
        <f t="shared" si="335"/>
        <v>4.5984666333922437</v>
      </c>
      <c r="T138" s="9">
        <f t="shared" si="335"/>
        <v>4.7110420761970433</v>
      </c>
      <c r="U138" s="9">
        <f t="shared" si="335"/>
        <v>4.8236175190018429</v>
      </c>
      <c r="V138" s="9">
        <f t="shared" si="335"/>
        <v>4.9361929618066425</v>
      </c>
      <c r="W138" s="9">
        <f t="shared" si="335"/>
        <v>5.0487684046114421</v>
      </c>
      <c r="X138" s="9">
        <f t="shared" si="335"/>
        <v>5.1613438474162416</v>
      </c>
      <c r="Y138" s="9">
        <f t="shared" si="335"/>
        <v>5.2739192902210403</v>
      </c>
      <c r="Z138" s="9">
        <f t="shared" si="335"/>
        <v>5.4366669733236872</v>
      </c>
      <c r="AA138" s="9">
        <f t="shared" si="335"/>
        <v>5.5994146564263341</v>
      </c>
      <c r="AB138" s="9">
        <f t="shared" si="335"/>
        <v>5.5994146564263341</v>
      </c>
      <c r="AC138" s="9">
        <f t="shared" si="335"/>
        <v>5.5994146564263341</v>
      </c>
      <c r="AD138" s="9">
        <f t="shared" si="335"/>
        <v>5.7621623395289809</v>
      </c>
      <c r="AE138" s="9">
        <f t="shared" si="335"/>
        <v>5.9249100226316278</v>
      </c>
      <c r="AF138" s="9">
        <f t="shared" si="335"/>
        <v>6.0876577057342747</v>
      </c>
      <c r="AG138" s="9">
        <f t="shared" si="335"/>
        <v>6.2504053888369215</v>
      </c>
      <c r="AH138" s="9">
        <f t="shared" si="335"/>
        <v>6.4131530719395684</v>
      </c>
      <c r="AI138" s="9">
        <f t="shared" si="335"/>
        <v>6.5759007550422153</v>
      </c>
      <c r="AJ138" s="9">
        <f t="shared" si="335"/>
        <v>6.7386484381448621</v>
      </c>
      <c r="AK138" s="9">
        <f t="shared" si="335"/>
        <v>6.9013961212475055</v>
      </c>
      <c r="AL138" s="9">
        <f t="shared" si="335"/>
        <v>7.8373788579622587</v>
      </c>
      <c r="AM138" s="9">
        <f t="shared" si="335"/>
        <v>8.7733615946770147</v>
      </c>
      <c r="AN138" s="9">
        <f t="shared" si="335"/>
        <v>10.647654134518458</v>
      </c>
      <c r="AO138" s="9">
        <f t="shared" si="335"/>
        <v>11.438377612130319</v>
      </c>
    </row>
    <row r="139" spans="1:41" ht="15">
      <c r="A139" s="36"/>
      <c r="B139" s="20" t="str">
        <f t="shared" si="330"/>
        <v>COM_PROJ</v>
      </c>
      <c r="C139" s="21" t="str">
        <f t="shared" si="331"/>
        <v>-</v>
      </c>
      <c r="D139" s="48" t="s">
        <v>397</v>
      </c>
      <c r="E139" s="21" t="str">
        <f t="shared" si="332"/>
        <v>-</v>
      </c>
      <c r="F139" s="21" t="str">
        <f t="shared" si="332"/>
        <v>-</v>
      </c>
      <c r="G139" s="21" t="str">
        <f t="shared" si="332"/>
        <v>-</v>
      </c>
      <c r="H139" s="21" t="str">
        <f t="shared" si="332"/>
        <v>-</v>
      </c>
      <c r="I139" s="110">
        <f t="shared" si="333"/>
        <v>0</v>
      </c>
      <c r="J139" s="9">
        <f t="shared" si="336" ref="J139:AO139">INDEX($M113:$AZ113,MATCH(J$132,$M$106:$AZ$106,0))</f>
        <v>1.0030192144974699</v>
      </c>
      <c r="K139" s="9">
        <f t="shared" si="336"/>
        <v>1.009261767493451</v>
      </c>
      <c r="L139" s="9">
        <f t="shared" si="336"/>
        <v>1.0155043204894318</v>
      </c>
      <c r="M139" s="9">
        <f t="shared" si="336"/>
        <v>0.97776384868242405</v>
      </c>
      <c r="N139" s="9">
        <f t="shared" si="336"/>
        <v>1.0251732917755991</v>
      </c>
      <c r="O139" s="9">
        <f t="shared" si="336"/>
        <v>1.0522599783634812</v>
      </c>
      <c r="P139" s="9">
        <f t="shared" si="336"/>
        <v>1.0793466649513632</v>
      </c>
      <c r="Q139" s="9">
        <f t="shared" si="336"/>
        <v>1.1064333515392453</v>
      </c>
      <c r="R139" s="9">
        <f t="shared" si="336"/>
        <v>1.1064333515392453</v>
      </c>
      <c r="S139" s="9">
        <f t="shared" si="336"/>
        <v>1.1064333515392453</v>
      </c>
      <c r="T139" s="9">
        <f t="shared" si="336"/>
        <v>1.1335200381271273</v>
      </c>
      <c r="U139" s="9">
        <f t="shared" si="336"/>
        <v>1.1606067247150094</v>
      </c>
      <c r="V139" s="9">
        <f t="shared" si="336"/>
        <v>1.1876934113028914</v>
      </c>
      <c r="W139" s="9">
        <f t="shared" si="336"/>
        <v>1.2147800978907735</v>
      </c>
      <c r="X139" s="9">
        <f t="shared" si="336"/>
        <v>1.2418667844786555</v>
      </c>
      <c r="Y139" s="9">
        <f t="shared" si="336"/>
        <v>1.2689534710665378</v>
      </c>
      <c r="Z139" s="9">
        <f t="shared" si="336"/>
        <v>1.3081120599672194</v>
      </c>
      <c r="AA139" s="9">
        <f t="shared" si="336"/>
        <v>1.3472706488679009</v>
      </c>
      <c r="AB139" s="9">
        <f t="shared" si="336"/>
        <v>1.3472706488679009</v>
      </c>
      <c r="AC139" s="9">
        <f t="shared" si="336"/>
        <v>1.3472706488679009</v>
      </c>
      <c r="AD139" s="9">
        <f t="shared" si="336"/>
        <v>1.3864292377685825</v>
      </c>
      <c r="AE139" s="9">
        <f t="shared" si="336"/>
        <v>1.4255878266692641</v>
      </c>
      <c r="AF139" s="9">
        <f t="shared" si="336"/>
        <v>1.4647464155699457</v>
      </c>
      <c r="AG139" s="9">
        <f t="shared" si="336"/>
        <v>1.5039050044706272</v>
      </c>
      <c r="AH139" s="9">
        <f t="shared" si="336"/>
        <v>1.5430635933713088</v>
      </c>
      <c r="AI139" s="9">
        <f t="shared" si="336"/>
        <v>1.5822221822719904</v>
      </c>
      <c r="AJ139" s="9">
        <f t="shared" si="336"/>
        <v>1.621380771172672</v>
      </c>
      <c r="AK139" s="9">
        <f t="shared" si="336"/>
        <v>1.6605393600733538</v>
      </c>
      <c r="AL139" s="9">
        <f t="shared" si="336"/>
        <v>1.8857454122051771</v>
      </c>
      <c r="AM139" s="9">
        <f t="shared" si="336"/>
        <v>2.1109514643369995</v>
      </c>
      <c r="AN139" s="9">
        <f t="shared" si="336"/>
        <v>2.561923482175033</v>
      </c>
      <c r="AO139" s="9">
        <f t="shared" si="336"/>
        <v>2.7521788210138114</v>
      </c>
    </row>
    <row r="140" spans="1:41" ht="15">
      <c r="A140" s="36"/>
      <c r="B140" s="20" t="str">
        <f t="shared" si="330"/>
        <v>COM_PROJ</v>
      </c>
      <c r="C140" s="21" t="str">
        <f t="shared" si="331"/>
        <v>-</v>
      </c>
      <c r="D140" s="48" t="s">
        <v>398</v>
      </c>
      <c r="E140" s="21" t="str">
        <f t="shared" si="332"/>
        <v>-</v>
      </c>
      <c r="F140" s="21" t="str">
        <f t="shared" si="332"/>
        <v>-</v>
      </c>
      <c r="G140" s="21" t="str">
        <f t="shared" si="332"/>
        <v>-</v>
      </c>
      <c r="H140" s="21" t="str">
        <f t="shared" si="332"/>
        <v>-</v>
      </c>
      <c r="I140" s="110">
        <f t="shared" si="333"/>
        <v>0</v>
      </c>
      <c r="J140" s="9">
        <f t="shared" si="337" ref="J140:AO140">INDEX($M114:$AZ114,MATCH(J$132,$M$106:$AZ$106,0))</f>
        <v>3.29935437842208</v>
      </c>
      <c r="K140" s="9">
        <f t="shared" si="337"/>
        <v>3.3198887752333528</v>
      </c>
      <c r="L140" s="9">
        <f t="shared" si="337"/>
        <v>3.3404231720446251</v>
      </c>
      <c r="M140" s="9">
        <f t="shared" si="337"/>
        <v>3.2162787996334212</v>
      </c>
      <c r="N140" s="9">
        <f t="shared" si="337"/>
        <v>3.3722285076620842</v>
      </c>
      <c r="O140" s="9">
        <f t="shared" si="337"/>
        <v>3.4613280749474931</v>
      </c>
      <c r="P140" s="9">
        <f t="shared" si="337"/>
        <v>3.550427642232902</v>
      </c>
      <c r="Q140" s="9">
        <f t="shared" si="337"/>
        <v>3.6395272095183109</v>
      </c>
      <c r="R140" s="9">
        <f t="shared" si="337"/>
        <v>3.6395272095183109</v>
      </c>
      <c r="S140" s="9">
        <f t="shared" si="337"/>
        <v>3.6395272095183109</v>
      </c>
      <c r="T140" s="9">
        <f t="shared" si="337"/>
        <v>3.7286267768037198</v>
      </c>
      <c r="U140" s="9">
        <f t="shared" si="337"/>
        <v>3.8177263440891287</v>
      </c>
      <c r="V140" s="9">
        <f t="shared" si="337"/>
        <v>3.9068259113745376</v>
      </c>
      <c r="W140" s="9">
        <f t="shared" si="337"/>
        <v>3.9959254786599465</v>
      </c>
      <c r="X140" s="9">
        <f t="shared" si="337"/>
        <v>4.0850250459453559</v>
      </c>
      <c r="Y140" s="9">
        <f t="shared" si="337"/>
        <v>4.1741246132307648</v>
      </c>
      <c r="Z140" s="9">
        <f t="shared" si="337"/>
        <v>4.3029337724920103</v>
      </c>
      <c r="AA140" s="9">
        <f t="shared" si="337"/>
        <v>4.4317429317532557</v>
      </c>
      <c r="AB140" s="9">
        <f t="shared" si="337"/>
        <v>4.4317429317532557</v>
      </c>
      <c r="AC140" s="9">
        <f t="shared" si="337"/>
        <v>4.4317429317532557</v>
      </c>
      <c r="AD140" s="9">
        <f t="shared" si="337"/>
        <v>4.5605520910145012</v>
      </c>
      <c r="AE140" s="9">
        <f t="shared" si="337"/>
        <v>4.6893612502757467</v>
      </c>
      <c r="AF140" s="9">
        <f t="shared" si="337"/>
        <v>4.8181704095369922</v>
      </c>
      <c r="AG140" s="9">
        <f t="shared" si="337"/>
        <v>4.9469795687982376</v>
      </c>
      <c r="AH140" s="9">
        <f t="shared" si="337"/>
        <v>5.0757887280594831</v>
      </c>
      <c r="AI140" s="9">
        <f t="shared" si="337"/>
        <v>5.2045978873207286</v>
      </c>
      <c r="AJ140" s="9">
        <f t="shared" si="337"/>
        <v>5.3334070465819741</v>
      </c>
      <c r="AK140" s="9">
        <f t="shared" si="337"/>
        <v>5.4622162058432204</v>
      </c>
      <c r="AL140" s="9">
        <f t="shared" si="337"/>
        <v>6.2030141520924902</v>
      </c>
      <c r="AM140" s="9">
        <f t="shared" si="337"/>
        <v>6.9438120983417599</v>
      </c>
      <c r="AN140" s="9">
        <f t="shared" si="337"/>
        <v>8.4272497833767641</v>
      </c>
      <c r="AO140" s="9">
        <f t="shared" si="337"/>
        <v>9.0530800527703548</v>
      </c>
    </row>
    <row r="141" spans="1:41" ht="15">
      <c r="A141" s="36"/>
      <c r="B141" s="20" t="str">
        <f t="shared" si="330"/>
        <v>COM_PROJ</v>
      </c>
      <c r="C141" s="21" t="str">
        <f t="shared" si="331"/>
        <v>-</v>
      </c>
      <c r="D141" s="48" t="s">
        <v>399</v>
      </c>
      <c r="E141" s="21" t="str">
        <f t="shared" si="332"/>
        <v>-</v>
      </c>
      <c r="F141" s="21" t="str">
        <f t="shared" si="332"/>
        <v>-</v>
      </c>
      <c r="G141" s="21" t="str">
        <f t="shared" si="332"/>
        <v>-</v>
      </c>
      <c r="H141" s="21" t="str">
        <f t="shared" si="332"/>
        <v>-</v>
      </c>
      <c r="I141" s="110">
        <f t="shared" si="333"/>
        <v>0</v>
      </c>
      <c r="J141" s="9">
        <f t="shared" si="338" ref="J141:AO141">INDEX($M115:$AZ115,MATCH(J$132,$M$106:$AZ$106,0))</f>
        <v>0.59840698910616097</v>
      </c>
      <c r="K141" s="9">
        <f t="shared" si="338"/>
        <v>0.6021313318591881</v>
      </c>
      <c r="L141" s="9">
        <f t="shared" si="338"/>
        <v>0.60585567461221534</v>
      </c>
      <c r="M141" s="9">
        <f t="shared" si="338"/>
        <v>0.58333949369060389</v>
      </c>
      <c r="N141" s="9">
        <f t="shared" si="338"/>
        <v>0.61162423807688249</v>
      </c>
      <c r="O141" s="9">
        <f t="shared" si="338"/>
        <v>0.62778430991961154</v>
      </c>
      <c r="P141" s="9">
        <f t="shared" si="338"/>
        <v>0.64394438176234059</v>
      </c>
      <c r="Q141" s="9">
        <f t="shared" si="338"/>
        <v>0.66010445360506964</v>
      </c>
      <c r="R141" s="9">
        <f t="shared" si="338"/>
        <v>0.66010445360506964</v>
      </c>
      <c r="S141" s="9">
        <f t="shared" si="338"/>
        <v>0.66010445360506964</v>
      </c>
      <c r="T141" s="9">
        <f t="shared" si="338"/>
        <v>0.67626452544779869</v>
      </c>
      <c r="U141" s="9">
        <f t="shared" si="338"/>
        <v>0.69242459729052774</v>
      </c>
      <c r="V141" s="9">
        <f t="shared" si="338"/>
        <v>0.70858466913325679</v>
      </c>
      <c r="W141" s="9">
        <f t="shared" si="338"/>
        <v>0.72474474097598585</v>
      </c>
      <c r="X141" s="9">
        <f t="shared" si="338"/>
        <v>0.7409048128187149</v>
      </c>
      <c r="Y141" s="9">
        <f t="shared" si="338"/>
        <v>0.75706488466144362</v>
      </c>
      <c r="Z141" s="9">
        <f t="shared" si="338"/>
        <v>0.78042712233646472</v>
      </c>
      <c r="AA141" s="9">
        <f t="shared" si="338"/>
        <v>0.80378936001148582</v>
      </c>
      <c r="AB141" s="9">
        <f t="shared" si="338"/>
        <v>0.80378936001148582</v>
      </c>
      <c r="AC141" s="9">
        <f t="shared" si="338"/>
        <v>0.80378936001148582</v>
      </c>
      <c r="AD141" s="9">
        <f t="shared" si="338"/>
        <v>0.82715159768650692</v>
      </c>
      <c r="AE141" s="9">
        <f t="shared" si="338"/>
        <v>0.85051383536152803</v>
      </c>
      <c r="AF141" s="9">
        <f t="shared" si="338"/>
        <v>0.87387607303654913</v>
      </c>
      <c r="AG141" s="9">
        <f t="shared" si="338"/>
        <v>0.89723831071157023</v>
      </c>
      <c r="AH141" s="9">
        <f t="shared" si="338"/>
        <v>0.92060054838659133</v>
      </c>
      <c r="AI141" s="9">
        <f t="shared" si="338"/>
        <v>0.94396278606161244</v>
      </c>
      <c r="AJ141" s="9">
        <f t="shared" si="338"/>
        <v>0.96732502373663354</v>
      </c>
      <c r="AK141" s="9">
        <f t="shared" si="338"/>
        <v>0.99068726141165409</v>
      </c>
      <c r="AL141" s="9">
        <f t="shared" si="338"/>
        <v>1.1250464777026488</v>
      </c>
      <c r="AM141" s="9">
        <f t="shared" si="338"/>
        <v>1.2594056939936438</v>
      </c>
      <c r="AN141" s="9">
        <f t="shared" si="338"/>
        <v>1.5284581742103804</v>
      </c>
      <c r="AO141" s="9">
        <f t="shared" si="338"/>
        <v>1.641965595434536</v>
      </c>
    </row>
    <row r="142" spans="1:41" ht="15">
      <c r="A142" s="36"/>
      <c r="B142" s="20" t="str">
        <f t="shared" si="330"/>
        <v>COM_PROJ</v>
      </c>
      <c r="C142" s="21" t="str">
        <f t="shared" si="331"/>
        <v>-</v>
      </c>
      <c r="D142" s="48" t="s">
        <v>400</v>
      </c>
      <c r="E142" s="21" t="str">
        <f t="shared" si="332"/>
        <v>-</v>
      </c>
      <c r="F142" s="21" t="str">
        <f t="shared" si="332"/>
        <v>-</v>
      </c>
      <c r="G142" s="21" t="str">
        <f t="shared" si="332"/>
        <v>-</v>
      </c>
      <c r="H142" s="21" t="str">
        <f t="shared" si="332"/>
        <v>-</v>
      </c>
      <c r="I142" s="110">
        <f t="shared" si="333"/>
        <v>0</v>
      </c>
      <c r="J142" s="9">
        <f t="shared" si="339" ref="J142:AO142">INDEX($M116:$AZ116,MATCH(J$132,$M$106:$AZ$106,0))</f>
        <v>0.29798809605332599</v>
      </c>
      <c r="K142" s="9">
        <f t="shared" si="339"/>
        <v>0.29984270307869226</v>
      </c>
      <c r="L142" s="9">
        <f t="shared" si="339"/>
        <v>0.30169731010405854</v>
      </c>
      <c r="M142" s="9">
        <f t="shared" si="339"/>
        <v>0.29048495128243912</v>
      </c>
      <c r="N142" s="9">
        <f t="shared" si="339"/>
        <v>0.30456987555715687</v>
      </c>
      <c r="O142" s="9">
        <f t="shared" si="339"/>
        <v>0.31261708945700234</v>
      </c>
      <c r="P142" s="9">
        <f t="shared" si="339"/>
        <v>0.32066430335684781</v>
      </c>
      <c r="Q142" s="9">
        <f t="shared" si="339"/>
        <v>0.32871151725669329</v>
      </c>
      <c r="R142" s="9">
        <f t="shared" si="339"/>
        <v>0.32871151725669329</v>
      </c>
      <c r="S142" s="9">
        <f t="shared" si="339"/>
        <v>0.32871151725669329</v>
      </c>
      <c r="T142" s="9">
        <f t="shared" si="339"/>
        <v>0.33675873115653876</v>
      </c>
      <c r="U142" s="9">
        <f t="shared" si="339"/>
        <v>0.34480594505638423</v>
      </c>
      <c r="V142" s="9">
        <f t="shared" si="339"/>
        <v>0.35285315895622971</v>
      </c>
      <c r="W142" s="9">
        <f t="shared" si="339"/>
        <v>0.36090037285607518</v>
      </c>
      <c r="X142" s="9">
        <f t="shared" si="339"/>
        <v>0.36894758675592065</v>
      </c>
      <c r="Y142" s="9">
        <f t="shared" si="339"/>
        <v>0.37699480065576624</v>
      </c>
      <c r="Z142" s="9">
        <f t="shared" si="339"/>
        <v>0.38862846946488799</v>
      </c>
      <c r="AA142" s="9">
        <f t="shared" si="339"/>
        <v>0.40026213827400975</v>
      </c>
      <c r="AB142" s="9">
        <f t="shared" si="339"/>
        <v>0.40026213827400975</v>
      </c>
      <c r="AC142" s="9">
        <f t="shared" si="339"/>
        <v>0.40026213827400975</v>
      </c>
      <c r="AD142" s="9">
        <f t="shared" si="339"/>
        <v>0.4118958070831315</v>
      </c>
      <c r="AE142" s="9">
        <f t="shared" si="339"/>
        <v>0.42352947589225326</v>
      </c>
      <c r="AF142" s="9">
        <f t="shared" si="339"/>
        <v>0.43516314470137502</v>
      </c>
      <c r="AG142" s="9">
        <f t="shared" si="339"/>
        <v>0.44679681351049677</v>
      </c>
      <c r="AH142" s="9">
        <f t="shared" si="339"/>
        <v>0.45843048231961853</v>
      </c>
      <c r="AI142" s="9">
        <f t="shared" si="339"/>
        <v>0.47006415112874028</v>
      </c>
      <c r="AJ142" s="9">
        <f t="shared" si="339"/>
        <v>0.48169781993786204</v>
      </c>
      <c r="AK142" s="9">
        <f t="shared" si="339"/>
        <v>0.49333148874698374</v>
      </c>
      <c r="AL142" s="9">
        <f t="shared" si="339"/>
        <v>0.56023820571159411</v>
      </c>
      <c r="AM142" s="9">
        <f t="shared" si="339"/>
        <v>0.62714492267620425</v>
      </c>
      <c r="AN142" s="9">
        <f t="shared" si="339"/>
        <v>0.76112470195312598</v>
      </c>
      <c r="AO142" s="9">
        <f t="shared" si="339"/>
        <v>0.81764787256152993</v>
      </c>
    </row>
    <row r="143" spans="1:41" ht="15">
      <c r="A143" s="36"/>
      <c r="B143" s="20" t="str">
        <f t="shared" si="330"/>
        <v>COM_PROJ</v>
      </c>
      <c r="C143" s="21" t="str">
        <f t="shared" si="331"/>
        <v>-</v>
      </c>
      <c r="D143" s="48" t="s">
        <v>401</v>
      </c>
      <c r="E143" s="21" t="str">
        <f t="shared" si="332"/>
        <v>-</v>
      </c>
      <c r="F143" s="21" t="str">
        <f t="shared" si="332"/>
        <v>-</v>
      </c>
      <c r="G143" s="21" t="str">
        <f t="shared" si="332"/>
        <v>-</v>
      </c>
      <c r="H143" s="21" t="str">
        <f t="shared" si="332"/>
        <v>-</v>
      </c>
      <c r="I143" s="110">
        <f t="shared" si="333"/>
        <v>0</v>
      </c>
      <c r="J143" s="9">
        <f t="shared" si="340" ref="J143:AO143">INDEX($M117:$AZ117,MATCH(J$132,$M$106:$AZ$106,0))</f>
        <v>6.6621877646371201</v>
      </c>
      <c r="K143" s="9">
        <f t="shared" si="340"/>
        <v>6.7819219966270463</v>
      </c>
      <c r="L143" s="9">
        <f t="shared" si="340"/>
        <v>6.9016562286169734</v>
      </c>
      <c r="M143" s="9">
        <f t="shared" si="340"/>
        <v>6.7116128591697501</v>
      </c>
      <c r="N143" s="9">
        <f t="shared" si="340"/>
        <v>7.0834921296752222</v>
      </c>
      <c r="O143" s="9">
        <f t="shared" si="340"/>
        <v>7.2329439666365554</v>
      </c>
      <c r="P143" s="9">
        <f t="shared" si="340"/>
        <v>7.3823958035978885</v>
      </c>
      <c r="Q143" s="9">
        <f t="shared" si="340"/>
        <v>7.5318476405592216</v>
      </c>
      <c r="R143" s="9">
        <f t="shared" si="340"/>
        <v>7.5318476405592216</v>
      </c>
      <c r="S143" s="9">
        <f t="shared" si="340"/>
        <v>7.5318476405592216</v>
      </c>
      <c r="T143" s="9">
        <f t="shared" si="340"/>
        <v>7.6812994775205548</v>
      </c>
      <c r="U143" s="9">
        <f t="shared" si="340"/>
        <v>7.8307513144818879</v>
      </c>
      <c r="V143" s="9">
        <f t="shared" si="340"/>
        <v>7.980203151443221</v>
      </c>
      <c r="W143" s="9">
        <f t="shared" si="340"/>
        <v>8.1296549884045533</v>
      </c>
      <c r="X143" s="9">
        <f t="shared" si="340"/>
        <v>8.2791068253658864</v>
      </c>
      <c r="Y143" s="9">
        <f t="shared" si="340"/>
        <v>8.4285586623272195</v>
      </c>
      <c r="Z143" s="9">
        <f t="shared" si="340"/>
        <v>8.6886552468032026</v>
      </c>
      <c r="AA143" s="9">
        <f t="shared" si="340"/>
        <v>8.9487518312791856</v>
      </c>
      <c r="AB143" s="9">
        <f t="shared" si="340"/>
        <v>8.9487518312791856</v>
      </c>
      <c r="AC143" s="9">
        <f t="shared" si="340"/>
        <v>8.9487518312791856</v>
      </c>
      <c r="AD143" s="9">
        <f t="shared" si="340"/>
        <v>9.2088484157551687</v>
      </c>
      <c r="AE143" s="9">
        <f t="shared" si="340"/>
        <v>9.4689450002311517</v>
      </c>
      <c r="AF143" s="9">
        <f t="shared" si="340"/>
        <v>9.7290415847071348</v>
      </c>
      <c r="AG143" s="9">
        <f t="shared" si="340"/>
        <v>9.9891381691831178</v>
      </c>
      <c r="AH143" s="9">
        <f t="shared" si="340"/>
        <v>10.249234753659101</v>
      </c>
      <c r="AI143" s="9">
        <f t="shared" si="340"/>
        <v>10.509331338135084</v>
      </c>
      <c r="AJ143" s="9">
        <f t="shared" si="340"/>
        <v>10.769427922611067</v>
      </c>
      <c r="AK143" s="9">
        <f t="shared" si="340"/>
        <v>11.029524507087057</v>
      </c>
      <c r="AL143" s="9">
        <f t="shared" si="340"/>
        <v>12.525373223989821</v>
      </c>
      <c r="AM143" s="9">
        <f t="shared" si="340"/>
        <v>14.021221940892586</v>
      </c>
      <c r="AN143" s="9">
        <f t="shared" si="340"/>
        <v>17.016638395541012</v>
      </c>
      <c r="AO143" s="9">
        <f t="shared" si="340"/>
        <v>18.280339800507264</v>
      </c>
    </row>
    <row r="144" spans="1:41" ht="15">
      <c r="A144" s="36"/>
      <c r="B144" s="20" t="str">
        <f t="shared" si="330"/>
        <v>COM_PROJ</v>
      </c>
      <c r="C144" s="21" t="str">
        <f t="shared" si="331"/>
        <v>-</v>
      </c>
      <c r="D144" s="48" t="s">
        <v>402</v>
      </c>
      <c r="E144" s="21" t="str">
        <f t="shared" si="332"/>
        <v>-</v>
      </c>
      <c r="F144" s="21" t="str">
        <f t="shared" si="332"/>
        <v>-</v>
      </c>
      <c r="G144" s="21" t="str">
        <f t="shared" si="332"/>
        <v>-</v>
      </c>
      <c r="H144" s="21" t="str">
        <f t="shared" si="332"/>
        <v>-</v>
      </c>
      <c r="I144" s="110">
        <f t="shared" si="333"/>
        <v>0</v>
      </c>
      <c r="J144" s="9">
        <f t="shared" si="341" ref="J144:AO144">INDEX($M118:$AZ118,MATCH(J$132,$M$106:$AZ$106,0))</f>
        <v>2.2261566306639899</v>
      </c>
      <c r="K144" s="9">
        <f t="shared" si="341"/>
        <v>2.2400116999821158</v>
      </c>
      <c r="L144" s="9">
        <f t="shared" si="341"/>
        <v>2.2538667693002417</v>
      </c>
      <c r="M144" s="9">
        <f t="shared" si="341"/>
        <v>2.1701034671189854</v>
      </c>
      <c r="N144" s="9">
        <f t="shared" si="341"/>
        <v>2.2753266219424315</v>
      </c>
      <c r="O144" s="9">
        <f t="shared" si="341"/>
        <v>2.335444320665224</v>
      </c>
      <c r="P144" s="9">
        <f t="shared" si="341"/>
        <v>2.3955620193880165</v>
      </c>
      <c r="Q144" s="9">
        <f t="shared" si="341"/>
        <v>2.455679718110809</v>
      </c>
      <c r="R144" s="9">
        <f t="shared" si="341"/>
        <v>2.455679718110809</v>
      </c>
      <c r="S144" s="9">
        <f t="shared" si="341"/>
        <v>2.455679718110809</v>
      </c>
      <c r="T144" s="9">
        <f t="shared" si="341"/>
        <v>2.5157974168336015</v>
      </c>
      <c r="U144" s="9">
        <f t="shared" si="341"/>
        <v>2.575915115556394</v>
      </c>
      <c r="V144" s="9">
        <f t="shared" si="341"/>
        <v>2.6360328142791865</v>
      </c>
      <c r="W144" s="9">
        <f t="shared" si="341"/>
        <v>2.6961505130019789</v>
      </c>
      <c r="X144" s="9">
        <f t="shared" si="341"/>
        <v>2.7562682117247714</v>
      </c>
      <c r="Y144" s="9">
        <f t="shared" si="341"/>
        <v>2.8163859104475653</v>
      </c>
      <c r="Z144" s="9">
        <f t="shared" si="341"/>
        <v>2.9032966605794788</v>
      </c>
      <c r="AA144" s="9">
        <f t="shared" si="341"/>
        <v>2.9902074107113923</v>
      </c>
      <c r="AB144" s="9">
        <f t="shared" si="341"/>
        <v>2.9902074107113923</v>
      </c>
      <c r="AC144" s="9">
        <f t="shared" si="341"/>
        <v>2.9902074107113923</v>
      </c>
      <c r="AD144" s="9">
        <f t="shared" si="341"/>
        <v>3.0771181608433058</v>
      </c>
      <c r="AE144" s="9">
        <f t="shared" si="341"/>
        <v>3.1640289109752193</v>
      </c>
      <c r="AF144" s="9">
        <f t="shared" si="341"/>
        <v>3.2509396611071328</v>
      </c>
      <c r="AG144" s="9">
        <f t="shared" si="341"/>
        <v>3.3378504112390464</v>
      </c>
      <c r="AH144" s="9">
        <f t="shared" si="341"/>
        <v>3.4247611613709599</v>
      </c>
      <c r="AI144" s="9">
        <f t="shared" si="341"/>
        <v>3.5116719115028734</v>
      </c>
      <c r="AJ144" s="9">
        <f t="shared" si="341"/>
        <v>3.5985826616347869</v>
      </c>
      <c r="AK144" s="9">
        <f t="shared" si="341"/>
        <v>3.6854934117666991</v>
      </c>
      <c r="AL144" s="9">
        <f t="shared" si="341"/>
        <v>4.185328249397501</v>
      </c>
      <c r="AM144" s="9">
        <f t="shared" si="341"/>
        <v>4.6851630870283039</v>
      </c>
      <c r="AN144" s="9">
        <f t="shared" si="341"/>
        <v>5.6860754656182255</v>
      </c>
      <c r="AO144" s="9">
        <f t="shared" si="341"/>
        <v>6.1083387462746899</v>
      </c>
    </row>
    <row r="145" spans="1:41" ht="15">
      <c r="A145" s="36" t="s">
        <v>113</v>
      </c>
      <c r="B145" s="20" t="str">
        <f t="shared" si="330"/>
        <v>COM_PROJ</v>
      </c>
      <c r="C145" s="21" t="str">
        <f t="shared" si="331"/>
        <v>-</v>
      </c>
      <c r="D145" s="48" t="s">
        <v>403</v>
      </c>
      <c r="E145" s="21" t="str">
        <f t="shared" si="332"/>
        <v>-</v>
      </c>
      <c r="F145" s="21" t="str">
        <f t="shared" si="332"/>
        <v>-</v>
      </c>
      <c r="G145" s="21" t="str">
        <f t="shared" si="332"/>
        <v>-</v>
      </c>
      <c r="H145" s="21" t="str">
        <f t="shared" si="332"/>
        <v>-</v>
      </c>
      <c r="I145" s="110">
        <f t="shared" si="333"/>
        <v>0</v>
      </c>
      <c r="J145" s="9">
        <f t="shared" si="342" ref="J145:AO145">INDEX($M119:$AZ119,MATCH(J$132,$M$106:$AZ$106,0))</f>
        <v>0.122213678849837</v>
      </c>
      <c r="K145" s="9">
        <f t="shared" si="342"/>
        <v>0.12297430771519344</v>
      </c>
      <c r="L145" s="9">
        <f t="shared" si="342"/>
        <v>0.12373493658054988</v>
      </c>
      <c r="M145" s="9">
        <f t="shared" si="342"/>
        <v>0.11913641859166579</v>
      </c>
      <c r="N145" s="9">
        <f t="shared" si="342"/>
        <v>0.12491306012444225</v>
      </c>
      <c r="O145" s="9">
        <f t="shared" si="342"/>
        <v>0.12821345912768184</v>
      </c>
      <c r="P145" s="9">
        <f t="shared" si="342"/>
        <v>0.13151385813092142</v>
      </c>
      <c r="Q145" s="9">
        <f t="shared" si="342"/>
        <v>0.13481425713416101</v>
      </c>
      <c r="R145" s="9">
        <f t="shared" si="342"/>
        <v>0.13481425713416101</v>
      </c>
      <c r="S145" s="9">
        <f t="shared" si="342"/>
        <v>0.13481425713416101</v>
      </c>
      <c r="T145" s="9">
        <f t="shared" si="342"/>
        <v>0.13811465613740059</v>
      </c>
      <c r="U145" s="9">
        <f t="shared" si="342"/>
        <v>0.14141505514064018</v>
      </c>
      <c r="V145" s="9">
        <f t="shared" si="342"/>
        <v>0.14471545414387976</v>
      </c>
      <c r="W145" s="9">
        <f t="shared" si="342"/>
        <v>0.14801585314711935</v>
      </c>
      <c r="X145" s="9">
        <f t="shared" si="342"/>
        <v>0.15131625215035893</v>
      </c>
      <c r="Y145" s="9">
        <f t="shared" si="342"/>
        <v>0.15461665115359857</v>
      </c>
      <c r="Z145" s="9">
        <f t="shared" si="342"/>
        <v>0.15938796075459999</v>
      </c>
      <c r="AA145" s="9">
        <f t="shared" si="342"/>
        <v>0.16415927035560141</v>
      </c>
      <c r="AB145" s="9">
        <f t="shared" si="342"/>
        <v>0.16415927035560141</v>
      </c>
      <c r="AC145" s="9">
        <f t="shared" si="342"/>
        <v>0.16415927035560141</v>
      </c>
      <c r="AD145" s="9">
        <f t="shared" si="342"/>
        <v>0.16893057995660282</v>
      </c>
      <c r="AE145" s="9">
        <f t="shared" si="342"/>
        <v>0.17370188955760424</v>
      </c>
      <c r="AF145" s="9">
        <f t="shared" si="342"/>
        <v>0.17847319915860566</v>
      </c>
      <c r="AG145" s="9">
        <f t="shared" si="342"/>
        <v>0.18324450875960707</v>
      </c>
      <c r="AH145" s="9">
        <f t="shared" si="342"/>
        <v>0.18801581836060849</v>
      </c>
      <c r="AI145" s="9">
        <f t="shared" si="342"/>
        <v>0.19278712796160991</v>
      </c>
      <c r="AJ145" s="9">
        <f t="shared" si="342"/>
        <v>0.19755843756261132</v>
      </c>
      <c r="AK145" s="9">
        <f t="shared" si="342"/>
        <v>0.20232974716361288</v>
      </c>
      <c r="AL145" s="9">
        <f t="shared" si="342"/>
        <v>0.22977015880524612</v>
      </c>
      <c r="AM145" s="9">
        <f t="shared" si="342"/>
        <v>0.25721057044687945</v>
      </c>
      <c r="AN145" s="9">
        <f t="shared" si="342"/>
        <v>0.3121596168476844</v>
      </c>
      <c r="AO145" s="9">
        <f t="shared" si="342"/>
        <v>0.33534143085905294</v>
      </c>
    </row>
    <row r="146" spans="1:41" ht="15">
      <c r="A146" s="36" t="s">
        <v>113</v>
      </c>
      <c r="B146" s="20" t="str">
        <f t="shared" si="330"/>
        <v>COM_PROJ</v>
      </c>
      <c r="C146" s="21" t="str">
        <f t="shared" si="331"/>
        <v>-</v>
      </c>
      <c r="D146" s="48" t="s">
        <v>404</v>
      </c>
      <c r="E146" s="21" t="str">
        <f t="shared" si="332"/>
        <v>-</v>
      </c>
      <c r="F146" s="21" t="str">
        <f t="shared" si="332"/>
        <v>-</v>
      </c>
      <c r="G146" s="21" t="str">
        <f t="shared" si="332"/>
        <v>-</v>
      </c>
      <c r="H146" s="21" t="str">
        <f t="shared" si="332"/>
        <v>-</v>
      </c>
      <c r="I146" s="110">
        <f t="shared" si="333"/>
        <v>0</v>
      </c>
      <c r="J146" s="9">
        <f t="shared" si="343" ref="J146:AO146">INDEX($M120:$AZ120,MATCH(J$132,$M$106:$AZ$106,0))</f>
        <v>0.029412068148240201</v>
      </c>
      <c r="K146" s="9">
        <f t="shared" si="343"/>
        <v>0.029595121863944723</v>
      </c>
      <c r="L146" s="9">
        <f t="shared" si="343"/>
        <v>0.029778175579649242</v>
      </c>
      <c r="M146" s="9">
        <f t="shared" si="343"/>
        <v>0.028671491567328906</v>
      </c>
      <c r="N146" s="9">
        <f t="shared" si="343"/>
        <v>0.03006170398895754</v>
      </c>
      <c r="O146" s="9">
        <f t="shared" si="343"/>
        <v>0.030855981367015506</v>
      </c>
      <c r="P146" s="9">
        <f t="shared" si="343"/>
        <v>0.031650258745073476</v>
      </c>
      <c r="Q146" s="9">
        <f t="shared" si="343"/>
        <v>0.032444536123131446</v>
      </c>
      <c r="R146" s="9">
        <f t="shared" si="343"/>
        <v>0.032444536123131446</v>
      </c>
      <c r="S146" s="9">
        <f t="shared" si="343"/>
        <v>0.032444536123131446</v>
      </c>
      <c r="T146" s="9">
        <f t="shared" si="343"/>
        <v>0.033238813501189415</v>
      </c>
      <c r="U146" s="9">
        <f t="shared" si="343"/>
        <v>0.034033090879247385</v>
      </c>
      <c r="V146" s="9">
        <f t="shared" si="343"/>
        <v>0.034827368257305355</v>
      </c>
      <c r="W146" s="9">
        <f t="shared" si="343"/>
        <v>0.035621645635363325</v>
      </c>
      <c r="X146" s="9">
        <f t="shared" si="343"/>
        <v>0.036415923013421295</v>
      </c>
      <c r="Y146" s="9">
        <f t="shared" si="343"/>
        <v>0.037210200391479237</v>
      </c>
      <c r="Z146" s="9">
        <f t="shared" si="343"/>
        <v>0.038358468608766391</v>
      </c>
      <c r="AA146" s="9">
        <f t="shared" si="343"/>
        <v>0.039506736826053546</v>
      </c>
      <c r="AB146" s="9">
        <f t="shared" si="343"/>
        <v>0.039506736826053546</v>
      </c>
      <c r="AC146" s="9">
        <f t="shared" si="343"/>
        <v>0.039506736826053546</v>
      </c>
      <c r="AD146" s="9">
        <f t="shared" si="343"/>
        <v>0.0406550050433407</v>
      </c>
      <c r="AE146" s="9">
        <f t="shared" si="343"/>
        <v>0.041803273260627855</v>
      </c>
      <c r="AF146" s="9">
        <f t="shared" si="343"/>
        <v>0.042951541477915009</v>
      </c>
      <c r="AG146" s="9">
        <f t="shared" si="343"/>
        <v>0.044099809695202163</v>
      </c>
      <c r="AH146" s="9">
        <f t="shared" si="343"/>
        <v>0.045248077912489318</v>
      </c>
      <c r="AI146" s="9">
        <f t="shared" si="343"/>
        <v>0.046396346129776472</v>
      </c>
      <c r="AJ146" s="9">
        <f t="shared" si="343"/>
        <v>0.047544614347063627</v>
      </c>
      <c r="AK146" s="9">
        <f t="shared" si="343"/>
        <v>0.048692882564350753</v>
      </c>
      <c r="AL146" s="9">
        <f t="shared" si="343"/>
        <v>0.055296719915578302</v>
      </c>
      <c r="AM146" s="9">
        <f t="shared" si="343"/>
        <v>0.061900557266805857</v>
      </c>
      <c r="AN146" s="9">
        <f t="shared" si="343"/>
        <v>0.07512465061405757</v>
      </c>
      <c r="AO146" s="9">
        <f t="shared" si="343"/>
        <v>0.080703609531904696</v>
      </c>
    </row>
    <row r="147" spans="1:41" ht="15">
      <c r="A147" s="36" t="s">
        <v>113</v>
      </c>
      <c r="B147" s="20" t="str">
        <f t="shared" si="330"/>
        <v>COM_PROJ</v>
      </c>
      <c r="C147" s="21" t="str">
        <f t="shared" si="331"/>
        <v>-</v>
      </c>
      <c r="D147" s="48" t="s">
        <v>366</v>
      </c>
      <c r="E147" s="21" t="str">
        <f t="shared" si="332"/>
        <v>-</v>
      </c>
      <c r="F147" s="21" t="str">
        <f t="shared" si="332"/>
        <v>-</v>
      </c>
      <c r="G147" s="21" t="str">
        <f t="shared" si="332"/>
        <v>-</v>
      </c>
      <c r="H147" s="21" t="str">
        <f t="shared" si="332"/>
        <v>-</v>
      </c>
      <c r="I147" s="110">
        <f t="shared" si="333"/>
        <v>0</v>
      </c>
      <c r="J147" s="9">
        <f t="shared" si="344" ref="J147:AO147">INDEX($M121:$AZ121,MATCH(J$132,$M$106:$AZ$106,0))</f>
        <v>22</v>
      </c>
      <c r="K147" s="9">
        <f t="shared" si="344"/>
        <v>20.60902456349335</v>
      </c>
      <c r="L147" s="9">
        <f t="shared" si="344"/>
        <v>19.218049126986699</v>
      </c>
      <c r="M147" s="9">
        <f t="shared" si="344"/>
        <v>17.206637381742077</v>
      </c>
      <c r="N147" s="9">
        <f t="shared" si="344"/>
        <v>17.134223238421335</v>
      </c>
      <c r="O147" s="9">
        <f t="shared" si="344"/>
        <v>18.322969849623217</v>
      </c>
      <c r="P147" s="9">
        <f t="shared" si="344"/>
        <v>19.511716460825099</v>
      </c>
      <c r="Q147" s="9">
        <f t="shared" si="344"/>
        <v>20.700463072026981</v>
      </c>
      <c r="R147" s="9">
        <f t="shared" si="344"/>
        <v>20.700463072026981</v>
      </c>
      <c r="S147" s="9">
        <f t="shared" si="344"/>
        <v>20.700463072026981</v>
      </c>
      <c r="T147" s="9">
        <f t="shared" si="344"/>
        <v>21.889209683228863</v>
      </c>
      <c r="U147" s="9">
        <f t="shared" si="344"/>
        <v>23.077956294430745</v>
      </c>
      <c r="V147" s="9">
        <f t="shared" si="344"/>
        <v>24.266702905632627</v>
      </c>
      <c r="W147" s="9">
        <f t="shared" si="344"/>
        <v>25.455449516834509</v>
      </c>
      <c r="X147" s="9">
        <f t="shared" si="344"/>
        <v>26.644196128036391</v>
      </c>
      <c r="Y147" s="9">
        <f t="shared" si="344"/>
        <v>27.83294273923827</v>
      </c>
      <c r="Z147" s="9">
        <f t="shared" si="344"/>
        <v>28.691838504506951</v>
      </c>
      <c r="AA147" s="9">
        <f t="shared" si="344"/>
        <v>29.550734269775631</v>
      </c>
      <c r="AB147" s="9">
        <f t="shared" si="344"/>
        <v>29.550734269775631</v>
      </c>
      <c r="AC147" s="9">
        <f t="shared" si="344"/>
        <v>29.550734269775631</v>
      </c>
      <c r="AD147" s="9">
        <f t="shared" si="344"/>
        <v>30.409630035044312</v>
      </c>
      <c r="AE147" s="9">
        <f t="shared" si="344"/>
        <v>31.268525800312993</v>
      </c>
      <c r="AF147" s="9">
        <f t="shared" si="344"/>
        <v>32.12742156558167</v>
      </c>
      <c r="AG147" s="9">
        <f t="shared" si="344"/>
        <v>32.986317330850355</v>
      </c>
      <c r="AH147" s="9">
        <f t="shared" si="344"/>
        <v>33.845213096119039</v>
      </c>
      <c r="AI147" s="9">
        <f t="shared" si="344"/>
        <v>34.704108861387724</v>
      </c>
      <c r="AJ147" s="9">
        <f t="shared" si="344"/>
        <v>35.563004626656408</v>
      </c>
      <c r="AK147" s="9">
        <f t="shared" si="344"/>
        <v>36.421900391925078</v>
      </c>
      <c r="AL147" s="9">
        <f t="shared" si="344"/>
        <v>41.36151976839178</v>
      </c>
      <c r="AM147" s="9">
        <f t="shared" si="344"/>
        <v>46.301139144858453</v>
      </c>
      <c r="AN147" s="9">
        <f t="shared" si="344"/>
        <v>56.192658917395939</v>
      </c>
      <c r="AO147" s="9">
        <f t="shared" si="344"/>
        <v>60.365677134749021</v>
      </c>
    </row>
    <row r="148" spans="1:41" ht="15">
      <c r="A148" s="36"/>
      <c r="B148" s="20" t="str">
        <f t="shared" si="330"/>
        <v>COM_PROJ</v>
      </c>
      <c r="C148" s="21" t="str">
        <f t="shared" si="331"/>
        <v>-</v>
      </c>
      <c r="D148" s="48" t="s">
        <v>368</v>
      </c>
      <c r="E148" s="21" t="str">
        <f t="shared" si="332"/>
        <v>-</v>
      </c>
      <c r="F148" s="21" t="str">
        <f t="shared" si="332"/>
        <v>-</v>
      </c>
      <c r="G148" s="21" t="str">
        <f t="shared" si="332"/>
        <v>-</v>
      </c>
      <c r="H148" s="21" t="str">
        <f t="shared" si="332"/>
        <v>-</v>
      </c>
      <c r="I148" s="110">
        <f t="shared" si="333"/>
        <v>0</v>
      </c>
      <c r="J148" s="9">
        <f t="shared" si="345" ref="J148:AO148">INDEX($M122:$AZ122,MATCH(J$132,$M$106:$AZ$106,0))</f>
        <v>27.142505514316699</v>
      </c>
      <c r="K148" s="9">
        <f t="shared" si="345"/>
        <v>26.922878309927583</v>
      </c>
      <c r="L148" s="9">
        <f t="shared" si="345"/>
        <v>26.703251105538467</v>
      </c>
      <c r="M148" s="9">
        <f t="shared" si="345"/>
        <v>25.710844401627732</v>
      </c>
      <c r="N148" s="9">
        <f t="shared" si="345"/>
        <v>26.957502085054063</v>
      </c>
      <c r="O148" s="9">
        <f t="shared" si="345"/>
        <v>27.669761579159054</v>
      </c>
      <c r="P148" s="9">
        <f t="shared" si="345"/>
        <v>28.382021073264045</v>
      </c>
      <c r="Q148" s="9">
        <f t="shared" si="345"/>
        <v>29.094280567369037</v>
      </c>
      <c r="R148" s="9">
        <f t="shared" si="345"/>
        <v>29.094280567369037</v>
      </c>
      <c r="S148" s="9">
        <f t="shared" si="345"/>
        <v>29.094280567369037</v>
      </c>
      <c r="T148" s="9">
        <f t="shared" si="345"/>
        <v>29.806540061474028</v>
      </c>
      <c r="U148" s="9">
        <f t="shared" si="345"/>
        <v>30.518799555579019</v>
      </c>
      <c r="V148" s="9">
        <f t="shared" si="345"/>
        <v>31.23105904968401</v>
      </c>
      <c r="W148" s="9">
        <f t="shared" si="345"/>
        <v>31.943318543789001</v>
      </c>
      <c r="X148" s="9">
        <f t="shared" si="345"/>
        <v>32.655578037893996</v>
      </c>
      <c r="Y148" s="9">
        <f t="shared" si="345"/>
        <v>33.367837531998987</v>
      </c>
      <c r="Z148" s="9">
        <f t="shared" si="345"/>
        <v>34.39753441388865</v>
      </c>
      <c r="AA148" s="9">
        <f t="shared" si="345"/>
        <v>35.427231295778313</v>
      </c>
      <c r="AB148" s="9">
        <f t="shared" si="345"/>
        <v>35.427231295778313</v>
      </c>
      <c r="AC148" s="9">
        <f t="shared" si="345"/>
        <v>35.427231295778313</v>
      </c>
      <c r="AD148" s="9">
        <f t="shared" si="345"/>
        <v>36.456928177667976</v>
      </c>
      <c r="AE148" s="9">
        <f t="shared" si="345"/>
        <v>37.486625059557639</v>
      </c>
      <c r="AF148" s="9">
        <f t="shared" si="345"/>
        <v>38.516321941447302</v>
      </c>
      <c r="AG148" s="9">
        <f t="shared" si="345"/>
        <v>39.546018823336965</v>
      </c>
      <c r="AH148" s="9">
        <f t="shared" si="345"/>
        <v>40.575715705226628</v>
      </c>
      <c r="AI148" s="9">
        <f t="shared" si="345"/>
        <v>41.605412587116291</v>
      </c>
      <c r="AJ148" s="9">
        <f t="shared" si="345"/>
        <v>42.635109469005954</v>
      </c>
      <c r="AK148" s="9">
        <f t="shared" si="345"/>
        <v>43.664806350895645</v>
      </c>
      <c r="AL148" s="9">
        <f t="shared" si="345"/>
        <v>49.586724790065539</v>
      </c>
      <c r="AM148" s="9">
        <f t="shared" si="345"/>
        <v>55.50864322923541</v>
      </c>
      <c r="AN148" s="9">
        <f t="shared" si="345"/>
        <v>67.367203346533998</v>
      </c>
      <c r="AO148" s="9">
        <f t="shared" si="345"/>
        <v>72.37007333406163</v>
      </c>
    </row>
    <row r="149" spans="1:41" ht="15">
      <c r="A149" s="36"/>
      <c r="B149" s="20" t="str">
        <f t="shared" si="330"/>
        <v>COM_PROJ</v>
      </c>
      <c r="C149" s="21" t="str">
        <f t="shared" si="331"/>
        <v>-</v>
      </c>
      <c r="D149" s="48" t="s">
        <v>367</v>
      </c>
      <c r="E149" s="21" t="str">
        <f t="shared" si="332"/>
        <v>-</v>
      </c>
      <c r="F149" s="21" t="str">
        <f t="shared" si="332"/>
        <v>-</v>
      </c>
      <c r="G149" s="21" t="str">
        <f t="shared" si="332"/>
        <v>-</v>
      </c>
      <c r="H149" s="21" t="str">
        <f t="shared" si="332"/>
        <v>-</v>
      </c>
      <c r="I149" s="110">
        <f t="shared" si="333"/>
        <v>0</v>
      </c>
      <c r="J149" s="9">
        <f t="shared" si="346" ref="J149:AO149">INDEX($M123:$AZ123,MATCH(J$132,$M$106:$AZ$106,0))</f>
        <v>88.672727178245694</v>
      </c>
      <c r="K149" s="9">
        <f t="shared" si="346"/>
        <v>88.015304929890732</v>
      </c>
      <c r="L149" s="9">
        <f t="shared" si="346"/>
        <v>87.357882681535756</v>
      </c>
      <c r="M149" s="9">
        <f t="shared" si="346"/>
        <v>84.559607459462228</v>
      </c>
      <c r="N149" s="9">
        <f t="shared" si="346"/>
        <v>89.940942914951876</v>
      </c>
      <c r="O149" s="9">
        <f t="shared" si="346"/>
        <v>90.138114713236575</v>
      </c>
      <c r="P149" s="9">
        <f t="shared" si="346"/>
        <v>90.335286511521275</v>
      </c>
      <c r="Q149" s="9">
        <f t="shared" si="346"/>
        <v>90.532458309805975</v>
      </c>
      <c r="R149" s="9">
        <f t="shared" si="346"/>
        <v>90.532458309805975</v>
      </c>
      <c r="S149" s="9">
        <f t="shared" si="346"/>
        <v>90.532458309805975</v>
      </c>
      <c r="T149" s="9">
        <f t="shared" si="346"/>
        <v>90.729630108090674</v>
      </c>
      <c r="U149" s="9">
        <f t="shared" si="346"/>
        <v>90.926801906375374</v>
      </c>
      <c r="V149" s="9">
        <f t="shared" si="346"/>
        <v>91.123973704660074</v>
      </c>
      <c r="W149" s="9">
        <f t="shared" si="346"/>
        <v>91.321145502944773</v>
      </c>
      <c r="X149" s="9">
        <f t="shared" si="346"/>
        <v>91.518317301229473</v>
      </c>
      <c r="Y149" s="9">
        <f t="shared" si="346"/>
        <v>91.715489099514144</v>
      </c>
      <c r="Z149" s="9">
        <f t="shared" si="346"/>
        <v>93.20854934451566</v>
      </c>
      <c r="AA149" s="9">
        <f t="shared" si="346"/>
        <v>94.701609589517176</v>
      </c>
      <c r="AB149" s="9">
        <f t="shared" si="346"/>
        <v>94.701609589517176</v>
      </c>
      <c r="AC149" s="9">
        <f t="shared" si="346"/>
        <v>94.701609589517176</v>
      </c>
      <c r="AD149" s="9">
        <f t="shared" si="346"/>
        <v>96.194669834518692</v>
      </c>
      <c r="AE149" s="9">
        <f t="shared" si="346"/>
        <v>97.687730079520207</v>
      </c>
      <c r="AF149" s="9">
        <f t="shared" si="346"/>
        <v>99.180790324521723</v>
      </c>
      <c r="AG149" s="9">
        <f t="shared" si="346"/>
        <v>100.67385056952324</v>
      </c>
      <c r="AH149" s="9">
        <f t="shared" si="346"/>
        <v>102.16691081452475</v>
      </c>
      <c r="AI149" s="9">
        <f t="shared" si="346"/>
        <v>103.65997105952627</v>
      </c>
      <c r="AJ149" s="9">
        <f t="shared" si="346"/>
        <v>105.15303130452779</v>
      </c>
      <c r="AK149" s="9">
        <f t="shared" si="346"/>
        <v>106.64609154952934</v>
      </c>
      <c r="AL149" s="9">
        <f t="shared" si="346"/>
        <v>118.84493792107597</v>
      </c>
      <c r="AM149" s="9">
        <f t="shared" si="346"/>
        <v>131.04378429262255</v>
      </c>
      <c r="AN149" s="9">
        <f t="shared" si="346"/>
        <v>160.05101345611124</v>
      </c>
      <c r="AO149" s="9">
        <f t="shared" si="346"/>
        <v>171.4341209304275</v>
      </c>
    </row>
    <row r="150" spans="9:50" ht="15">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row>
    <row r="151" spans="7:57" ht="15">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row>
    <row r="152" spans="7:57" ht="15">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row>
    <row r="153" spans="7:57" ht="15">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row>
    <row r="154" spans="7:57" ht="15">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row>
    <row r="155" spans="7:57" ht="15">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row>
    <row r="156" spans="7:57" ht="15">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row>
    <row r="157" spans="7:57" ht="15">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row>
    <row r="158" spans="7:57" ht="15">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row>
    <row r="159" spans="7:57" ht="15">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row>
    <row r="160" spans="7:57" ht="15">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row>
    <row r="161" spans="7:57" ht="15">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row>
    <row r="162" spans="7:57" ht="15">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row>
    <row r="163" spans="7:57" ht="15">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row>
    <row r="164" spans="7:57" ht="15">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row>
    <row r="165" spans="7:57" ht="15">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row>
    <row r="166" spans="7:57" ht="15">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row>
    <row r="167" spans="7:57" ht="15">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row>
    <row r="168" spans="7:57" ht="15">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row>
    <row r="169" spans="7:57" ht="15">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row>
    <row r="170" spans="1:49" ht="23.25">
      <c r="A170" s="101" t="s">
        <v>16</v>
      </c>
      <c r="B170" s="105" t="s">
        <v>18</v>
      </c>
      <c r="C170" s="105" t="s">
        <v>19</v>
      </c>
      <c r="D170" s="105" t="s">
        <v>20</v>
      </c>
      <c r="E170" s="105" t="s">
        <v>21</v>
      </c>
      <c r="F170" s="105" t="s">
        <v>22</v>
      </c>
      <c r="G170" s="105" t="s">
        <v>23</v>
      </c>
      <c r="H170" s="105"/>
      <c r="I170" s="105" t="s">
        <v>24</v>
      </c>
      <c r="J170" s="106"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102" customFormat="1" ht="15">
      <c r="A171" s="101" t="s">
        <v>16</v>
      </c>
      <c r="B171" s="102" t="s">
        <v>376</v>
      </c>
      <c r="C171" s="102">
        <v>1</v>
      </c>
      <c r="D171" s="102">
        <v>2006</v>
      </c>
      <c r="E171" s="102">
        <v>2010</v>
      </c>
      <c r="F171" s="102">
        <v>2020</v>
      </c>
      <c r="G171" s="102">
        <v>2030</v>
      </c>
      <c r="I171" s="102">
        <v>2040</v>
      </c>
      <c r="J171" s="107">
        <v>2050</v>
      </c>
      <c r="K171" s="102" t="e">
        <f>MATCH(#REF!,$C$128:$K$128,$C171)</f>
        <v>#REF!</v>
      </c>
      <c r="L171" s="102" t="e">
        <f>MATCH(#REF!,$C$128:$K$128,$C171)</f>
        <v>#REF!</v>
      </c>
      <c r="M171" s="102" t="e">
        <f>MATCH(#REF!,$C$128:$K$128,$C171)</f>
        <v>#REF!</v>
      </c>
      <c r="N171" s="102" t="e">
        <f>MATCH(#REF!,$C$128:$K$128,$C171)</f>
        <v>#REF!</v>
      </c>
      <c r="O171" s="102" t="e">
        <f>MATCH(#REF!,$C$128:$K$128,$C171)</f>
        <v>#REF!</v>
      </c>
      <c r="P171" s="102" t="e">
        <f>MATCH(#REF!,$C$128:$K$128,$C171)</f>
        <v>#REF!</v>
      </c>
      <c r="Q171" s="102" t="e">
        <f>MATCH(#REF!,$C$128:$K$128,$C171)</f>
        <v>#REF!</v>
      </c>
      <c r="R171" s="102">
        <f t="shared" si="347" ref="R171:W172">MATCH(J$132,$C$128:$K$128,$C171)</f>
        <v>1</v>
      </c>
      <c r="S171" s="102">
        <f t="shared" si="347"/>
        <v>1</v>
      </c>
      <c r="T171" s="102">
        <f t="shared" si="347"/>
        <v>2</v>
      </c>
      <c r="U171" s="102">
        <f t="shared" si="347"/>
        <v>3</v>
      </c>
      <c r="V171" s="102">
        <f t="shared" si="347"/>
        <v>4</v>
      </c>
      <c r="W171" s="102">
        <f t="shared" si="347"/>
        <v>4</v>
      </c>
      <c r="X171" s="102">
        <f t="shared" si="348" ref="X171:Z172">MATCH(N$132,$C$128:$K$128,$C171)</f>
        <v>4</v>
      </c>
      <c r="Y171" s="102">
        <f t="shared" si="348"/>
        <v>4</v>
      </c>
      <c r="Z171" s="102">
        <f t="shared" si="348"/>
        <v>4</v>
      </c>
      <c r="AA171" s="102">
        <f t="shared" si="349" ref="AA171:AG172">MATCH(S$132,$C$128:$K$128,$C171)</f>
        <v>4</v>
      </c>
      <c r="AB171" s="102">
        <f t="shared" si="349"/>
        <v>4</v>
      </c>
      <c r="AC171" s="102">
        <f t="shared" si="349"/>
        <v>4</v>
      </c>
      <c r="AD171" s="102">
        <f t="shared" si="349"/>
        <v>4</v>
      </c>
      <c r="AE171" s="102">
        <f t="shared" si="349"/>
        <v>4</v>
      </c>
      <c r="AF171" s="102">
        <f t="shared" si="349"/>
        <v>4</v>
      </c>
      <c r="AG171" s="102">
        <f t="shared" si="349"/>
        <v>5</v>
      </c>
      <c r="AH171" s="102">
        <f t="shared" si="350" ref="AH171:AJ172">MATCH(X$132,$C$128:$K$128,$C171)</f>
        <v>4</v>
      </c>
      <c r="AI171" s="102">
        <f t="shared" si="350"/>
        <v>5</v>
      </c>
      <c r="AJ171" s="102">
        <f t="shared" si="350"/>
        <v>5</v>
      </c>
      <c r="AK171" s="102">
        <f t="shared" si="351" ref="AK171:AW172">MATCH(AC$132,$C$128:$K$128,$C171)</f>
        <v>5</v>
      </c>
      <c r="AL171" s="102">
        <f t="shared" si="351"/>
        <v>5</v>
      </c>
      <c r="AM171" s="102">
        <f t="shared" si="351"/>
        <v>5</v>
      </c>
      <c r="AN171" s="102">
        <f t="shared" si="351"/>
        <v>5</v>
      </c>
      <c r="AO171" s="102">
        <f t="shared" si="351"/>
        <v>5</v>
      </c>
      <c r="AP171" s="102">
        <f t="shared" si="351"/>
        <v>5</v>
      </c>
      <c r="AQ171" s="102">
        <f t="shared" si="351"/>
        <v>5</v>
      </c>
      <c r="AR171" s="102">
        <f t="shared" si="351"/>
        <v>5</v>
      </c>
      <c r="AS171" s="102">
        <f t="shared" si="351"/>
        <v>6</v>
      </c>
      <c r="AT171" s="102">
        <f t="shared" si="351"/>
        <v>6</v>
      </c>
      <c r="AU171" s="102">
        <f t="shared" si="351"/>
        <v>7</v>
      </c>
      <c r="AV171" s="102">
        <f t="shared" si="351"/>
        <v>8</v>
      </c>
      <c r="AW171" s="102">
        <f t="shared" si="351"/>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49" ht="15">
      <c r="A172" s="36" t="s">
        <v>16</v>
      </c>
      <c r="B172" t="s">
        <v>377</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8" cm="1">
        <f t="array" ref="J172">INDEX($D171:$J171,0,COUNT($D171:$J171)-J173)</f>
        <v>2006</v>
      </c>
      <c r="K172" s="36"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7"/>
        <v>1</v>
      </c>
      <c r="S172" t="e">
        <f t="shared" si="347"/>
        <v>#N/A</v>
      </c>
      <c r="T172">
        <f t="shared" si="347"/>
        <v>2</v>
      </c>
      <c r="U172">
        <f t="shared" si="347"/>
        <v>3</v>
      </c>
      <c r="V172">
        <f t="shared" si="347"/>
        <v>4</v>
      </c>
      <c r="W172" t="e">
        <f t="shared" si="347"/>
        <v>#N/A</v>
      </c>
      <c r="X172">
        <f t="shared" si="348"/>
        <v>4</v>
      </c>
      <c r="Y172" t="e">
        <f t="shared" si="348"/>
        <v>#N/A</v>
      </c>
      <c r="Z172" t="e">
        <f t="shared" si="348"/>
        <v>#N/A</v>
      </c>
      <c r="AA172" t="e">
        <f t="shared" si="349"/>
        <v>#N/A</v>
      </c>
      <c r="AB172" t="e">
        <f t="shared" si="349"/>
        <v>#N/A</v>
      </c>
      <c r="AC172" t="e">
        <f t="shared" si="349"/>
        <v>#N/A</v>
      </c>
      <c r="AD172" t="e">
        <f t="shared" si="349"/>
        <v>#N/A</v>
      </c>
      <c r="AE172" t="e">
        <f t="shared" si="349"/>
        <v>#N/A</v>
      </c>
      <c r="AF172" t="e">
        <f t="shared" si="349"/>
        <v>#N/A</v>
      </c>
      <c r="AG172">
        <f t="shared" si="349"/>
        <v>5</v>
      </c>
      <c r="AH172" t="e">
        <f t="shared" si="350"/>
        <v>#N/A</v>
      </c>
      <c r="AI172">
        <f t="shared" si="350"/>
        <v>5</v>
      </c>
      <c r="AJ172" t="e">
        <f t="shared" si="350"/>
        <v>#N/A</v>
      </c>
      <c r="AK172" t="e">
        <f t="shared" si="351"/>
        <v>#N/A</v>
      </c>
      <c r="AL172" t="e">
        <f t="shared" si="351"/>
        <v>#N/A</v>
      </c>
      <c r="AM172" t="e">
        <f t="shared" si="351"/>
        <v>#N/A</v>
      </c>
      <c r="AN172" t="e">
        <f t="shared" si="351"/>
        <v>#N/A</v>
      </c>
      <c r="AO172" t="e">
        <f t="shared" si="351"/>
        <v>#N/A</v>
      </c>
      <c r="AP172" t="e">
        <f t="shared" si="351"/>
        <v>#N/A</v>
      </c>
      <c r="AQ172" t="e">
        <f t="shared" si="351"/>
        <v>#N/A</v>
      </c>
      <c r="AR172" t="e">
        <f t="shared" si="351"/>
        <v>#N/A</v>
      </c>
      <c r="AS172">
        <f t="shared" si="351"/>
        <v>6</v>
      </c>
      <c r="AT172" t="e">
        <f t="shared" si="351"/>
        <v>#N/A</v>
      </c>
      <c r="AU172">
        <f t="shared" si="351"/>
        <v>7</v>
      </c>
      <c r="AV172">
        <f t="shared" si="351"/>
        <v>8</v>
      </c>
      <c r="AW172">
        <f t="shared" si="351"/>
        <v>9</v>
      </c>
    </row>
    <row r="173" spans="1:49" ht="15">
      <c r="A173" s="36" t="s">
        <v>16</v>
      </c>
      <c r="B173" t="s">
        <v>375</v>
      </c>
      <c r="C173">
        <v>-1</v>
      </c>
      <c r="D173">
        <v>0</v>
      </c>
      <c r="E173">
        <v>1</v>
      </c>
      <c r="F173">
        <v>2</v>
      </c>
      <c r="G173">
        <v>3</v>
      </c>
      <c r="I173">
        <v>4</v>
      </c>
      <c r="J173">
        <v>5</v>
      </c>
      <c r="K173" s="36"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si="352" ref="R173:W173">MATCH(J$132,$C$129:$K$129,$C173)</f>
        <v>9</v>
      </c>
      <c r="S173">
        <f t="shared" si="352"/>
        <v>8</v>
      </c>
      <c r="T173">
        <f t="shared" si="352"/>
        <v>8</v>
      </c>
      <c r="U173">
        <f t="shared" si="352"/>
        <v>7</v>
      </c>
      <c r="V173">
        <f t="shared" si="352"/>
        <v>6</v>
      </c>
      <c r="W173">
        <f t="shared" si="352"/>
        <v>5</v>
      </c>
      <c r="X173">
        <f>MATCH(N$132,$C$129:$K$129,$C173)</f>
        <v>6</v>
      </c>
      <c r="Y173">
        <f>MATCH(O$132,$C$129:$K$129,$C173)</f>
        <v>5</v>
      </c>
      <c r="Z173">
        <f>MATCH(P$132,$C$129:$K$129,$C173)</f>
        <v>5</v>
      </c>
      <c r="AA173">
        <f t="shared" si="353" ref="AA173:AG173">MATCH(S$132,$C$129:$K$129,$C173)</f>
        <v>5</v>
      </c>
      <c r="AB173">
        <f t="shared" si="353"/>
        <v>5</v>
      </c>
      <c r="AC173">
        <f t="shared" si="353"/>
        <v>5</v>
      </c>
      <c r="AD173">
        <f t="shared" si="353"/>
        <v>5</v>
      </c>
      <c r="AE173">
        <f t="shared" si="353"/>
        <v>5</v>
      </c>
      <c r="AF173">
        <f t="shared" si="353"/>
        <v>5</v>
      </c>
      <c r="AG173">
        <f t="shared" si="353"/>
        <v>5</v>
      </c>
      <c r="AH173">
        <f>MATCH(X$132,$C$129:$K$129,$C173)</f>
        <v>5</v>
      </c>
      <c r="AI173">
        <f>MATCH(Y$132,$C$129:$K$129,$C173)</f>
        <v>5</v>
      </c>
      <c r="AJ173">
        <f>MATCH(Z$132,$C$129:$K$129,$C173)</f>
        <v>4</v>
      </c>
      <c r="AK173">
        <f t="shared" si="354" ref="AK173:AW173">MATCH(AC$132,$C$129:$K$129,$C173)</f>
        <v>4</v>
      </c>
      <c r="AL173">
        <f t="shared" si="354"/>
        <v>4</v>
      </c>
      <c r="AM173">
        <f t="shared" si="354"/>
        <v>4</v>
      </c>
      <c r="AN173">
        <f t="shared" si="354"/>
        <v>4</v>
      </c>
      <c r="AO173">
        <f t="shared" si="354"/>
        <v>4</v>
      </c>
      <c r="AP173">
        <f t="shared" si="354"/>
        <v>4</v>
      </c>
      <c r="AQ173">
        <f t="shared" si="354"/>
        <v>4</v>
      </c>
      <c r="AR173">
        <f t="shared" si="354"/>
        <v>4</v>
      </c>
      <c r="AS173">
        <f t="shared" si="354"/>
        <v>4</v>
      </c>
      <c r="AT173">
        <f t="shared" si="354"/>
        <v>3</v>
      </c>
      <c r="AU173">
        <f t="shared" si="354"/>
        <v>3</v>
      </c>
      <c r="AV173">
        <f t="shared" si="354"/>
        <v>2</v>
      </c>
      <c r="AW173">
        <f t="shared" si="354"/>
        <v>1</v>
      </c>
    </row>
    <row r="174" spans="1:84" s="104" customFormat="1" ht="15">
      <c r="A174" s="36" t="s">
        <v>16</v>
      </c>
      <c r="B174" t="s">
        <v>378</v>
      </c>
      <c r="C174"/>
      <c r="D174"/>
      <c r="E174"/>
      <c r="F174"/>
      <c r="G174"/>
      <c r="H174"/>
      <c r="I174"/>
      <c r="J174" s="109"/>
      <c r="K174" s="71">
        <f>IF(ISNA(K171),-1,IF(ISNA(K173),99,IF(ISNA(K172),K171,0)))</f>
        <v>0</v>
      </c>
      <c r="L174" s="71">
        <f t="shared" si="355" ref="L174:AW174">IF(ISNA(L171),-1,IF(ISNA(L173),99,IF(ISNA(L172),L171,0)))</f>
        <v>0</v>
      </c>
      <c r="M174" s="71">
        <f t="shared" si="355"/>
        <v>0</v>
      </c>
      <c r="N174" s="71">
        <f t="shared" si="356" ref="N174:O174">IF(ISNA(N171),-1,IF(ISNA(N173),99,IF(ISNA(N172),N171,0)))</f>
        <v>0</v>
      </c>
      <c r="O174" s="71">
        <f t="shared" si="356"/>
        <v>0</v>
      </c>
      <c r="P174" s="71">
        <f t="shared" si="355"/>
        <v>0</v>
      </c>
      <c r="Q174" s="71">
        <f t="shared" si="355"/>
        <v>0</v>
      </c>
      <c r="R174" s="71">
        <f t="shared" si="355"/>
        <v>0</v>
      </c>
      <c r="S174" s="71">
        <f t="shared" si="355"/>
        <v>1</v>
      </c>
      <c r="T174" s="71">
        <f t="shared" si="355"/>
        <v>0</v>
      </c>
      <c r="U174" s="71">
        <f t="shared" si="355"/>
        <v>0</v>
      </c>
      <c r="V174" s="71">
        <f t="shared" si="355"/>
        <v>0</v>
      </c>
      <c r="W174" s="71">
        <f t="shared" si="355"/>
        <v>4</v>
      </c>
      <c r="X174" s="71">
        <f t="shared" si="357" ref="X174:Y174">IF(ISNA(X171),-1,IF(ISNA(X173),99,IF(ISNA(X172),X171,0)))</f>
        <v>0</v>
      </c>
      <c r="Y174" s="71">
        <f t="shared" si="357"/>
        <v>4</v>
      </c>
      <c r="Z174" s="71">
        <f t="shared" si="355"/>
        <v>4</v>
      </c>
      <c r="AA174" s="71">
        <f t="shared" si="355"/>
        <v>4</v>
      </c>
      <c r="AB174" s="71">
        <f t="shared" si="355"/>
        <v>4</v>
      </c>
      <c r="AC174" s="71">
        <f t="shared" si="355"/>
        <v>4</v>
      </c>
      <c r="AD174" s="71">
        <f t="shared" si="355"/>
        <v>4</v>
      </c>
      <c r="AE174" s="71">
        <f t="shared" si="355"/>
        <v>4</v>
      </c>
      <c r="AF174" s="71">
        <f t="shared" si="355"/>
        <v>4</v>
      </c>
      <c r="AG174" s="71">
        <f t="shared" si="355"/>
        <v>0</v>
      </c>
      <c r="AH174" s="71">
        <f t="shared" si="358" ref="AH174:AI174">IF(ISNA(AH171),-1,IF(ISNA(AH173),99,IF(ISNA(AH172),AH171,0)))</f>
        <v>4</v>
      </c>
      <c r="AI174" s="71">
        <f t="shared" si="358"/>
        <v>0</v>
      </c>
      <c r="AJ174" s="71">
        <f t="shared" si="355"/>
        <v>5</v>
      </c>
      <c r="AK174" s="71">
        <f t="shared" si="355"/>
        <v>5</v>
      </c>
      <c r="AL174" s="71">
        <f t="shared" si="355"/>
        <v>5</v>
      </c>
      <c r="AM174" s="71">
        <f t="shared" si="355"/>
        <v>5</v>
      </c>
      <c r="AN174" s="71">
        <f t="shared" si="355"/>
        <v>5</v>
      </c>
      <c r="AO174" s="71">
        <f t="shared" si="355"/>
        <v>5</v>
      </c>
      <c r="AP174" s="71">
        <f t="shared" si="355"/>
        <v>5</v>
      </c>
      <c r="AQ174" s="71">
        <f t="shared" si="355"/>
        <v>5</v>
      </c>
      <c r="AR174" s="71">
        <f t="shared" si="355"/>
        <v>5</v>
      </c>
      <c r="AS174" s="71">
        <f t="shared" si="355"/>
        <v>0</v>
      </c>
      <c r="AT174" s="71">
        <f t="shared" si="355"/>
        <v>6</v>
      </c>
      <c r="AU174" s="71">
        <f t="shared" si="355"/>
        <v>0</v>
      </c>
      <c r="AV174" s="71">
        <f t="shared" si="355"/>
        <v>0</v>
      </c>
      <c r="AW174" s="71">
        <f t="shared" si="355"/>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49" ht="15">
      <c r="A175" t="s">
        <v>16</v>
      </c>
      <c r="B175" s="20" t="str">
        <f t="shared" si="359" ref="B175:B184">IF(A175="*","","COM_PROJ")</f>
        <v/>
      </c>
      <c r="C175" s="21" t="str">
        <f t="shared" si="360" ref="C175:C184">IF($A175="*","","-")</f>
        <v/>
      </c>
      <c r="D175" s="48"/>
      <c r="E175" s="21" t="str">
        <f t="shared" si="361" ref="E175:I184">IF($A175="*","","-")</f>
        <v/>
      </c>
      <c r="F175" s="21" t="str">
        <f t="shared" si="361"/>
        <v/>
      </c>
      <c r="G175" s="21" t="str">
        <f t="shared" si="361"/>
        <v/>
      </c>
      <c r="H175" s="21"/>
      <c r="I175" s="21" t="str">
        <f t="shared" si="361"/>
        <v/>
      </c>
      <c r="K175" s="21">
        <f>K170</f>
        <v>2012</v>
      </c>
      <c r="L175" s="21">
        <f t="shared" si="362" ref="L175:AW175">L170</f>
        <v>2013</v>
      </c>
      <c r="M175" s="21">
        <f t="shared" si="362"/>
        <v>2014</v>
      </c>
      <c r="N175" s="21">
        <f t="shared" si="363" ref="N175:O175">N170</f>
        <v>2015</v>
      </c>
      <c r="O175" s="21">
        <f t="shared" si="363"/>
        <v>2015</v>
      </c>
      <c r="P175" s="21">
        <f t="shared" si="362"/>
        <v>2015</v>
      </c>
      <c r="Q175" s="21">
        <f t="shared" si="362"/>
        <v>2016</v>
      </c>
      <c r="R175" s="21">
        <f t="shared" si="362"/>
        <v>2017</v>
      </c>
      <c r="S175" s="21">
        <f t="shared" si="362"/>
        <v>2018</v>
      </c>
      <c r="T175" s="21">
        <f t="shared" si="362"/>
        <v>2019</v>
      </c>
      <c r="U175" s="21">
        <f t="shared" si="362"/>
        <v>2020</v>
      </c>
      <c r="V175" s="21">
        <f t="shared" si="362"/>
        <v>2021</v>
      </c>
      <c r="W175" s="21">
        <f t="shared" si="362"/>
        <v>2022</v>
      </c>
      <c r="X175" s="21">
        <f t="shared" si="364" ref="X175:Y175">X170</f>
        <v>2023</v>
      </c>
      <c r="Y175" s="21">
        <f t="shared" si="364"/>
        <v>2023</v>
      </c>
      <c r="Z175" s="21">
        <f t="shared" si="362"/>
        <v>2023</v>
      </c>
      <c r="AA175" s="21">
        <f t="shared" si="362"/>
        <v>2024</v>
      </c>
      <c r="AB175" s="21">
        <f t="shared" si="362"/>
        <v>2025</v>
      </c>
      <c r="AC175" s="21">
        <f t="shared" si="362"/>
        <v>2026</v>
      </c>
      <c r="AD175" s="21">
        <f t="shared" si="362"/>
        <v>2027</v>
      </c>
      <c r="AE175" s="21">
        <f t="shared" si="362"/>
        <v>2028</v>
      </c>
      <c r="AF175" s="21">
        <f t="shared" si="362"/>
        <v>2029</v>
      </c>
      <c r="AG175" s="21">
        <f t="shared" si="362"/>
        <v>2030</v>
      </c>
      <c r="AH175" s="21">
        <f t="shared" si="365" ref="AH175:AI175">AH170</f>
        <v>2031</v>
      </c>
      <c r="AI175" s="21">
        <f t="shared" si="365"/>
        <v>2031</v>
      </c>
      <c r="AJ175" s="21">
        <f t="shared" si="362"/>
        <v>2031</v>
      </c>
      <c r="AK175" s="21">
        <f t="shared" si="362"/>
        <v>2032</v>
      </c>
      <c r="AL175" s="21">
        <f t="shared" si="362"/>
        <v>2033</v>
      </c>
      <c r="AM175" s="21">
        <f t="shared" si="362"/>
        <v>2034</v>
      </c>
      <c r="AN175" s="21">
        <f t="shared" si="362"/>
        <v>2035</v>
      </c>
      <c r="AO175" s="21">
        <f t="shared" si="362"/>
        <v>2036</v>
      </c>
      <c r="AP175" s="21">
        <f t="shared" si="362"/>
        <v>2037</v>
      </c>
      <c r="AQ175" s="21">
        <f t="shared" si="362"/>
        <v>2038</v>
      </c>
      <c r="AR175" s="21">
        <f t="shared" si="362"/>
        <v>2039</v>
      </c>
      <c r="AS175" s="21">
        <f t="shared" si="362"/>
        <v>2040</v>
      </c>
      <c r="AT175" s="21">
        <f t="shared" si="362"/>
        <v>2041</v>
      </c>
      <c r="AU175" s="21">
        <f t="shared" si="362"/>
        <v>2042</v>
      </c>
      <c r="AV175" s="21">
        <f t="shared" si="362"/>
        <v>2043</v>
      </c>
      <c r="AW175" s="21">
        <f t="shared" si="362"/>
        <v>2044</v>
      </c>
    </row>
    <row r="176" spans="1:49" ht="15">
      <c r="A176" t="s">
        <v>16</v>
      </c>
      <c r="B176" s="20" t="str">
        <f t="shared" si="359"/>
        <v/>
      </c>
      <c r="C176" s="21" t="str">
        <f t="shared" si="360"/>
        <v/>
      </c>
      <c r="D176" s="48"/>
      <c r="E176" s="21" t="str">
        <f t="shared" si="361"/>
        <v/>
      </c>
      <c r="F176" s="21" t="str">
        <f t="shared" si="361"/>
        <v/>
      </c>
      <c r="G176" s="21" t="str">
        <f t="shared" si="361"/>
        <v/>
      </c>
      <c r="H176" s="21"/>
      <c r="I176" s="21" t="str">
        <f t="shared" si="361"/>
        <v/>
      </c>
      <c r="J176" s="118" t="str">
        <f t="shared" si="366" ref="J176:J188">B76</f>
        <v>TFLCV</v>
      </c>
      <c r="K176" s="9" t="e">
        <f>#REF!</f>
        <v>#REF!</v>
      </c>
      <c r="L176" s="9" t="e" cm="1">
        <f t="array" ref="L176">IF(L$174=-1,M176,IF(L$174=99,K176,IF(L$174=0,INDEX($F43:$N43,0,L$172),(INDEX($F43:$N43,0,L$174+1)-INDEX($F43:$N43,0,L$174))/(INDEX($F$4:$N$4,0,L$174+1)-INDEX($F$4:$N$4,0,L$174))+K176)))</f>
        <v>#REF!</v>
      </c>
      <c r="M176" s="9" t="e" cm="1">
        <f t="array" ref="M176">IF(M$174=-1,P176,IF(M$174=99,L176,IF(M$174=0,INDEX($F43:$N43,0,M$172),(INDEX($F43:$N43,0,M$174+1)-INDEX($F43:$N43,0,M$174))/(INDEX($F$4:$N$4,0,M$174+1)-INDEX($F$4:$N$4,0,M$174))+L176)))</f>
        <v>#REF!</v>
      </c>
      <c r="N176" s="9" t="e" cm="1">
        <f t="array" ref="N176">IF(N$174=-1,O176,IF(N$174=99,K176,IF(N$174=0,INDEX($F43:$N43,0,N$172),(INDEX($F43:$N43,0,N$174+1)-INDEX($F43:$N43,0,N$174))/(INDEX($F$4:$N$4,0,N$174+1)-INDEX($F$4:$N$4,0,N$174))+K176)))</f>
        <v>#REF!</v>
      </c>
      <c r="O176" s="9" t="e" cm="1">
        <f t="array" ref="O176">IF(O$174=-1,P176,IF(O$174=99,L176,IF(O$174=0,INDEX($F43:$N43,0,O$172),(INDEX($F43:$N43,0,O$174+1)-INDEX($F43:$N43,0,O$174))/(INDEX($F$4:$N$4,0,O$174+1)-INDEX($F$4:$N$4,0,O$174))+L176)))</f>
        <v>#REF!</v>
      </c>
      <c r="P176" s="9" t="e" cm="1">
        <f t="array" ref="P176">IF(P$174=-1,Q176,IF(P$174=99,M176,IF(P$174=0,INDEX($F43:$N43,0,P$172),(INDEX($F43:$N43,0,P$174+1)-INDEX($F43:$N43,0,P$174))/(INDEX($F$4:$N$4,0,P$174+1)-INDEX($F$4:$N$4,0,P$174))+M176)))</f>
        <v>#REF!</v>
      </c>
      <c r="Q176" s="9" t="e" cm="1">
        <f t="array" ref="Q176">IF(Q$174=-1,R176,IF(Q$174=99,P176,IF(Q$174=0,INDEX($F43:$N43,0,Q$172),(INDEX($F43:$N43,0,Q$174+1)-INDEX($F43:$N43,0,Q$174))/(INDEX($F$4:$N$4,0,Q$174+1)-INDEX($F$4:$N$4,0,Q$174))+P176)))</f>
        <v>#REF!</v>
      </c>
      <c r="R176" s="9" cm="1">
        <f t="array" ref="R176">IF(R$174=-1,S176,IF(R$174=99,Q176,IF(R$174=0,INDEX($F43:$N43,0,R$172),(INDEX($F43:$N43,0,R$174+1)-INDEX($F43:$N43,0,R$174))/(INDEX($F$4:$N$4,0,R$174+1)-INDEX($F$4:$N$4,0,R$174))+Q176)))</f>
        <v>18.931145021834741</v>
      </c>
      <c r="S176" s="9" cm="1">
        <f t="array" ref="S176">IF(S$174=-1,T176,IF(S$174=99,R176,IF(S$174=0,INDEX($F43:$N43,0,S$172),(INDEX($F43:$N43,0,S$174+1)-INDEX($F43:$N43,0,S$174))/(INDEX($F$4:$N$4,0,S$174+1)-INDEX($F$4:$N$4,0,S$174))+R176)))</f>
        <v>19.048967965169496</v>
      </c>
      <c r="T176" s="9" cm="1">
        <f t="array" ref="T176">IF(T$174=-1,U176,IF(T$174=99,S176,IF(T$174=0,INDEX($F43:$N43,0,T$172),(INDEX($F43:$N43,0,T$174+1)-INDEX($F43:$N43,0,T$174))/(INDEX($F$4:$N$4,0,T$174+1)-INDEX($F$4:$N$4,0,T$174))+S176)))</f>
        <v>19.16679090850425</v>
      </c>
      <c r="U176" s="9" cm="1">
        <f t="array" ref="U176">IF(U$174=-1,V176,IF(U$174=99,T176,IF(U$174=0,INDEX($F43:$N43,0,U$172),(INDEX($F43:$N43,0,U$174+1)-INDEX($F43:$N43,0,U$174))/(INDEX($F$4:$N$4,0,U$174+1)-INDEX($F$4:$N$4,0,U$174))+T176)))</f>
        <v>18.454471209495399</v>
      </c>
      <c r="V176" s="9" cm="1">
        <f t="array" ref="V176">IF(V$174=-1,W176,IF(V$174=99,U176,IF(V$174=0,INDEX($F43:$N43,0,V$172),(INDEX($F43:$N43,0,V$174+1)-INDEX($F43:$N43,0,V$174))/(INDEX($F$4:$N$4,0,V$174+1)-INDEX($F$4:$N$4,0,V$174))+U176)))</f>
        <v>19.349284618479778</v>
      </c>
      <c r="W176" s="9" cm="1">
        <f t="array" ref="W176">IF(W$174=-1,Z176,IF(W$174=99,V176,IF(W$174=0,INDEX($F43:$N43,0,W$172),(INDEX($F43:$N43,0,W$174+1)-INDEX($F43:$N43,0,W$174))/(INDEX($F$4:$N$4,0,W$174+1)-INDEX($F$4:$N$4,0,W$174))+V176)))</f>
        <v>19.860523071885773</v>
      </c>
      <c r="X176" s="9" cm="1">
        <f t="array" ref="X176">IF(X$174=-1,Y176,IF(X$174=99,U176,IF(X$174=0,INDEX($F43:$N43,0,X$172),(INDEX($F43:$N43,0,X$174+1)-INDEX($F43:$N43,0,X$174))/(INDEX($F$4:$N$4,0,X$174+1)-INDEX($F$4:$N$4,0,X$174))+U176)))</f>
        <v>19.349284618479778</v>
      </c>
      <c r="Y176" s="9" cm="1">
        <f t="array" ref="Y176">IF(Y$174=-1,Z176,IF(Y$174=99,V176,IF(Y$174=0,INDEX($F43:$N43,0,Y$172),(INDEX($F43:$N43,0,Y$174+1)-INDEX($F43:$N43,0,Y$174))/(INDEX($F$4:$N$4,0,Y$174+1)-INDEX($F$4:$N$4,0,Y$174))+V176)))</f>
        <v>19.860523071885773</v>
      </c>
      <c r="Z176" s="9" cm="1">
        <f t="array" ref="Z176">IF(Z$174=-1,AA176,IF(Z$174=99,W176,IF(Z$174=0,INDEX($F43:$N43,0,Z$172),(INDEX($F43:$N43,0,Z$174+1)-INDEX($F43:$N43,0,Z$174))/(INDEX($F$4:$N$4,0,Z$174+1)-INDEX($F$4:$N$4,0,Z$174))+W176)))</f>
        <v>20.371761525291767</v>
      </c>
      <c r="AA176" s="9" cm="1">
        <f t="array" ref="AA176">IF(AA$174=-1,AB176,IF(AA$174=99,Z176,IF(AA$174=0,INDEX($F43:$N43,0,AA$172),(INDEX($F43:$N43,0,AA$174+1)-INDEX($F43:$N43,0,AA$174))/(INDEX($F$4:$N$4,0,AA$174+1)-INDEX($F$4:$N$4,0,AA$174))+Z176)))</f>
        <v>20.882999978697761</v>
      </c>
      <c r="AB176" s="9" cm="1">
        <f t="array" ref="AB176">IF(AB$174=-1,AC176,IF(AB$174=99,AA176,IF(AB$174=0,INDEX($F43:$N43,0,AB$172),(INDEX($F43:$N43,0,AB$174+1)-INDEX($F43:$N43,0,AB$174))/(INDEX($F$4:$N$4,0,AB$174+1)-INDEX($F$4:$N$4,0,AB$174))+AA176)))</f>
        <v>21.394238432103755</v>
      </c>
      <c r="AC176" s="9" cm="1">
        <f t="array" ref="AC176">IF(AC$174=-1,AD176,IF(AC$174=99,AB176,IF(AC$174=0,INDEX($F43:$N43,0,AC$172),(INDEX($F43:$N43,0,AC$174+1)-INDEX($F43:$N43,0,AC$174))/(INDEX($F$4:$N$4,0,AC$174+1)-INDEX($F$4:$N$4,0,AC$174))+AB176)))</f>
        <v>21.905476885509749</v>
      </c>
      <c r="AD176" s="9" cm="1">
        <f t="array" ref="AD176">IF(AD$174=-1,AE176,IF(AD$174=99,AC176,IF(AD$174=0,INDEX($F43:$N43,0,AD$172),(INDEX($F43:$N43,0,AD$174+1)-INDEX($F43:$N43,0,AD$174))/(INDEX($F$4:$N$4,0,AD$174+1)-INDEX($F$4:$N$4,0,AD$174))+AC176)))</f>
        <v>22.416715338915743</v>
      </c>
      <c r="AE176" s="9" cm="1">
        <f t="array" ref="AE176">IF(AE$174=-1,AF176,IF(AE$174=99,AD176,IF(AE$174=0,INDEX($F43:$N43,0,AE$172),(INDEX($F43:$N43,0,AE$174+1)-INDEX($F43:$N43,0,AE$174))/(INDEX($F$4:$N$4,0,AE$174+1)-INDEX($F$4:$N$4,0,AE$174))+AD176)))</f>
        <v>22.927953792321738</v>
      </c>
      <c r="AF176" s="9" cm="1">
        <f t="array" ref="AF176">IF(AF$174=-1,AG176,IF(AF$174=99,AE176,IF(AF$174=0,INDEX($F43:$N43,0,AF$172),(INDEX($F43:$N43,0,AF$174+1)-INDEX($F43:$N43,0,AF$174))/(INDEX($F$4:$N$4,0,AF$174+1)-INDEX($F$4:$N$4,0,AF$174))+AE176)))</f>
        <v>23.439192245727732</v>
      </c>
      <c r="AG176" s="9" cm="1">
        <f t="array" ref="AG176">IF(AG$174=-1,AJ176,IF(AG$174=99,AF176,IF(AG$174=0,INDEX($F43:$N43,0,AG$172),(INDEX($F43:$N43,0,AG$174+1)-INDEX($F43:$N43,0,AG$174))/(INDEX($F$4:$N$4,0,AG$174+1)-INDEX($F$4:$N$4,0,AG$174))+AF176)))</f>
        <v>23.950430699133722</v>
      </c>
      <c r="AH176" s="9" cm="1">
        <f t="array" ref="AH176">IF(AH$174=-1,AI176,IF(AH$174=99,AE176,IF(AH$174=0,INDEX($F43:$N43,0,AH$172),(INDEX($F43:$N43,0,AH$174+1)-INDEX($F43:$N43,0,AH$174))/(INDEX($F$4:$N$4,0,AH$174+1)-INDEX($F$4:$N$4,0,AH$174))+AE176)))</f>
        <v>23.439192245727732</v>
      </c>
      <c r="AI176" s="9" cm="1">
        <f t="array" ref="AI176">IF(AI$174=-1,AJ176,IF(AI$174=99,AF176,IF(AI$174=0,INDEX($F43:$N43,0,AI$172),(INDEX($F43:$N43,0,AI$174+1)-INDEX($F43:$N43,0,AI$174))/(INDEX($F$4:$N$4,0,AI$174+1)-INDEX($F$4:$N$4,0,AI$174))+AF176)))</f>
        <v>23.950430699133722</v>
      </c>
      <c r="AJ176" s="9" cm="1">
        <f t="array" ref="AJ176">IF(AJ$174=-1,AK176,IF(AJ$174=99,AG176,IF(AJ$174=0,INDEX($F43:$N43,0,AJ$172),(INDEX($F43:$N43,0,AJ$174+1)-INDEX($F43:$N43,0,AJ$174))/(INDEX($F$4:$N$4,0,AJ$174+1)-INDEX($F$4:$N$4,0,AJ$174))+AG176)))</f>
        <v>24.689516166903772</v>
      </c>
      <c r="AK176" s="9" cm="1">
        <f t="array" ref="AK176">IF(AK$174=-1,AL176,IF(AK$174=99,AJ176,IF(AK$174=0,INDEX($F43:$N43,0,AK$172),(INDEX($F43:$N43,0,AK$174+1)-INDEX($F43:$N43,0,AK$174))/(INDEX($F$4:$N$4,0,AK$174+1)-INDEX($F$4:$N$4,0,AK$174))+AJ176)))</f>
        <v>25.428601634673822</v>
      </c>
      <c r="AL176" s="9" cm="1">
        <f t="array" ref="AL176">IF(AL$174=-1,AM176,IF(AL$174=99,AK176,IF(AL$174=0,INDEX($F43:$N43,0,AL$172),(INDEX($F43:$N43,0,AL$174+1)-INDEX($F43:$N43,0,AL$174))/(INDEX($F$4:$N$4,0,AL$174+1)-INDEX($F$4:$N$4,0,AL$174))+AK176)))</f>
        <v>26.167687102443871</v>
      </c>
      <c r="AM176" s="9" cm="1">
        <f t="array" ref="AM176">IF(AM$174=-1,AN176,IF(AM$174=99,AL176,IF(AM$174=0,INDEX($F43:$N43,0,AM$172),(INDEX($F43:$N43,0,AM$174+1)-INDEX($F43:$N43,0,AM$174))/(INDEX($F$4:$N$4,0,AM$174+1)-INDEX($F$4:$N$4,0,AM$174))+AL176)))</f>
        <v>26.906772570213921</v>
      </c>
      <c r="AN176" s="9" cm="1">
        <f t="array" ref="AN176">IF(AN$174=-1,AO176,IF(AN$174=99,AM176,IF(AN$174=0,INDEX($F43:$N43,0,AN$172),(INDEX($F43:$N43,0,AN$174+1)-INDEX($F43:$N43,0,AN$174))/(INDEX($F$4:$N$4,0,AN$174+1)-INDEX($F$4:$N$4,0,AN$174))+AM176)))</f>
        <v>27.64585803798397</v>
      </c>
      <c r="AO176" s="9" cm="1">
        <f t="array" ref="AO176">IF(AO$174=-1,AP176,IF(AO$174=99,AN176,IF(AO$174=0,INDEX($F43:$N43,0,AO$172),(INDEX($F43:$N43,0,AO$174+1)-INDEX($F43:$N43,0,AO$174))/(INDEX($F$4:$N$4,0,AO$174+1)-INDEX($F$4:$N$4,0,AO$174))+AN176)))</f>
        <v>28.38494350575402</v>
      </c>
      <c r="AP176" s="9" cm="1">
        <f t="array" ref="AP176">IF(AP$174=-1,AQ176,IF(AP$174=99,AO176,IF(AP$174=0,INDEX($F43:$N43,0,AP$172),(INDEX($F43:$N43,0,AP$174+1)-INDEX($F43:$N43,0,AP$174))/(INDEX($F$4:$N$4,0,AP$174+1)-INDEX($F$4:$N$4,0,AP$174))+AO176)))</f>
        <v>29.124028973524069</v>
      </c>
      <c r="AQ176" s="9" cm="1">
        <f t="array" ref="AQ176">IF(AQ$174=-1,AR176,IF(AQ$174=99,AP176,IF(AQ$174=0,INDEX($F43:$N43,0,AQ$172),(INDEX($F43:$N43,0,AQ$174+1)-INDEX($F43:$N43,0,AQ$174))/(INDEX($F$4:$N$4,0,AQ$174+1)-INDEX($F$4:$N$4,0,AQ$174))+AP176)))</f>
        <v>29.863114441294119</v>
      </c>
      <c r="AR176" s="9" cm="1">
        <f t="array" ref="AR176">IF(AR$174=-1,AS176,IF(AR$174=99,AQ176,IF(AR$174=0,INDEX($F43:$N43,0,AR$172),(INDEX($F43:$N43,0,AR$174+1)-INDEX($F43:$N43,0,AR$174))/(INDEX($F$4:$N$4,0,AR$174+1)-INDEX($F$4:$N$4,0,AR$174))+AQ176)))</f>
        <v>30.602199909064169</v>
      </c>
      <c r="AS176" s="9" cm="1">
        <f t="array" ref="AS176">IF(AS$174=-1,AT176,IF(AS$174=99,AR176,IF(AS$174=0,INDEX($F43:$N43,0,AS$172),(INDEX($F43:$N43,0,AS$174+1)-INDEX($F43:$N43,0,AS$174))/(INDEX($F$4:$N$4,0,AS$174+1)-INDEX($F$4:$N$4,0,AS$174))+AR176)))</f>
        <v>31.341285376834229</v>
      </c>
      <c r="AT176" s="9" cm="1">
        <f t="array" ref="AT176">IF(AT$174=-1,AU176,IF(AT$174=99,AS176,IF(AT$174=0,INDEX($F43:$N43,0,AT$172),(INDEX($F43:$N43,0,AT$174+1)-INDEX($F43:$N43,0,AT$174))/(INDEX($F$4:$N$4,0,AT$174+1)-INDEX($F$4:$N$4,0,AT$174))+AS176)))</f>
        <v>32.191400383821097</v>
      </c>
      <c r="AU176" s="9" cm="1">
        <f t="array" ref="AU176">IF(AU$174=-1,AV176,IF(AU$174=99,AT176,IF(AU$174=0,INDEX($F43:$N43,0,AU$172),(INDEX($F43:$N43,0,AU$174+1)-INDEX($F43:$N43,0,AU$174))/(INDEX($F$4:$N$4,0,AU$174+1)-INDEX($F$4:$N$4,0,AU$174))+AT176)))</f>
        <v>39.842435446702936</v>
      </c>
      <c r="AV176" s="9" cm="1">
        <f t="array" ref="AV176">IF(AV$174=-1,AW176,IF(AV$174=99,AU176,IF(AV$174=0,INDEX($F43:$N43,0,AV$172),(INDEX($F43:$N43,0,AV$174+1)-INDEX($F43:$N43,0,AV$174))/(INDEX($F$4:$N$4,0,AV$174+1)-INDEX($F$4:$N$4,0,AV$174))+AU176)))</f>
        <v>48.354153414896246</v>
      </c>
      <c r="AW176" s="9" cm="1">
        <f t="array" ref="AW176">IF(AW$174=-1,AX176,IF(AW$174=99,AV176,IF(AW$174=0,INDEX($F43:$N43,0,AW$172),(INDEX($F43:$N43,0,AW$174+1)-INDEX($F43:$N43,0,AW$174))/(INDEX($F$4:$N$4,0,AW$174+1)-INDEX($F$4:$N$4,0,AW$174))+AV176)))</f>
        <v>51.945063099053954</v>
      </c>
    </row>
    <row r="177" spans="1:63" ht="15">
      <c r="A177" t="s">
        <v>16</v>
      </c>
      <c r="B177" s="20" t="str">
        <f t="shared" si="359"/>
        <v/>
      </c>
      <c r="C177" s="21" t="str">
        <f t="shared" si="360"/>
        <v/>
      </c>
      <c r="D177" s="48"/>
      <c r="E177" s="21" t="str">
        <f t="shared" si="361"/>
        <v/>
      </c>
      <c r="F177" s="21" t="str">
        <f t="shared" si="361"/>
        <v/>
      </c>
      <c r="G177" s="21" t="str">
        <f t="shared" si="361"/>
        <v/>
      </c>
      <c r="H177" s="21"/>
      <c r="I177" s="21" t="str">
        <f t="shared" si="361"/>
        <v/>
      </c>
      <c r="J177" s="118" t="str">
        <f t="shared" si="366"/>
        <v>TFHCV1</v>
      </c>
      <c r="K177" s="9" t="e">
        <f>#REF!</f>
        <v>#REF!</v>
      </c>
      <c r="L177" s="9" t="e" cm="1">
        <f t="array" ref="L177">IF(L$174=-1,M177,IF(L$174=99,K177,IF(L$174=0,INDEX($F46:$N46,0,L$172),(INDEX($F46:$N46,0,L$174+1)-INDEX($F46:$N46,0,L$174))/(INDEX($F$4:$N$4,0,L$174+1)-INDEX($F$4:$N$4,0,L$174))+K177)))</f>
        <v>#REF!</v>
      </c>
      <c r="M177" s="9" t="e" cm="1">
        <f t="array" ref="M177">IF(M$174=-1,P177,IF(M$174=99,L177,IF(M$174=0,INDEX($F46:$N46,0,M$172),(INDEX($F46:$N46,0,M$174+1)-INDEX($F46:$N46,0,M$174))/(INDEX($F$4:$N$4,0,M$174+1)-INDEX($F$4:$N$4,0,M$174))+L177)))</f>
        <v>#REF!</v>
      </c>
      <c r="N177" s="9" t="e" cm="1">
        <f t="array" ref="N177">IF(N$174=-1,O177,IF(N$174=99,K177,IF(N$174=0,INDEX($F46:$N46,0,N$172),(INDEX($F46:$N46,0,N$174+1)-INDEX($F46:$N46,0,N$174))/(INDEX($F$4:$N$4,0,N$174+1)-INDEX($F$4:$N$4,0,N$174))+K177)))</f>
        <v>#REF!</v>
      </c>
      <c r="O177" s="9" t="e" cm="1">
        <f t="array" ref="O177">IF(O$174=-1,P177,IF(O$174=99,L177,IF(O$174=0,INDEX($F46:$N46,0,O$172),(INDEX($F46:$N46,0,O$174+1)-INDEX($F46:$N46,0,O$174))/(INDEX($F$4:$N$4,0,O$174+1)-INDEX($F$4:$N$4,0,O$174))+L177)))</f>
        <v>#REF!</v>
      </c>
      <c r="P177" s="9" t="e" cm="1">
        <f t="array" ref="P177">IF(P$174=-1,Q177,IF(P$174=99,M177,IF(P$174=0,INDEX($F46:$N46,0,P$172),(INDEX($F46:$N46,0,P$174+1)-INDEX($F46:$N46,0,P$174))/(INDEX($F$4:$N$4,0,P$174+1)-INDEX($F$4:$N$4,0,P$174))+M177)))</f>
        <v>#REF!</v>
      </c>
      <c r="Q177" s="9" t="e" cm="1">
        <f t="array" ref="Q177">IF(Q$174=-1,R177,IF(Q$174=99,P177,IF(Q$174=0,INDEX($F46:$N46,0,Q$172),(INDEX($F46:$N46,0,Q$174+1)-INDEX($F46:$N46,0,Q$174))/(INDEX($F$4:$N$4,0,Q$174+1)-INDEX($F$4:$N$4,0,Q$174))+P177)))</f>
        <v>#REF!</v>
      </c>
      <c r="R177" s="9" cm="1">
        <f t="array" ref="R177">IF(R$174=-1,S177,IF(R$174=99,Q177,IF(R$174=0,INDEX($F46:$N46,0,R$172),(INDEX($F46:$N46,0,R$174+1)-INDEX($F46:$N46,0,R$174))/(INDEX($F$4:$N$4,0,R$174+1)-INDEX($F$4:$N$4,0,R$174))+Q177)))</f>
        <v>5.4191590500230697</v>
      </c>
      <c r="S177" s="9" cm="1">
        <f t="array" ref="S177">IF(S$174=-1,T177,IF(S$174=99,R177,IF(S$174=0,INDEX($F46:$N46,0,S$172),(INDEX($F46:$N46,0,S$174+1)-INDEX($F46:$N46,0,S$174))/(INDEX($F$4:$N$4,0,S$174+1)-INDEX($F$4:$N$4,0,S$174))+R177)))</f>
        <v>5.8414423089944414</v>
      </c>
      <c r="T177" s="9" cm="1">
        <f t="array" ref="T177">IF(T$174=-1,U177,IF(T$174=99,S177,IF(T$174=0,INDEX($F46:$N46,0,T$172),(INDEX($F46:$N46,0,T$174+1)-INDEX($F46:$N46,0,T$174))/(INDEX($F$4:$N$4,0,T$174+1)-INDEX($F$4:$N$4,0,T$174))+S177)))</f>
        <v>6.263725567965813</v>
      </c>
      <c r="U177" s="9" cm="1">
        <f t="array" ref="U177">IF(U$174=-1,V177,IF(U$174=99,T177,IF(U$174=0,INDEX($F46:$N46,0,U$172),(INDEX($F46:$N46,0,U$174+1)-INDEX($F46:$N46,0,U$174))/(INDEX($F$4:$N$4,0,U$174+1)-INDEX($F$4:$N$4,0,U$174))+T177)))</f>
        <v>6.0309388102583563</v>
      </c>
      <c r="V177" s="9" cm="1">
        <f t="array" ref="V177">IF(V$174=-1,W177,IF(V$174=99,U177,IF(V$174=0,INDEX($F46:$N46,0,V$172),(INDEX($F46:$N46,0,V$174+1)-INDEX($F46:$N46,0,V$174))/(INDEX($F$4:$N$4,0,V$174+1)-INDEX($F$4:$N$4,0,V$174))+U177)))</f>
        <v>6.3233646866176194</v>
      </c>
      <c r="W177" s="9" cm="1">
        <f t="array" ref="W177">IF(W$174=-1,Z177,IF(W$174=99,V177,IF(W$174=0,INDEX($F46:$N46,0,W$172),(INDEX($F46:$N46,0,W$174+1)-INDEX($F46:$N46,0,W$174))/(INDEX($F$4:$N$4,0,W$174+1)-INDEX($F$4:$N$4,0,W$174))+V177)))</f>
        <v>6.4904379012842224</v>
      </c>
      <c r="X177" s="9" cm="1">
        <f t="array" ref="X177">IF(X$174=-1,Y177,IF(X$174=99,U177,IF(X$174=0,INDEX($F46:$N46,0,X$172),(INDEX($F46:$N46,0,X$174+1)-INDEX($F46:$N46,0,X$174))/(INDEX($F$4:$N$4,0,X$174+1)-INDEX($F$4:$N$4,0,X$174))+U177)))</f>
        <v>6.3233646866176194</v>
      </c>
      <c r="Y177" s="9" cm="1">
        <f t="array" ref="Y177">IF(Y$174=-1,Z177,IF(Y$174=99,V177,IF(Y$174=0,INDEX($F46:$N46,0,Y$172),(INDEX($F46:$N46,0,Y$174+1)-INDEX($F46:$N46,0,Y$174))/(INDEX($F$4:$N$4,0,Y$174+1)-INDEX($F$4:$N$4,0,Y$174))+V177)))</f>
        <v>6.4904379012842224</v>
      </c>
      <c r="Z177" s="9" cm="1">
        <f t="array" ref="Z177">IF(Z$174=-1,AA177,IF(Z$174=99,W177,IF(Z$174=0,INDEX($F46:$N46,0,Z$172),(INDEX($F46:$N46,0,Z$174+1)-INDEX($F46:$N46,0,Z$174))/(INDEX($F$4:$N$4,0,Z$174+1)-INDEX($F$4:$N$4,0,Z$174))+W177)))</f>
        <v>6.6575111159508253</v>
      </c>
      <c r="AA177" s="9" cm="1">
        <f t="array" ref="AA177">IF(AA$174=-1,AB177,IF(AA$174=99,Z177,IF(AA$174=0,INDEX($F46:$N46,0,AA$172),(INDEX($F46:$N46,0,AA$174+1)-INDEX($F46:$N46,0,AA$174))/(INDEX($F$4:$N$4,0,AA$174+1)-INDEX($F$4:$N$4,0,AA$174))+Z177)))</f>
        <v>6.8245843306174283</v>
      </c>
      <c r="AB177" s="9" cm="1">
        <f t="array" ref="AB177">IF(AB$174=-1,AC177,IF(AB$174=99,AA177,IF(AB$174=0,INDEX($F46:$N46,0,AB$172),(INDEX($F46:$N46,0,AB$174+1)-INDEX($F46:$N46,0,AB$174))/(INDEX($F$4:$N$4,0,AB$174+1)-INDEX($F$4:$N$4,0,AB$174))+AA177)))</f>
        <v>6.9916575452840313</v>
      </c>
      <c r="AC177" s="9" cm="1">
        <f t="array" ref="AC177">IF(AC$174=-1,AD177,IF(AC$174=99,AB177,IF(AC$174=0,INDEX($F46:$N46,0,AC$172),(INDEX($F46:$N46,0,AC$174+1)-INDEX($F46:$N46,0,AC$174))/(INDEX($F$4:$N$4,0,AC$174+1)-INDEX($F$4:$N$4,0,AC$174))+AB177)))</f>
        <v>7.1587307599506342</v>
      </c>
      <c r="AD177" s="9" cm="1">
        <f t="array" ref="AD177">IF(AD$174=-1,AE177,IF(AD$174=99,AC177,IF(AD$174=0,INDEX($F46:$N46,0,AD$172),(INDEX($F46:$N46,0,AD$174+1)-INDEX($F46:$N46,0,AD$174))/(INDEX($F$4:$N$4,0,AD$174+1)-INDEX($F$4:$N$4,0,AD$174))+AC177)))</f>
        <v>7.3258039746172372</v>
      </c>
      <c r="AE177" s="9" cm="1">
        <f t="array" ref="AE177">IF(AE$174=-1,AF177,IF(AE$174=99,AD177,IF(AE$174=0,INDEX($F46:$N46,0,AE$172),(INDEX($F46:$N46,0,AE$174+1)-INDEX($F46:$N46,0,AE$174))/(INDEX($F$4:$N$4,0,AE$174+1)-INDEX($F$4:$N$4,0,AE$174))+AD177)))</f>
        <v>7.4928771892838402</v>
      </c>
      <c r="AF177" s="9" cm="1">
        <f t="array" ref="AF177">IF(AF$174=-1,AG177,IF(AF$174=99,AE177,IF(AF$174=0,INDEX($F46:$N46,0,AF$172),(INDEX($F46:$N46,0,AF$174+1)-INDEX($F46:$N46,0,AF$174))/(INDEX($F$4:$N$4,0,AF$174+1)-INDEX($F$4:$N$4,0,AF$174))+AE177)))</f>
        <v>7.6599504039504431</v>
      </c>
      <c r="AG177" s="9" cm="1">
        <f t="array" ref="AG177">IF(AG$174=-1,AJ177,IF(AG$174=99,AF177,IF(AG$174=0,INDEX($F46:$N46,0,AG$172),(INDEX($F46:$N46,0,AG$174+1)-INDEX($F46:$N46,0,AG$174))/(INDEX($F$4:$N$4,0,AG$174+1)-INDEX($F$4:$N$4,0,AG$174))+AF177)))</f>
        <v>7.8270236186170452</v>
      </c>
      <c r="AH177" s="9" cm="1">
        <f t="array" ref="AH177">IF(AH$174=-1,AI177,IF(AH$174=99,AE177,IF(AH$174=0,INDEX($F46:$N46,0,AH$172),(INDEX($F46:$N46,0,AH$174+1)-INDEX($F46:$N46,0,AH$174))/(INDEX($F$4:$N$4,0,AH$174+1)-INDEX($F$4:$N$4,0,AH$174))+AE177)))</f>
        <v>7.6599504039504431</v>
      </c>
      <c r="AI177" s="9" cm="1">
        <f t="array" ref="AI177">IF(AI$174=-1,AJ177,IF(AI$174=99,AF177,IF(AI$174=0,INDEX($F46:$N46,0,AI$172),(INDEX($F46:$N46,0,AI$174+1)-INDEX($F46:$N46,0,AI$174))/(INDEX($F$4:$N$4,0,AI$174+1)-INDEX($F$4:$N$4,0,AI$174))+AF177)))</f>
        <v>7.8270236186170452</v>
      </c>
      <c r="AJ177" s="9" cm="1">
        <f t="array" ref="AJ177">IF(AJ$174=-1,AK177,IF(AJ$174=99,AG177,IF(AJ$174=0,INDEX($F46:$N46,0,AJ$172),(INDEX($F46:$N46,0,AJ$174+1)-INDEX($F46:$N46,0,AJ$174))/(INDEX($F$4:$N$4,0,AJ$174+1)-INDEX($F$4:$N$4,0,AJ$174))+AG177)))</f>
        <v>8.0685574551096835</v>
      </c>
      <c r="AK177" s="9" cm="1">
        <f t="array" ref="AK177">IF(AK$174=-1,AL177,IF(AK$174=99,AJ177,IF(AK$174=0,INDEX($F46:$N46,0,AK$172),(INDEX($F46:$N46,0,AK$174+1)-INDEX($F46:$N46,0,AK$174))/(INDEX($F$4:$N$4,0,AK$174+1)-INDEX($F$4:$N$4,0,AK$174))+AJ177)))</f>
        <v>8.3100912916023209</v>
      </c>
      <c r="AL177" s="9" cm="1">
        <f t="array" ref="AL177">IF(AL$174=-1,AM177,IF(AL$174=99,AK177,IF(AL$174=0,INDEX($F46:$N46,0,AL$172),(INDEX($F46:$N46,0,AL$174+1)-INDEX($F46:$N46,0,AL$174))/(INDEX($F$4:$N$4,0,AL$174+1)-INDEX($F$4:$N$4,0,AL$174))+AK177)))</f>
        <v>8.5516251280949582</v>
      </c>
      <c r="AM177" s="9" cm="1">
        <f t="array" ref="AM177">IF(AM$174=-1,AN177,IF(AM$174=99,AL177,IF(AM$174=0,INDEX($F46:$N46,0,AM$172),(INDEX($F46:$N46,0,AM$174+1)-INDEX($F46:$N46,0,AM$174))/(INDEX($F$4:$N$4,0,AM$174+1)-INDEX($F$4:$N$4,0,AM$174))+AL177)))</f>
        <v>8.7931589645875956</v>
      </c>
      <c r="AN177" s="9" cm="1">
        <f t="array" ref="AN177">IF(AN$174=-1,AO177,IF(AN$174=99,AM177,IF(AN$174=0,INDEX($F46:$N46,0,AN$172),(INDEX($F46:$N46,0,AN$174+1)-INDEX($F46:$N46,0,AN$174))/(INDEX($F$4:$N$4,0,AN$174+1)-INDEX($F$4:$N$4,0,AN$174))+AM177)))</f>
        <v>9.034692801080233</v>
      </c>
      <c r="AO177" s="9" cm="1">
        <f t="array" ref="AO177">IF(AO$174=-1,AP177,IF(AO$174=99,AN177,IF(AO$174=0,INDEX($F46:$N46,0,AO$172),(INDEX($F46:$N46,0,AO$174+1)-INDEX($F46:$N46,0,AO$174))/(INDEX($F$4:$N$4,0,AO$174+1)-INDEX($F$4:$N$4,0,AO$174))+AN177)))</f>
        <v>9.2762266375728704</v>
      </c>
      <c r="AP177" s="9" cm="1">
        <f t="array" ref="AP177">IF(AP$174=-1,AQ177,IF(AP$174=99,AO177,IF(AP$174=0,INDEX($F46:$N46,0,AP$172),(INDEX($F46:$N46,0,AP$174+1)-INDEX($F46:$N46,0,AP$174))/(INDEX($F$4:$N$4,0,AP$174+1)-INDEX($F$4:$N$4,0,AP$174))+AO177)))</f>
        <v>9.5177604740655077</v>
      </c>
      <c r="AQ177" s="9" cm="1">
        <f t="array" ref="AQ177">IF(AQ$174=-1,AR177,IF(AQ$174=99,AP177,IF(AQ$174=0,INDEX($F46:$N46,0,AQ$172),(INDEX($F46:$N46,0,AQ$174+1)-INDEX($F46:$N46,0,AQ$174))/(INDEX($F$4:$N$4,0,AQ$174+1)-INDEX($F$4:$N$4,0,AQ$174))+AP177)))</f>
        <v>9.7592943105581451</v>
      </c>
      <c r="AR177" s="9" cm="1">
        <f t="array" ref="AR177">IF(AR$174=-1,AS177,IF(AR$174=99,AQ177,IF(AR$174=0,INDEX($F46:$N46,0,AR$172),(INDEX($F46:$N46,0,AR$174+1)-INDEX($F46:$N46,0,AR$174))/(INDEX($F$4:$N$4,0,AR$174+1)-INDEX($F$4:$N$4,0,AR$174))+AQ177)))</f>
        <v>10.000828147050782</v>
      </c>
      <c r="AS177" s="9" cm="1">
        <f t="array" ref="AS177">IF(AS$174=-1,AT177,IF(AS$174=99,AR177,IF(AS$174=0,INDEX($F46:$N46,0,AS$172),(INDEX($F46:$N46,0,AS$174+1)-INDEX($F46:$N46,0,AS$174))/(INDEX($F$4:$N$4,0,AS$174+1)-INDEX($F$4:$N$4,0,AS$174))+AR177)))</f>
        <v>10.242361983543422</v>
      </c>
      <c r="AT177" s="9" cm="1">
        <f t="array" ref="AT177">IF(AT$174=-1,AU177,IF(AT$174=99,AS177,IF(AT$174=0,INDEX($F46:$N46,0,AT$172),(INDEX($F46:$N46,0,AT$174+1)-INDEX($F46:$N46,0,AT$174))/(INDEX($F$4:$N$4,0,AT$174+1)-INDEX($F$4:$N$4,0,AT$174))+AS177)))</f>
        <v>10.520180379455095</v>
      </c>
      <c r="AU177" s="9" cm="1">
        <f t="array" ref="AU177">IF(AU$174=-1,AV177,IF(AU$174=99,AT177,IF(AU$174=0,INDEX($F46:$N46,0,AU$172),(INDEX($F46:$N46,0,AU$174+1)-INDEX($F46:$N46,0,AU$174))/(INDEX($F$4:$N$4,0,AU$174+1)-INDEX($F$4:$N$4,0,AU$174))+AT177)))</f>
        <v>13.020545942660158</v>
      </c>
      <c r="AV177" s="9" cm="1">
        <f t="array" ref="AV177">IF(AV$174=-1,AW177,IF(AV$174=99,AU177,IF(AV$174=0,INDEX($F46:$N46,0,AV$172),(INDEX($F46:$N46,0,AV$174+1)-INDEX($F46:$N46,0,AV$174))/(INDEX($F$4:$N$4,0,AV$174+1)-INDEX($F$4:$N$4,0,AV$174))+AU177)))</f>
        <v>15.80218350103884</v>
      </c>
      <c r="AW177" s="9" cm="1">
        <f t="array" ref="AW177">IF(AW$174=-1,AX177,IF(AW$174=99,AV177,IF(AW$174=0,INDEX($F46:$N46,0,AW$172),(INDEX($F46:$N46,0,AW$174+1)-INDEX($F46:$N46,0,AW$174))/(INDEX($F$4:$N$4,0,AW$174+1)-INDEX($F$4:$N$4,0,AW$174))+AV177)))</f>
        <v>16.975696214162603</v>
      </c>
      <c r="BF177" s="9"/>
      <c r="BG177" s="9"/>
      <c r="BH177" s="9"/>
      <c r="BI177" s="9"/>
      <c r="BJ177" s="9"/>
      <c r="BK177" s="9"/>
    </row>
    <row r="178" spans="1:63" ht="15">
      <c r="A178" t="s">
        <v>16</v>
      </c>
      <c r="B178" s="20" t="str">
        <f t="shared" si="359"/>
        <v/>
      </c>
      <c r="C178" s="21" t="str">
        <f t="shared" si="360"/>
        <v/>
      </c>
      <c r="D178" s="48"/>
      <c r="E178" s="21" t="str">
        <f t="shared" si="361"/>
        <v/>
      </c>
      <c r="F178" s="21" t="str">
        <f t="shared" si="361"/>
        <v/>
      </c>
      <c r="G178" s="21" t="str">
        <f t="shared" si="361"/>
        <v/>
      </c>
      <c r="H178" s="21"/>
      <c r="I178" s="21" t="str">
        <f t="shared" si="361"/>
        <v/>
      </c>
      <c r="J178" s="118" t="str">
        <f t="shared" si="366"/>
        <v>TFHCV2</v>
      </c>
      <c r="K178" s="9" t="e">
        <f>#REF!</f>
        <v>#REF!</v>
      </c>
      <c r="L178" s="9" t="e" cm="1">
        <f t="array" ref="L178">IF(L$174=-1,M178,IF(L$174=99,K178,IF(L$174=0,INDEX($F51:$N51,0,L$172),(INDEX($F51:$N51,0,L$174+1)-INDEX($F51:$N51,0,L$174))/(INDEX($F$4:$N$4,0,L$174+1)-INDEX($F$4:$N$4,0,L$174))+K178)))</f>
        <v>#REF!</v>
      </c>
      <c r="M178" s="9" t="e" cm="1">
        <f t="array" ref="M178">IF(M$174=-1,P178,IF(M$174=99,L178,IF(M$174=0,INDEX($F51:$N51,0,M$172),(INDEX($F51:$N51,0,M$174+1)-INDEX($F51:$N51,0,M$174))/(INDEX($F$4:$N$4,0,M$174+1)-INDEX($F$4:$N$4,0,M$174))+L178)))</f>
        <v>#REF!</v>
      </c>
      <c r="N178" s="9" t="e" cm="1">
        <f t="array" ref="N178">IF(N$174=-1,O178,IF(N$174=99,K178,IF(N$174=0,INDEX($F51:$N51,0,N$172),(INDEX($F51:$N51,0,N$174+1)-INDEX($F51:$N51,0,N$174))/(INDEX($F$4:$N$4,0,N$174+1)-INDEX($F$4:$N$4,0,N$174))+K178)))</f>
        <v>#REF!</v>
      </c>
      <c r="O178" s="9" t="e" cm="1">
        <f t="array" ref="O178">IF(O$174=-1,P178,IF(O$174=99,L178,IF(O$174=0,INDEX($F51:$N51,0,O$172),(INDEX($F51:$N51,0,O$174+1)-INDEX($F51:$N51,0,O$174))/(INDEX($F$4:$N$4,0,O$174+1)-INDEX($F$4:$N$4,0,O$174))+L178)))</f>
        <v>#REF!</v>
      </c>
      <c r="P178" s="9" t="e" cm="1">
        <f t="array" ref="P178">IF(P$174=-1,Q178,IF(P$174=99,M178,IF(P$174=0,INDEX($F51:$N51,0,P$172),(INDEX($F51:$N51,0,P$174+1)-INDEX($F51:$N51,0,P$174))/(INDEX($F$4:$N$4,0,P$174+1)-INDEX($F$4:$N$4,0,P$174))+M178)))</f>
        <v>#REF!</v>
      </c>
      <c r="Q178" s="9" t="e" cm="1">
        <f t="array" ref="Q178">IF(Q$174=-1,R178,IF(Q$174=99,P178,IF(Q$174=0,INDEX($F51:$N51,0,Q$172),(INDEX($F51:$N51,0,Q$174+1)-INDEX($F51:$N51,0,Q$174))/(INDEX($F$4:$N$4,0,Q$174+1)-INDEX($F$4:$N$4,0,Q$174))+P178)))</f>
        <v>#REF!</v>
      </c>
      <c r="R178" s="9" cm="1">
        <f t="array" ref="R178">IF(R$174=-1,S178,IF(R$174=99,Q178,IF(R$174=0,INDEX($F51:$N51,0,R$172),(INDEX($F51:$N51,0,R$174+1)-INDEX($F51:$N51,0,R$174))/(INDEX($F$4:$N$4,0,R$174+1)-INDEX($F$4:$N$4,0,R$174))+Q178)))</f>
        <v>2.508551055458172</v>
      </c>
      <c r="S178" s="9" cm="1">
        <f t="array" ref="S178">IF(S$174=-1,T178,IF(S$174=99,R178,IF(S$174=0,INDEX($F51:$N51,0,S$172),(INDEX($F51:$N51,0,S$174+1)-INDEX($F51:$N51,0,S$174))/(INDEX($F$4:$N$4,0,S$174+1)-INDEX($F$4:$N$4,0,S$174))+R178)))</f>
        <v>2.5241636805011205</v>
      </c>
      <c r="T178" s="9" cm="1">
        <f t="array" ref="T178">IF(T$174=-1,U178,IF(T$174=99,S178,IF(T$174=0,INDEX($F51:$N51,0,T$172),(INDEX($F51:$N51,0,T$174+1)-INDEX($F51:$N51,0,T$174))/(INDEX($F$4:$N$4,0,T$174+1)-INDEX($F$4:$N$4,0,T$174))+S178)))</f>
        <v>2.539776305544069</v>
      </c>
      <c r="U178" s="9" cm="1">
        <f t="array" ref="U178">IF(U$174=-1,V178,IF(U$174=99,T178,IF(U$174=0,INDEX($F51:$N51,0,U$172),(INDEX($F51:$N51,0,U$174+1)-INDEX($F51:$N51,0,U$174))/(INDEX($F$4:$N$4,0,U$174+1)-INDEX($F$4:$N$4,0,U$174))+T178)))</f>
        <v>2.4453873855547426</v>
      </c>
      <c r="V178" s="9" cm="1">
        <f t="array" ref="V178">IF(V$174=-1,W178,IF(V$174=99,U178,IF(V$174=0,INDEX($F51:$N51,0,V$172),(INDEX($F51:$N51,0,V$174+1)-INDEX($F51:$N51,0,V$174))/(INDEX($F$4:$N$4,0,V$174+1)-INDEX($F$4:$N$4,0,V$174))+U178)))</f>
        <v>2.5639584027307731</v>
      </c>
      <c r="W178" s="9" cm="1">
        <f t="array" ref="W178">IF(W$174=-1,Z178,IF(W$174=99,V178,IF(W$174=0,INDEX($F51:$N51,0,W$172),(INDEX($F51:$N51,0,W$174+1)-INDEX($F51:$N51,0,W$174))/(INDEX($F$4:$N$4,0,W$174+1)-INDEX($F$4:$N$4,0,W$174))+V178)))</f>
        <v>2.6317022058870663</v>
      </c>
      <c r="X178" s="9" cm="1">
        <f t="array" ref="X178">IF(X$174=-1,Y178,IF(X$174=99,U178,IF(X$174=0,INDEX($F51:$N51,0,X$172),(INDEX($F51:$N51,0,X$174+1)-INDEX($F51:$N51,0,X$174))/(INDEX($F$4:$N$4,0,X$174+1)-INDEX($F$4:$N$4,0,X$174))+U178)))</f>
        <v>2.5639584027307731</v>
      </c>
      <c r="Y178" s="9" cm="1">
        <f t="array" ref="Y178">IF(Y$174=-1,Z178,IF(Y$174=99,V178,IF(Y$174=0,INDEX($F51:$N51,0,Y$172),(INDEX($F51:$N51,0,Y$174+1)-INDEX($F51:$N51,0,Y$174))/(INDEX($F$4:$N$4,0,Y$174+1)-INDEX($F$4:$N$4,0,Y$174))+V178)))</f>
        <v>2.6317022058870663</v>
      </c>
      <c r="Z178" s="9" cm="1">
        <f t="array" ref="Z178">IF(Z$174=-1,AA178,IF(Z$174=99,W178,IF(Z$174=0,INDEX($F51:$N51,0,Z$172),(INDEX($F51:$N51,0,Z$174+1)-INDEX($F51:$N51,0,Z$174))/(INDEX($F$4:$N$4,0,Z$174+1)-INDEX($F$4:$N$4,0,Z$174))+W178)))</f>
        <v>2.6994460090433594</v>
      </c>
      <c r="AA178" s="9" cm="1">
        <f t="array" ref="AA178">IF(AA$174=-1,AB178,IF(AA$174=99,Z178,IF(AA$174=0,INDEX($F51:$N51,0,AA$172),(INDEX($F51:$N51,0,AA$174+1)-INDEX($F51:$N51,0,AA$174))/(INDEX($F$4:$N$4,0,AA$174+1)-INDEX($F$4:$N$4,0,AA$174))+Z178)))</f>
        <v>2.7671898121996525</v>
      </c>
      <c r="AB178" s="9" cm="1">
        <f t="array" ref="AB178">IF(AB$174=-1,AC178,IF(AB$174=99,AA178,IF(AB$174=0,INDEX($F51:$N51,0,AB$172),(INDEX($F51:$N51,0,AB$174+1)-INDEX($F51:$N51,0,AB$174))/(INDEX($F$4:$N$4,0,AB$174+1)-INDEX($F$4:$N$4,0,AB$174))+AA178)))</f>
        <v>2.8349336153559457</v>
      </c>
      <c r="AC178" s="9" cm="1">
        <f t="array" ref="AC178">IF(AC$174=-1,AD178,IF(AC$174=99,AB178,IF(AC$174=0,INDEX($F51:$N51,0,AC$172),(INDEX($F51:$N51,0,AC$174+1)-INDEX($F51:$N51,0,AC$174))/(INDEX($F$4:$N$4,0,AC$174+1)-INDEX($F$4:$N$4,0,AC$174))+AB178)))</f>
        <v>2.9026774185122388</v>
      </c>
      <c r="AD178" s="9" cm="1">
        <f t="array" ref="AD178">IF(AD$174=-1,AE178,IF(AD$174=99,AC178,IF(AD$174=0,INDEX($F51:$N51,0,AD$172),(INDEX($F51:$N51,0,AD$174+1)-INDEX($F51:$N51,0,AD$174))/(INDEX($F$4:$N$4,0,AD$174+1)-INDEX($F$4:$N$4,0,AD$174))+AC178)))</f>
        <v>2.970421221668532</v>
      </c>
      <c r="AE178" s="9" cm="1">
        <f t="array" ref="AE178">IF(AE$174=-1,AF178,IF(AE$174=99,AD178,IF(AE$174=0,INDEX($F51:$N51,0,AE$172),(INDEX($F51:$N51,0,AE$174+1)-INDEX($F51:$N51,0,AE$174))/(INDEX($F$4:$N$4,0,AE$174+1)-INDEX($F$4:$N$4,0,AE$174))+AD178)))</f>
        <v>3.0381650248248251</v>
      </c>
      <c r="AF178" s="9" cm="1">
        <f t="array" ref="AF178">IF(AF$174=-1,AG178,IF(AF$174=99,AE178,IF(AF$174=0,INDEX($F51:$N51,0,AF$172),(INDEX($F51:$N51,0,AF$174+1)-INDEX($F51:$N51,0,AF$174))/(INDEX($F$4:$N$4,0,AF$174+1)-INDEX($F$4:$N$4,0,AF$174))+AE178)))</f>
        <v>3.1059088279811182</v>
      </c>
      <c r="AG178" s="9" cm="1">
        <f t="array" ref="AG178">IF(AG$174=-1,AJ178,IF(AG$174=99,AF178,IF(AG$174=0,INDEX($F51:$N51,0,AG$172),(INDEX($F51:$N51,0,AG$174+1)-INDEX($F51:$N51,0,AG$174))/(INDEX($F$4:$N$4,0,AG$174+1)-INDEX($F$4:$N$4,0,AG$174))+AF178)))</f>
        <v>3.1736526311374105</v>
      </c>
      <c r="AH178" s="9" cm="1">
        <f t="array" ref="AH178">IF(AH$174=-1,AI178,IF(AH$174=99,AE178,IF(AH$174=0,INDEX($F51:$N51,0,AH$172),(INDEX($F51:$N51,0,AH$174+1)-INDEX($F51:$N51,0,AH$174))/(INDEX($F$4:$N$4,0,AH$174+1)-INDEX($F$4:$N$4,0,AH$174))+AE178)))</f>
        <v>3.1059088279811182</v>
      </c>
      <c r="AI178" s="9" cm="1">
        <f t="array" ref="AI178">IF(AI$174=-1,AJ178,IF(AI$174=99,AF178,IF(AI$174=0,INDEX($F51:$N51,0,AI$172),(INDEX($F51:$N51,0,AI$174+1)-INDEX($F51:$N51,0,AI$174))/(INDEX($F$4:$N$4,0,AI$174+1)-INDEX($F$4:$N$4,0,AI$174))+AF178)))</f>
        <v>3.1736526311374105</v>
      </c>
      <c r="AJ178" s="9" cm="1">
        <f t="array" ref="AJ178">IF(AJ$174=-1,AK178,IF(AJ$174=99,AG178,IF(AJ$174=0,INDEX($F51:$N51,0,AJ$172),(INDEX($F51:$N51,0,AJ$174+1)-INDEX($F51:$N51,0,AJ$174))/(INDEX($F$4:$N$4,0,AJ$174+1)-INDEX($F$4:$N$4,0,AJ$174))+AG178)))</f>
        <v>3.2715882619780152</v>
      </c>
      <c r="AK178" s="9" cm="1">
        <f t="array" ref="AK178">IF(AK$174=-1,AL178,IF(AK$174=99,AJ178,IF(AK$174=0,INDEX($F51:$N51,0,AK$172),(INDEX($F51:$N51,0,AK$174+1)-INDEX($F51:$N51,0,AK$174))/(INDEX($F$4:$N$4,0,AK$174+1)-INDEX($F$4:$N$4,0,AK$174))+AJ178)))</f>
        <v>3.36952389281862</v>
      </c>
      <c r="AL178" s="9" cm="1">
        <f t="array" ref="AL178">IF(AL$174=-1,AM178,IF(AL$174=99,AK178,IF(AL$174=0,INDEX($F51:$N51,0,AL$172),(INDEX($F51:$N51,0,AL$174+1)-INDEX($F51:$N51,0,AL$174))/(INDEX($F$4:$N$4,0,AL$174+1)-INDEX($F$4:$N$4,0,AL$174))+AK178)))</f>
        <v>3.4674595236592247</v>
      </c>
      <c r="AM178" s="9" cm="1">
        <f t="array" ref="AM178">IF(AM$174=-1,AN178,IF(AM$174=99,AL178,IF(AM$174=0,INDEX($F51:$N51,0,AM$172),(INDEX($F51:$N51,0,AM$174+1)-INDEX($F51:$N51,0,AM$174))/(INDEX($F$4:$N$4,0,AM$174+1)-INDEX($F$4:$N$4,0,AM$174))+AL178)))</f>
        <v>3.5653951544998295</v>
      </c>
      <c r="AN178" s="9" cm="1">
        <f t="array" ref="AN178">IF(AN$174=-1,AO178,IF(AN$174=99,AM178,IF(AN$174=0,INDEX($F51:$N51,0,AN$172),(INDEX($F51:$N51,0,AN$174+1)-INDEX($F51:$N51,0,AN$174))/(INDEX($F$4:$N$4,0,AN$174+1)-INDEX($F$4:$N$4,0,AN$174))+AM178)))</f>
        <v>3.6633307853404342</v>
      </c>
      <c r="AO178" s="9" cm="1">
        <f t="array" ref="AO178">IF(AO$174=-1,AP178,IF(AO$174=99,AN178,IF(AO$174=0,INDEX($F51:$N51,0,AO$172),(INDEX($F51:$N51,0,AO$174+1)-INDEX($F51:$N51,0,AO$174))/(INDEX($F$4:$N$4,0,AO$174+1)-INDEX($F$4:$N$4,0,AO$174))+AN178)))</f>
        <v>3.761266416181039</v>
      </c>
      <c r="AP178" s="9" cm="1">
        <f t="array" ref="AP178">IF(AP$174=-1,AQ178,IF(AP$174=99,AO178,IF(AP$174=0,INDEX($F51:$N51,0,AP$172),(INDEX($F51:$N51,0,AP$174+1)-INDEX($F51:$N51,0,AP$174))/(INDEX($F$4:$N$4,0,AP$174+1)-INDEX($F$4:$N$4,0,AP$174))+AO178)))</f>
        <v>3.8592020470216437</v>
      </c>
      <c r="AQ178" s="9" cm="1">
        <f t="array" ref="AQ178">IF(AQ$174=-1,AR178,IF(AQ$174=99,AP178,IF(AQ$174=0,INDEX($F51:$N51,0,AQ$172),(INDEX($F51:$N51,0,AQ$174+1)-INDEX($F51:$N51,0,AQ$174))/(INDEX($F$4:$N$4,0,AQ$174+1)-INDEX($F$4:$N$4,0,AQ$174))+AP178)))</f>
        <v>3.9571376778622485</v>
      </c>
      <c r="AR178" s="9" cm="1">
        <f t="array" ref="AR178">IF(AR$174=-1,AS178,IF(AR$174=99,AQ178,IF(AR$174=0,INDEX($F51:$N51,0,AR$172),(INDEX($F51:$N51,0,AR$174+1)-INDEX($F51:$N51,0,AR$174))/(INDEX($F$4:$N$4,0,AR$174+1)-INDEX($F$4:$N$4,0,AR$174))+AQ178)))</f>
        <v>4.0550733087028528</v>
      </c>
      <c r="AS178" s="9" cm="1">
        <f t="array" ref="AS178">IF(AS$174=-1,AT178,IF(AS$174=99,AR178,IF(AS$174=0,INDEX($F51:$N51,0,AS$172),(INDEX($F51:$N51,0,AS$174+1)-INDEX($F51:$N51,0,AS$174))/(INDEX($F$4:$N$4,0,AS$174+1)-INDEX($F$4:$N$4,0,AS$174))+AR178)))</f>
        <v>4.1530089395434571</v>
      </c>
      <c r="AT178" s="9" cm="1">
        <f t="array" ref="AT178">IF(AT$174=-1,AU178,IF(AT$174=99,AS178,IF(AT$174=0,INDEX($F51:$N51,0,AT$172),(INDEX($F51:$N51,0,AT$174+1)-INDEX($F51:$N51,0,AT$174))/(INDEX($F$4:$N$4,0,AT$174+1)-INDEX($F$4:$N$4,0,AT$174))+AS178)))</f>
        <v>4.2656570068197945</v>
      </c>
      <c r="AU178" s="9" cm="1">
        <f t="array" ref="AU178">IF(AU$174=-1,AV178,IF(AU$174=99,AT178,IF(AU$174=0,INDEX($F51:$N51,0,AU$172),(INDEX($F51:$N51,0,AU$174+1)-INDEX($F51:$N51,0,AU$174))/(INDEX($F$4:$N$4,0,AU$174+1)-INDEX($F$4:$N$4,0,AU$174))+AT178)))</f>
        <v>5.2794896123068344</v>
      </c>
      <c r="AV178" s="9" cm="1">
        <f t="array" ref="AV178">IF(AV$174=-1,AW178,IF(AV$174=99,AU178,IF(AV$174=0,INDEX($F51:$N51,0,AV$172),(INDEX($F51:$N51,0,AV$174+1)-INDEX($F51:$N51,0,AV$174))/(INDEX($F$4:$N$4,0,AV$174+1)-INDEX($F$4:$N$4,0,AV$174))+AU178)))</f>
        <v>6.4073706289197565</v>
      </c>
      <c r="AW178" s="9" cm="1">
        <f t="array" ref="AW178">IF(AW$174=-1,AX178,IF(AW$174=99,AV178,IF(AW$174=0,INDEX($F51:$N51,0,AW$172),(INDEX($F51:$N51,0,AW$174+1)-INDEX($F51:$N51,0,AW$174))/(INDEX($F$4:$N$4,0,AW$174+1)-INDEX($F$4:$N$4,0,AW$174))+AV178)))</f>
        <v>6.8831992313555412</v>
      </c>
      <c r="BF178" s="9"/>
      <c r="BG178" s="9"/>
      <c r="BH178" s="9"/>
      <c r="BI178" s="9"/>
      <c r="BJ178" s="9"/>
      <c r="BK178" s="9"/>
    </row>
    <row r="179" spans="1:63" ht="15">
      <c r="A179" t="s">
        <v>16</v>
      </c>
      <c r="B179" s="20" t="str">
        <f t="shared" si="359"/>
        <v/>
      </c>
      <c r="C179" s="21" t="str">
        <f t="shared" si="360"/>
        <v/>
      </c>
      <c r="D179" s="48"/>
      <c r="E179" s="21" t="str">
        <f t="shared" si="361"/>
        <v/>
      </c>
      <c r="F179" s="21" t="str">
        <f t="shared" si="361"/>
        <v/>
      </c>
      <c r="G179" s="21" t="str">
        <f t="shared" si="361"/>
        <v/>
      </c>
      <c r="H179" s="21"/>
      <c r="I179" s="21" t="str">
        <f t="shared" si="361"/>
        <v/>
      </c>
      <c r="J179" s="118" t="str">
        <f t="shared" si="366"/>
        <v>TFHCV3</v>
      </c>
      <c r="K179" s="9" t="e">
        <f>#REF!</f>
        <v>#REF!</v>
      </c>
      <c r="L179" s="9" t="e" cm="1">
        <f t="array" ref="L179">IF(L$174=-1,M179,IF(L$174=99,K179,IF(L$174=0,INDEX($F52:$N52,0,L$172),(INDEX($F52:$N52,0,L$174+1)-INDEX($F52:$N52,0,L$174))/(INDEX($F$4:$N$4,0,L$174+1)-INDEX($F$4:$N$4,0,L$174))+K179)))</f>
        <v>#REF!</v>
      </c>
      <c r="M179" s="9" t="e" cm="1">
        <f t="array" ref="M179">IF(M$174=-1,P179,IF(M$174=99,L179,IF(M$174=0,INDEX($F52:$N52,0,M$172),(INDEX($F52:$N52,0,M$174+1)-INDEX($F52:$N52,0,M$174))/(INDEX($F$4:$N$4,0,M$174+1)-INDEX($F$4:$N$4,0,M$174))+L179)))</f>
        <v>#REF!</v>
      </c>
      <c r="N179" s="9" t="e" cm="1">
        <f t="array" ref="N179">IF(N$174=-1,O179,IF(N$174=99,K179,IF(N$174=0,INDEX($F52:$N52,0,N$172),(INDEX($F52:$N52,0,N$174+1)-INDEX($F52:$N52,0,N$174))/(INDEX($F$4:$N$4,0,N$174+1)-INDEX($F$4:$N$4,0,N$174))+K179)))</f>
        <v>#REF!</v>
      </c>
      <c r="O179" s="9" t="e" cm="1">
        <f t="array" ref="O179">IF(O$174=-1,P179,IF(O$174=99,L179,IF(O$174=0,INDEX($F52:$N52,0,O$172),(INDEX($F52:$N52,0,O$174+1)-INDEX($F52:$N52,0,O$174))/(INDEX($F$4:$N$4,0,O$174+1)-INDEX($F$4:$N$4,0,O$174))+L179)))</f>
        <v>#REF!</v>
      </c>
      <c r="P179" s="9" t="e" cm="1">
        <f t="array" ref="P179">IF(P$174=-1,Q179,IF(P$174=99,M179,IF(P$174=0,INDEX($F52:$N52,0,P$172),(INDEX($F52:$N52,0,P$174+1)-INDEX($F52:$N52,0,P$174))/(INDEX($F$4:$N$4,0,P$174+1)-INDEX($F$4:$N$4,0,P$174))+M179)))</f>
        <v>#REF!</v>
      </c>
      <c r="Q179" s="9" t="e" cm="1">
        <f t="array" ref="Q179">IF(Q$174=-1,R179,IF(Q$174=99,P179,IF(Q$174=0,INDEX($F52:$N52,0,Q$172),(INDEX($F52:$N52,0,Q$174+1)-INDEX($F52:$N52,0,Q$174))/(INDEX($F$4:$N$4,0,Q$174+1)-INDEX($F$4:$N$4,0,Q$174))+P179)))</f>
        <v>#REF!</v>
      </c>
      <c r="R179" s="9" cm="1">
        <f t="array" ref="R179">IF(R$174=-1,S179,IF(R$174=99,Q179,IF(R$174=0,INDEX($F52:$N52,0,R$172),(INDEX($F52:$N52,0,R$174+1)-INDEX($F52:$N52,0,R$174))/(INDEX($F$4:$N$4,0,R$174+1)-INDEX($F$4:$N$4,0,R$174))+Q179)))</f>
        <v>16.520182703280053</v>
      </c>
      <c r="S179" s="9" cm="1">
        <f t="array" ref="S179">IF(S$174=-1,T179,IF(S$174=99,R179,IF(S$174=0,INDEX($F52:$N52,0,S$172),(INDEX($F52:$N52,0,S$174+1)-INDEX($F52:$N52,0,S$174))/(INDEX($F$4:$N$4,0,S$174+1)-INDEX($F$4:$N$4,0,S$174))+R179)))</f>
        <v>16.623000390656244</v>
      </c>
      <c r="T179" s="9" cm="1">
        <f t="array" ref="T179">IF(T$174=-1,U179,IF(T$174=99,S179,IF(T$174=0,INDEX($F52:$N52,0,T$172),(INDEX($F52:$N52,0,T$174+1)-INDEX($F52:$N52,0,T$174))/(INDEX($F$4:$N$4,0,T$174+1)-INDEX($F$4:$N$4,0,T$174))+S179)))</f>
        <v>16.725818078032439</v>
      </c>
      <c r="U179" s="9" cm="1">
        <f t="array" ref="U179">IF(U$174=-1,V179,IF(U$174=99,T179,IF(U$174=0,INDEX($F52:$N52,0,U$172),(INDEX($F52:$N52,0,U$174+1)-INDEX($F52:$N52,0,U$174))/(INDEX($F$4:$N$4,0,U$174+1)-INDEX($F$4:$N$4,0,U$174))+T179)))</f>
        <v>16.104215340469594</v>
      </c>
      <c r="V179" s="9" cm="1">
        <f t="array" ref="V179">IF(V$174=-1,W179,IF(V$174=99,U179,IF(V$174=0,INDEX($F52:$N52,0,V$172),(INDEX($F52:$N52,0,V$174+1)-INDEX($F52:$N52,0,V$174))/(INDEX($F$4:$N$4,0,V$174+1)-INDEX($F$4:$N$4,0,V$174))+U179)))</f>
        <v>16.885070433213169</v>
      </c>
      <c r="W179" s="9" cm="1">
        <f t="array" ref="W179">IF(W$174=-1,Z179,IF(W$174=99,V179,IF(W$174=0,INDEX($F52:$N52,0,W$172),(INDEX($F52:$N52,0,W$174+1)-INDEX($F52:$N52,0,W$174))/(INDEX($F$4:$N$4,0,W$174+1)-INDEX($F$4:$N$4,0,W$174))+V179)))</f>
        <v>17.331200482159929</v>
      </c>
      <c r="X179" s="9" cm="1">
        <f t="array" ref="X179">IF(X$174=-1,Y179,IF(X$174=99,U179,IF(X$174=0,INDEX($F52:$N52,0,X$172),(INDEX($F52:$N52,0,X$174+1)-INDEX($F52:$N52,0,X$174))/(INDEX($F$4:$N$4,0,X$174+1)-INDEX($F$4:$N$4,0,X$174))+U179)))</f>
        <v>16.885070433213169</v>
      </c>
      <c r="Y179" s="9" cm="1">
        <f t="array" ref="Y179">IF(Y$174=-1,Z179,IF(Y$174=99,V179,IF(Y$174=0,INDEX($F52:$N52,0,Y$172),(INDEX($F52:$N52,0,Y$174+1)-INDEX($F52:$N52,0,Y$174))/(INDEX($F$4:$N$4,0,Y$174+1)-INDEX($F$4:$N$4,0,Y$174))+V179)))</f>
        <v>17.331200482159929</v>
      </c>
      <c r="Z179" s="9" cm="1">
        <f t="array" ref="Z179">IF(Z$174=-1,AA179,IF(Z$174=99,W179,IF(Z$174=0,INDEX($F52:$N52,0,Z$172),(INDEX($F52:$N52,0,Z$174+1)-INDEX($F52:$N52,0,Z$174))/(INDEX($F$4:$N$4,0,Z$174+1)-INDEX($F$4:$N$4,0,Z$174))+W179)))</f>
        <v>17.777330531106688</v>
      </c>
      <c r="AA179" s="9" cm="1">
        <f t="array" ref="AA179">IF(AA$174=-1,AB179,IF(AA$174=99,Z179,IF(AA$174=0,INDEX($F52:$N52,0,AA$172),(INDEX($F52:$N52,0,AA$174+1)-INDEX($F52:$N52,0,AA$174))/(INDEX($F$4:$N$4,0,AA$174+1)-INDEX($F$4:$N$4,0,AA$174))+Z179)))</f>
        <v>18.223460580053448</v>
      </c>
      <c r="AB179" s="9" cm="1">
        <f t="array" ref="AB179">IF(AB$174=-1,AC179,IF(AB$174=99,AA179,IF(AB$174=0,INDEX($F52:$N52,0,AB$172),(INDEX($F52:$N52,0,AB$174+1)-INDEX($F52:$N52,0,AB$174))/(INDEX($F$4:$N$4,0,AB$174+1)-INDEX($F$4:$N$4,0,AB$174))+AA179)))</f>
        <v>18.669590629000208</v>
      </c>
      <c r="AC179" s="9" cm="1">
        <f t="array" ref="AC179">IF(AC$174=-1,AD179,IF(AC$174=99,AB179,IF(AC$174=0,INDEX($F52:$N52,0,AC$172),(INDEX($F52:$N52,0,AC$174+1)-INDEX($F52:$N52,0,AC$174))/(INDEX($F$4:$N$4,0,AC$174+1)-INDEX($F$4:$N$4,0,AC$174))+AB179)))</f>
        <v>19.115720677946967</v>
      </c>
      <c r="AD179" s="9" cm="1">
        <f t="array" ref="AD179">IF(AD$174=-1,AE179,IF(AD$174=99,AC179,IF(AD$174=0,INDEX($F52:$N52,0,AD$172),(INDEX($F52:$N52,0,AD$174+1)-INDEX($F52:$N52,0,AD$174))/(INDEX($F$4:$N$4,0,AD$174+1)-INDEX($F$4:$N$4,0,AD$174))+AC179)))</f>
        <v>19.561850726893727</v>
      </c>
      <c r="AE179" s="9" cm="1">
        <f t="array" ref="AE179">IF(AE$174=-1,AF179,IF(AE$174=99,AD179,IF(AE$174=0,INDEX($F52:$N52,0,AE$172),(INDEX($F52:$N52,0,AE$174+1)-INDEX($F52:$N52,0,AE$174))/(INDEX($F$4:$N$4,0,AE$174+1)-INDEX($F$4:$N$4,0,AE$174))+AD179)))</f>
        <v>20.007980775840487</v>
      </c>
      <c r="AF179" s="9" cm="1">
        <f t="array" ref="AF179">IF(AF$174=-1,AG179,IF(AF$174=99,AE179,IF(AF$174=0,INDEX($F52:$N52,0,AF$172),(INDEX($F52:$N52,0,AF$174+1)-INDEX($F52:$N52,0,AF$174))/(INDEX($F$4:$N$4,0,AF$174+1)-INDEX($F$4:$N$4,0,AF$174))+AE179)))</f>
        <v>20.454110824787247</v>
      </c>
      <c r="AG179" s="9" cm="1">
        <f t="array" ref="AG179">IF(AG$174=-1,AJ179,IF(AG$174=99,AF179,IF(AG$174=0,INDEX($F52:$N52,0,AG$172),(INDEX($F52:$N52,0,AG$174+1)-INDEX($F52:$N52,0,AG$174))/(INDEX($F$4:$N$4,0,AG$174+1)-INDEX($F$4:$N$4,0,AG$174))+AF179)))</f>
        <v>20.900240873734013</v>
      </c>
      <c r="AH179" s="9" cm="1">
        <f t="array" ref="AH179">IF(AH$174=-1,AI179,IF(AH$174=99,AE179,IF(AH$174=0,INDEX($F52:$N52,0,AH$172),(INDEX($F52:$N52,0,AH$174+1)-INDEX($F52:$N52,0,AH$174))/(INDEX($F$4:$N$4,0,AH$174+1)-INDEX($F$4:$N$4,0,AH$174))+AE179)))</f>
        <v>20.454110824787247</v>
      </c>
      <c r="AI179" s="9" cm="1">
        <f t="array" ref="AI179">IF(AI$174=-1,AJ179,IF(AI$174=99,AF179,IF(AI$174=0,INDEX($F52:$N52,0,AI$172),(INDEX($F52:$N52,0,AI$174+1)-INDEX($F52:$N52,0,AI$174))/(INDEX($F$4:$N$4,0,AI$174+1)-INDEX($F$4:$N$4,0,AI$174))+AF179)))</f>
        <v>20.900240873734013</v>
      </c>
      <c r="AJ179" s="9" cm="1">
        <f t="array" ref="AJ179">IF(AJ$174=-1,AK179,IF(AJ$174=99,AG179,IF(AJ$174=0,INDEX($F52:$N52,0,AJ$172),(INDEX($F52:$N52,0,AJ$174+1)-INDEX($F52:$N52,0,AJ$174))/(INDEX($F$4:$N$4,0,AJ$174+1)-INDEX($F$4:$N$4,0,AJ$174))+AG179)))</f>
        <v>21.545200644884567</v>
      </c>
      <c r="AK179" s="9" cm="1">
        <f t="array" ref="AK179">IF(AK$174=-1,AL179,IF(AK$174=99,AJ179,IF(AK$174=0,INDEX($F52:$N52,0,AK$172),(INDEX($F52:$N52,0,AK$174+1)-INDEX($F52:$N52,0,AK$174))/(INDEX($F$4:$N$4,0,AK$174+1)-INDEX($F$4:$N$4,0,AK$174))+AJ179)))</f>
        <v>22.19016041603512</v>
      </c>
      <c r="AL179" s="9" cm="1">
        <f t="array" ref="AL179">IF(AL$174=-1,AM179,IF(AL$174=99,AK179,IF(AL$174=0,INDEX($F52:$N52,0,AL$172),(INDEX($F52:$N52,0,AL$174+1)-INDEX($F52:$N52,0,AL$174))/(INDEX($F$4:$N$4,0,AL$174+1)-INDEX($F$4:$N$4,0,AL$174))+AK179)))</f>
        <v>22.835120187185673</v>
      </c>
      <c r="AM179" s="9" cm="1">
        <f t="array" ref="AM179">IF(AM$174=-1,AN179,IF(AM$174=99,AL179,IF(AM$174=0,INDEX($F52:$N52,0,AM$172),(INDEX($F52:$N52,0,AM$174+1)-INDEX($F52:$N52,0,AM$174))/(INDEX($F$4:$N$4,0,AM$174+1)-INDEX($F$4:$N$4,0,AM$174))+AL179)))</f>
        <v>23.480079958336226</v>
      </c>
      <c r="AN179" s="9" cm="1">
        <f t="array" ref="AN179">IF(AN$174=-1,AO179,IF(AN$174=99,AM179,IF(AN$174=0,INDEX($F52:$N52,0,AN$172),(INDEX($F52:$N52,0,AN$174+1)-INDEX($F52:$N52,0,AN$174))/(INDEX($F$4:$N$4,0,AN$174+1)-INDEX($F$4:$N$4,0,AN$174))+AM179)))</f>
        <v>24.12503972948678</v>
      </c>
      <c r="AO179" s="9" cm="1">
        <f t="array" ref="AO179">IF(AO$174=-1,AP179,IF(AO$174=99,AN179,IF(AO$174=0,INDEX($F52:$N52,0,AO$172),(INDEX($F52:$N52,0,AO$174+1)-INDEX($F52:$N52,0,AO$174))/(INDEX($F$4:$N$4,0,AO$174+1)-INDEX($F$4:$N$4,0,AO$174))+AN179)))</f>
        <v>24.769999500637333</v>
      </c>
      <c r="AP179" s="9" cm="1">
        <f t="array" ref="AP179">IF(AP$174=-1,AQ179,IF(AP$174=99,AO179,IF(AP$174=0,INDEX($F52:$N52,0,AP$172),(INDEX($F52:$N52,0,AP$174+1)-INDEX($F52:$N52,0,AP$174))/(INDEX($F$4:$N$4,0,AP$174+1)-INDEX($F$4:$N$4,0,AP$174))+AO179)))</f>
        <v>25.414959271787886</v>
      </c>
      <c r="AQ179" s="9" cm="1">
        <f t="array" ref="AQ179">IF(AQ$174=-1,AR179,IF(AQ$174=99,AP179,IF(AQ$174=0,INDEX($F52:$N52,0,AQ$172),(INDEX($F52:$N52,0,AQ$174+1)-INDEX($F52:$N52,0,AQ$174))/(INDEX($F$4:$N$4,0,AQ$174+1)-INDEX($F$4:$N$4,0,AQ$174))+AP179)))</f>
        <v>26.059919042938439</v>
      </c>
      <c r="AR179" s="9" cm="1">
        <f t="array" ref="AR179">IF(AR$174=-1,AS179,IF(AR$174=99,AQ179,IF(AR$174=0,INDEX($F52:$N52,0,AR$172),(INDEX($F52:$N52,0,AR$174+1)-INDEX($F52:$N52,0,AR$174))/(INDEX($F$4:$N$4,0,AR$174+1)-INDEX($F$4:$N$4,0,AR$174))+AQ179)))</f>
        <v>26.704878814088993</v>
      </c>
      <c r="AS179" s="9" cm="1">
        <f t="array" ref="AS179">IF(AS$174=-1,AT179,IF(AS$174=99,AR179,IF(AS$174=0,INDEX($F52:$N52,0,AS$172),(INDEX($F52:$N52,0,AS$174+1)-INDEX($F52:$N52,0,AS$174))/(INDEX($F$4:$N$4,0,AS$174+1)-INDEX($F$4:$N$4,0,AS$174))+AR179)))</f>
        <v>27.349838585239532</v>
      </c>
      <c r="AT179" s="9" cm="1">
        <f t="array" ref="AT179">IF(AT$174=-1,AU179,IF(AT$174=99,AS179,IF(AT$174=0,INDEX($F52:$N52,0,AT$172),(INDEX($F52:$N52,0,AT$174+1)-INDEX($F52:$N52,0,AT$174))/(INDEX($F$4:$N$4,0,AT$174+1)-INDEX($F$4:$N$4,0,AT$174))+AS179)))</f>
        <v>28.091687808729461</v>
      </c>
      <c r="AU179" s="9" cm="1">
        <f t="array" ref="AU179">IF(AU$174=-1,AV179,IF(AU$174=99,AT179,IF(AU$174=0,INDEX($F52:$N52,0,AU$172),(INDEX($F52:$N52,0,AU$174+1)-INDEX($F52:$N52,0,AU$174))/(INDEX($F$4:$N$4,0,AU$174+1)-INDEX($F$4:$N$4,0,AU$174))+AT179)))</f>
        <v>34.768330820138807</v>
      </c>
      <c r="AV179" s="9" cm="1">
        <f t="array" ref="AV179">IF(AV$174=-1,AW179,IF(AV$174=99,AU179,IF(AV$174=0,INDEX($F52:$N52,0,AV$172),(INDEX($F52:$N52,0,AV$174+1)-INDEX($F52:$N52,0,AV$174))/(INDEX($F$4:$N$4,0,AV$174+1)-INDEX($F$4:$N$4,0,AV$174))+AU179)))</f>
        <v>42.196045086294546</v>
      </c>
      <c r="AW179" s="9" cm="1">
        <f t="array" ref="AW179">IF(AW$174=-1,AX179,IF(AW$174=99,AV179,IF(AW$174=0,INDEX($F52:$N52,0,AW$172),(INDEX($F52:$N52,0,AW$174+1)-INDEX($F52:$N52,0,AW$174))/(INDEX($F$4:$N$4,0,AW$174+1)-INDEX($F$4:$N$4,0,AW$174))+AV179)))</f>
        <v>45.329637057875871</v>
      </c>
      <c r="BF179" s="9"/>
      <c r="BG179" s="9"/>
      <c r="BH179" s="9"/>
      <c r="BI179" s="9"/>
      <c r="BJ179" s="9"/>
      <c r="BK179" s="9"/>
    </row>
    <row r="180" spans="1:63" ht="15">
      <c r="A180" t="s">
        <v>16</v>
      </c>
      <c r="B180" s="20" t="str">
        <f t="shared" si="359"/>
        <v/>
      </c>
      <c r="C180" s="21" t="str">
        <f t="shared" si="360"/>
        <v/>
      </c>
      <c r="D180" s="48"/>
      <c r="E180" s="21" t="str">
        <f t="shared" si="361"/>
        <v/>
      </c>
      <c r="F180" s="21" t="str">
        <f t="shared" si="361"/>
        <v/>
      </c>
      <c r="G180" s="21" t="str">
        <f t="shared" si="361"/>
        <v/>
      </c>
      <c r="H180" s="21"/>
      <c r="I180" s="21" t="str">
        <f t="shared" si="361"/>
        <v/>
      </c>
      <c r="J180" s="118" t="str">
        <f t="shared" si="366"/>
        <v>TFHCV4</v>
      </c>
      <c r="K180" s="9" t="e">
        <f>#REF!</f>
        <v>#REF!</v>
      </c>
      <c r="L180" s="9" t="e" cm="1">
        <f t="array" ref="L180">IF(L$174=-1,M180,IF(L$174=99,K180,IF(L$174=0,INDEX($F53:$N53,0,L$172),(INDEX($F53:$N53,0,L$174+1)-INDEX($F53:$N53,0,L$174))/(INDEX($F$4:$N$4,0,L$174+1)-INDEX($F$4:$N$4,0,L$174))+K180)))</f>
        <v>#REF!</v>
      </c>
      <c r="M180" s="9" t="e" cm="1">
        <f t="array" ref="M180">IF(M$174=-1,P180,IF(M$174=99,L180,IF(M$174=0,INDEX($F53:$N53,0,M$172),(INDEX($F53:$N53,0,M$174+1)-INDEX($F53:$N53,0,M$174))/(INDEX($F$4:$N$4,0,M$174+1)-INDEX($F$4:$N$4,0,M$174))+L180)))</f>
        <v>#REF!</v>
      </c>
      <c r="N180" s="9" t="e" cm="1">
        <f t="array" ref="N180">IF(N$174=-1,O180,IF(N$174=99,K180,IF(N$174=0,INDEX($F53:$N53,0,N$172),(INDEX($F53:$N53,0,N$174+1)-INDEX($F53:$N53,0,N$174))/(INDEX($F$4:$N$4,0,N$174+1)-INDEX($F$4:$N$4,0,N$174))+K180)))</f>
        <v>#REF!</v>
      </c>
      <c r="O180" s="9" t="e" cm="1">
        <f t="array" ref="O180">IF(O$174=-1,P180,IF(O$174=99,L180,IF(O$174=0,INDEX($F53:$N53,0,O$172),(INDEX($F53:$N53,0,O$174+1)-INDEX($F53:$N53,0,O$174))/(INDEX($F$4:$N$4,0,O$174+1)-INDEX($F$4:$N$4,0,O$174))+L180)))</f>
        <v>#REF!</v>
      </c>
      <c r="P180" s="9" t="e" cm="1">
        <f t="array" ref="P180">IF(P$174=-1,Q180,IF(P$174=99,M180,IF(P$174=0,INDEX($F53:$N53,0,P$172),(INDEX($F53:$N53,0,P$174+1)-INDEX($F53:$N53,0,P$174))/(INDEX($F$4:$N$4,0,P$174+1)-INDEX($F$4:$N$4,0,P$174))+M180)))</f>
        <v>#REF!</v>
      </c>
      <c r="Q180" s="9" t="e" cm="1">
        <f t="array" ref="Q180">IF(Q$174=-1,R180,IF(Q$174=99,P180,IF(Q$174=0,INDEX($F53:$N53,0,Q$172),(INDEX($F53:$N53,0,Q$174+1)-INDEX($F53:$N53,0,Q$174))/(INDEX($F$4:$N$4,0,Q$174+1)-INDEX($F$4:$N$4,0,Q$174))+P180)))</f>
        <v>#REF!</v>
      </c>
      <c r="R180" s="9" cm="1">
        <f t="array" ref="R180">IF(R$174=-1,S180,IF(R$174=99,Q180,IF(R$174=0,INDEX($F53:$N53,0,R$172),(INDEX($F53:$N53,0,R$174+1)-INDEX($F53:$N53,0,R$174))/(INDEX($F$4:$N$4,0,R$174+1)-INDEX($F$4:$N$4,0,R$174))+Q180)))</f>
        <v>4.7389994637867545</v>
      </c>
      <c r="S180" s="9" cm="1">
        <f t="array" ref="S180">IF(S$174=-1,T180,IF(S$174=99,R180,IF(S$174=0,INDEX($F53:$N53,0,S$172),(INDEX($F53:$N53,0,S$174+1)-INDEX($F53:$N53,0,S$174))/(INDEX($F$4:$N$4,0,S$174+1)-INDEX($F$4:$N$4,0,S$174))+R180)))</f>
        <v>4.768493869151099</v>
      </c>
      <c r="T180" s="9" cm="1">
        <f t="array" ref="T180">IF(T$174=-1,U180,IF(T$174=99,S180,IF(T$174=0,INDEX($F53:$N53,0,T$172),(INDEX($F53:$N53,0,T$174+1)-INDEX($F53:$N53,0,T$174))/(INDEX($F$4:$N$4,0,T$174+1)-INDEX($F$4:$N$4,0,T$174))+S180)))</f>
        <v>4.7979882745154434</v>
      </c>
      <c r="U180" s="9" cm="1">
        <f t="array" ref="U180">IF(U$174=-1,V180,IF(U$174=99,T180,IF(U$174=0,INDEX($F53:$N53,0,U$172),(INDEX($F53:$N53,0,U$174+1)-INDEX($F53:$N53,0,U$174))/(INDEX($F$4:$N$4,0,U$174+1)-INDEX($F$4:$N$4,0,U$174))+T180)))</f>
        <v>4.6196745661922405</v>
      </c>
      <c r="V180" s="9" cm="1">
        <f t="array" ref="V180">IF(V$174=-1,W180,IF(V$174=99,U180,IF(V$174=0,INDEX($F53:$N53,0,V$172),(INDEX($F53:$N53,0,V$174+1)-INDEX($F53:$N53,0,V$174))/(INDEX($F$4:$N$4,0,V$174+1)-INDEX($F$4:$N$4,0,V$174))+U180)))</f>
        <v>4.8436715965079067</v>
      </c>
      <c r="W180" s="9" cm="1">
        <f t="array" ref="W180">IF(W$174=-1,Z180,IF(W$174=99,V180,IF(W$174=0,INDEX($F53:$N53,0,W$172),(INDEX($F53:$N53,0,W$174+1)-INDEX($F53:$N53,0,W$174))/(INDEX($F$4:$N$4,0,W$174+1)-INDEX($F$4:$N$4,0,W$174))+V180)))</f>
        <v>4.9716489984962084</v>
      </c>
      <c r="X180" s="9" cm="1">
        <f t="array" ref="X180">IF(X$174=-1,Y180,IF(X$174=99,U180,IF(X$174=0,INDEX($F53:$N53,0,X$172),(INDEX($F53:$N53,0,X$174+1)-INDEX($F53:$N53,0,X$174))/(INDEX($F$4:$N$4,0,X$174+1)-INDEX($F$4:$N$4,0,X$174))+U180)))</f>
        <v>4.8436715965079067</v>
      </c>
      <c r="Y180" s="9" cm="1">
        <f t="array" ref="Y180">IF(Y$174=-1,Z180,IF(Y$174=99,V180,IF(Y$174=0,INDEX($F53:$N53,0,Y$172),(INDEX($F53:$N53,0,Y$174+1)-INDEX($F53:$N53,0,Y$174))/(INDEX($F$4:$N$4,0,Y$174+1)-INDEX($F$4:$N$4,0,Y$174))+V180)))</f>
        <v>4.9716489984962084</v>
      </c>
      <c r="Z180" s="9" cm="1">
        <f t="array" ref="Z180">IF(Z$174=-1,AA180,IF(Z$174=99,W180,IF(Z$174=0,INDEX($F53:$N53,0,Z$172),(INDEX($F53:$N53,0,Z$174+1)-INDEX($F53:$N53,0,Z$174))/(INDEX($F$4:$N$4,0,Z$174+1)-INDEX($F$4:$N$4,0,Z$174))+W180)))</f>
        <v>5.0996264004845102</v>
      </c>
      <c r="AA180" s="9" cm="1">
        <f t="array" ref="AA180">IF(AA$174=-1,AB180,IF(AA$174=99,Z180,IF(AA$174=0,INDEX($F53:$N53,0,AA$172),(INDEX($F53:$N53,0,AA$174+1)-INDEX($F53:$N53,0,AA$174))/(INDEX($F$4:$N$4,0,AA$174+1)-INDEX($F$4:$N$4,0,AA$174))+Z180)))</f>
        <v>5.227603802472812</v>
      </c>
      <c r="AB180" s="9" cm="1">
        <f t="array" ref="AB180">IF(AB$174=-1,AC180,IF(AB$174=99,AA180,IF(AB$174=0,INDEX($F53:$N53,0,AB$172),(INDEX($F53:$N53,0,AB$174+1)-INDEX($F53:$N53,0,AB$174))/(INDEX($F$4:$N$4,0,AB$174+1)-INDEX($F$4:$N$4,0,AB$174))+AA180)))</f>
        <v>5.3555812044611137</v>
      </c>
      <c r="AC180" s="9" cm="1">
        <f t="array" ref="AC180">IF(AC$174=-1,AD180,IF(AC$174=99,AB180,IF(AC$174=0,INDEX($F53:$N53,0,AC$172),(INDEX($F53:$N53,0,AC$174+1)-INDEX($F53:$N53,0,AC$174))/(INDEX($F$4:$N$4,0,AC$174+1)-INDEX($F$4:$N$4,0,AC$174))+AB180)))</f>
        <v>5.4835586064494155</v>
      </c>
      <c r="AD180" s="9" cm="1">
        <f t="array" ref="AD180">IF(AD$174=-1,AE180,IF(AD$174=99,AC180,IF(AD$174=0,INDEX($F53:$N53,0,AD$172),(INDEX($F53:$N53,0,AD$174+1)-INDEX($F53:$N53,0,AD$174))/(INDEX($F$4:$N$4,0,AD$174+1)-INDEX($F$4:$N$4,0,AD$174))+AC180)))</f>
        <v>5.6115360084377173</v>
      </c>
      <c r="AE180" s="9" cm="1">
        <f t="array" ref="AE180">IF(AE$174=-1,AF180,IF(AE$174=99,AD180,IF(AE$174=0,INDEX($F53:$N53,0,AE$172),(INDEX($F53:$N53,0,AE$174+1)-INDEX($F53:$N53,0,AE$174))/(INDEX($F$4:$N$4,0,AE$174+1)-INDEX($F$4:$N$4,0,AE$174))+AD180)))</f>
        <v>5.739513410426019</v>
      </c>
      <c r="AF180" s="9" cm="1">
        <f t="array" ref="AF180">IF(AF$174=-1,AG180,IF(AF$174=99,AE180,IF(AF$174=0,INDEX($F53:$N53,0,AF$172),(INDEX($F53:$N53,0,AF$174+1)-INDEX($F53:$N53,0,AF$174))/(INDEX($F$4:$N$4,0,AF$174+1)-INDEX($F$4:$N$4,0,AF$174))+AE180)))</f>
        <v>5.8674908124143208</v>
      </c>
      <c r="AG180" s="9" cm="1">
        <f t="array" ref="AG180">IF(AG$174=-1,AJ180,IF(AG$174=99,AF180,IF(AG$174=0,INDEX($F53:$N53,0,AG$172),(INDEX($F53:$N53,0,AG$174+1)-INDEX($F53:$N53,0,AG$174))/(INDEX($F$4:$N$4,0,AG$174+1)-INDEX($F$4:$N$4,0,AG$174))+AF180)))</f>
        <v>5.995468214402619</v>
      </c>
      <c r="AH180" s="9" cm="1">
        <f t="array" ref="AH180">IF(AH$174=-1,AI180,IF(AH$174=99,AE180,IF(AH$174=0,INDEX($F53:$N53,0,AH$172),(INDEX($F53:$N53,0,AH$174+1)-INDEX($F53:$N53,0,AH$174))/(INDEX($F$4:$N$4,0,AH$174+1)-INDEX($F$4:$N$4,0,AH$174))+AE180)))</f>
        <v>5.8674908124143208</v>
      </c>
      <c r="AI180" s="9" cm="1">
        <f t="array" ref="AI180">IF(AI$174=-1,AJ180,IF(AI$174=99,AF180,IF(AI$174=0,INDEX($F53:$N53,0,AI$172),(INDEX($F53:$N53,0,AI$174+1)-INDEX($F53:$N53,0,AI$174))/(INDEX($F$4:$N$4,0,AI$174+1)-INDEX($F$4:$N$4,0,AI$174))+AF180)))</f>
        <v>5.995468214402619</v>
      </c>
      <c r="AJ180" s="9" cm="1">
        <f t="array" ref="AJ180">IF(AJ$174=-1,AK180,IF(AJ$174=99,AG180,IF(AJ$174=0,INDEX($F53:$N53,0,AJ$172),(INDEX($F53:$N53,0,AJ$174+1)-INDEX($F53:$N53,0,AJ$174))/(INDEX($F$4:$N$4,0,AJ$174+1)-INDEX($F$4:$N$4,0,AJ$174))+AG180)))</f>
        <v>6.1804821494506639</v>
      </c>
      <c r="AK180" s="9" cm="1">
        <f t="array" ref="AK180">IF(AK$174=-1,AL180,IF(AK$174=99,AJ180,IF(AK$174=0,INDEX($F53:$N53,0,AK$172),(INDEX($F53:$N53,0,AK$174+1)-INDEX($F53:$N53,0,AK$174))/(INDEX($F$4:$N$4,0,AK$174+1)-INDEX($F$4:$N$4,0,AK$174))+AJ180)))</f>
        <v>6.3654960844987087</v>
      </c>
      <c r="AL180" s="9" cm="1">
        <f t="array" ref="AL180">IF(AL$174=-1,AM180,IF(AL$174=99,AK180,IF(AL$174=0,INDEX($F53:$N53,0,AL$172),(INDEX($F53:$N53,0,AL$174+1)-INDEX($F53:$N53,0,AL$174))/(INDEX($F$4:$N$4,0,AL$174+1)-INDEX($F$4:$N$4,0,AL$174))+AK180)))</f>
        <v>6.5505100195467536</v>
      </c>
      <c r="AM180" s="9" cm="1">
        <f t="array" ref="AM180">IF(AM$174=-1,AN180,IF(AM$174=99,AL180,IF(AM$174=0,INDEX($F53:$N53,0,AM$172),(INDEX($F53:$N53,0,AM$174+1)-INDEX($F53:$N53,0,AM$174))/(INDEX($F$4:$N$4,0,AM$174+1)-INDEX($F$4:$N$4,0,AM$174))+AL180)))</f>
        <v>6.7355239545947985</v>
      </c>
      <c r="AN180" s="9" cm="1">
        <f t="array" ref="AN180">IF(AN$174=-1,AO180,IF(AN$174=99,AM180,IF(AN$174=0,INDEX($F53:$N53,0,AN$172),(INDEX($F53:$N53,0,AN$174+1)-INDEX($F53:$N53,0,AN$174))/(INDEX($F$4:$N$4,0,AN$174+1)-INDEX($F$4:$N$4,0,AN$174))+AM180)))</f>
        <v>6.9205378896428433</v>
      </c>
      <c r="AO180" s="9" cm="1">
        <f t="array" ref="AO180">IF(AO$174=-1,AP180,IF(AO$174=99,AN180,IF(AO$174=0,INDEX($F53:$N53,0,AO$172),(INDEX($F53:$N53,0,AO$174+1)-INDEX($F53:$N53,0,AO$174))/(INDEX($F$4:$N$4,0,AO$174+1)-INDEX($F$4:$N$4,0,AO$174))+AN180)))</f>
        <v>7.1055518246908882</v>
      </c>
      <c r="AP180" s="9" cm="1">
        <f t="array" ref="AP180">IF(AP$174=-1,AQ180,IF(AP$174=99,AO180,IF(AP$174=0,INDEX($F53:$N53,0,AP$172),(INDEX($F53:$N53,0,AP$174+1)-INDEX($F53:$N53,0,AP$174))/(INDEX($F$4:$N$4,0,AP$174+1)-INDEX($F$4:$N$4,0,AP$174))+AO180)))</f>
        <v>7.2905657597389331</v>
      </c>
      <c r="AQ180" s="9" cm="1">
        <f t="array" ref="AQ180">IF(AQ$174=-1,AR180,IF(AQ$174=99,AP180,IF(AQ$174=0,INDEX($F53:$N53,0,AQ$172),(INDEX($F53:$N53,0,AQ$174+1)-INDEX($F53:$N53,0,AQ$174))/(INDEX($F$4:$N$4,0,AQ$174+1)-INDEX($F$4:$N$4,0,AQ$174))+AP180)))</f>
        <v>7.4755796947869779</v>
      </c>
      <c r="AR180" s="9" cm="1">
        <f t="array" ref="AR180">IF(AR$174=-1,AS180,IF(AR$174=99,AQ180,IF(AR$174=0,INDEX($F53:$N53,0,AR$172),(INDEX($F53:$N53,0,AR$174+1)-INDEX($F53:$N53,0,AR$174))/(INDEX($F$4:$N$4,0,AR$174+1)-INDEX($F$4:$N$4,0,AR$174))+AQ180)))</f>
        <v>7.6605936298350228</v>
      </c>
      <c r="AS180" s="9" cm="1">
        <f t="array" ref="AS180">IF(AS$174=-1,AT180,IF(AS$174=99,AR180,IF(AS$174=0,INDEX($F53:$N53,0,AS$172),(INDEX($F53:$N53,0,AS$174+1)-INDEX($F53:$N53,0,AS$174))/(INDEX($F$4:$N$4,0,AS$174+1)-INDEX($F$4:$N$4,0,AS$174))+AR180)))</f>
        <v>7.8456075648830694</v>
      </c>
      <c r="AT180" s="9" cm="1">
        <f t="array" ref="AT180">IF(AT$174=-1,AU180,IF(AT$174=99,AS180,IF(AT$174=0,INDEX($F53:$N53,0,AT$172),(INDEX($F53:$N53,0,AT$174+1)-INDEX($F53:$N53,0,AT$174))/(INDEX($F$4:$N$4,0,AT$174+1)-INDEX($F$4:$N$4,0,AT$174))+AS180)))</f>
        <v>8.0584153246683989</v>
      </c>
      <c r="AU180" s="9" cm="1">
        <f t="array" ref="AU180">IF(AU$174=-1,AV180,IF(AU$174=99,AT180,IF(AU$174=0,INDEX($F53:$N53,0,AU$172),(INDEX($F53:$N53,0,AU$174+1)-INDEX($F53:$N53,0,AU$174))/(INDEX($F$4:$N$4,0,AU$174+1)-INDEX($F$4:$N$4,0,AU$174))+AT180)))</f>
        <v>9.9736851627363698</v>
      </c>
      <c r="AV180" s="9" cm="1">
        <f t="array" ref="AV180">IF(AV$174=-1,AW180,IF(AV$174=99,AU180,IF(AV$174=0,INDEX($F53:$N53,0,AV$172),(INDEX($F53:$N53,0,AV$174+1)-INDEX($F53:$N53,0,AV$174))/(INDEX($F$4:$N$4,0,AV$174+1)-INDEX($F$4:$N$4,0,AV$174))+AU180)))</f>
        <v>12.104408203558698</v>
      </c>
      <c r="AW180" s="9" cm="1">
        <f t="array" ref="AW180">IF(AW$174=-1,AX180,IF(AW$174=99,AV180,IF(AW$174=0,INDEX($F53:$N53,0,AW$172),(INDEX($F53:$N53,0,AW$174+1)-INDEX($F53:$N53,0,AW$174))/(INDEX($F$4:$N$4,0,AW$174+1)-INDEX($F$4:$N$4,0,AW$174))+AV180)))</f>
        <v>13.003314162395455</v>
      </c>
      <c r="BF180" s="9"/>
      <c r="BG180" s="9"/>
      <c r="BH180" s="9"/>
      <c r="BI180" s="9"/>
      <c r="BJ180" s="9"/>
      <c r="BK180" s="9"/>
    </row>
    <row r="181" spans="1:63" ht="15">
      <c r="A181" t="s">
        <v>16</v>
      </c>
      <c r="B181" s="20" t="str">
        <f t="shared" si="359"/>
        <v/>
      </c>
      <c r="C181" s="21" t="str">
        <f t="shared" si="360"/>
        <v/>
      </c>
      <c r="D181" s="48"/>
      <c r="E181" s="21" t="str">
        <f t="shared" si="361"/>
        <v/>
      </c>
      <c r="F181" s="21" t="str">
        <f t="shared" si="361"/>
        <v/>
      </c>
      <c r="G181" s="21" t="str">
        <f t="shared" si="361"/>
        <v/>
      </c>
      <c r="H181" s="21"/>
      <c r="I181" s="21" t="str">
        <f t="shared" si="361"/>
        <v/>
      </c>
      <c r="J181" s="118" t="str">
        <f t="shared" si="366"/>
        <v>TFHCV5</v>
      </c>
      <c r="K181" s="9" t="e">
        <f>#REF!</f>
        <v>#REF!</v>
      </c>
      <c r="L181" s="9" t="e" cm="1">
        <f t="array" ref="L181">IF(L$174=-1,M181,IF(L$174=99,K181,IF(L$174=0,INDEX($F54:$N54,0,L$172),(INDEX($F54:$N54,0,L$174+1)-INDEX($F54:$N54,0,L$174))/(INDEX($F$4:$N$4,0,L$174+1)-INDEX($F$4:$N$4,0,L$174))+K181)))</f>
        <v>#REF!</v>
      </c>
      <c r="M181" s="9" t="e" cm="1">
        <f t="array" ref="M181">IF(M$174=-1,P181,IF(M$174=99,L181,IF(M$174=0,INDEX($F54:$N54,0,M$172),(INDEX($F54:$N54,0,M$174+1)-INDEX($F54:$N54,0,M$174))/(INDEX($F$4:$N$4,0,M$174+1)-INDEX($F$4:$N$4,0,M$174))+L181)))</f>
        <v>#REF!</v>
      </c>
      <c r="N181" s="9" t="e" cm="1">
        <f t="array" ref="N181">IF(N$174=-1,O181,IF(N$174=99,K181,IF(N$174=0,INDEX($F54:$N54,0,N$172),(INDEX($F54:$N54,0,N$174+1)-INDEX($F54:$N54,0,N$174))/(INDEX($F$4:$N$4,0,N$174+1)-INDEX($F$4:$N$4,0,N$174))+K181)))</f>
        <v>#REF!</v>
      </c>
      <c r="O181" s="9" t="e" cm="1">
        <f t="array" ref="O181">IF(O$174=-1,P181,IF(O$174=99,L181,IF(O$174=0,INDEX($F54:$N54,0,O$172),(INDEX($F54:$N54,0,O$174+1)-INDEX($F54:$N54,0,O$174))/(INDEX($F$4:$N$4,0,O$174+1)-INDEX($F$4:$N$4,0,O$174))+L181)))</f>
        <v>#REF!</v>
      </c>
      <c r="P181" s="9" t="e" cm="1">
        <f t="array" ref="P181">IF(P$174=-1,Q181,IF(P$174=99,M181,IF(P$174=0,INDEX($F54:$N54,0,P$172),(INDEX($F54:$N54,0,P$174+1)-INDEX($F54:$N54,0,P$174))/(INDEX($F$4:$N$4,0,P$174+1)-INDEX($F$4:$N$4,0,P$174))+M181)))</f>
        <v>#REF!</v>
      </c>
      <c r="Q181" s="9" t="e" cm="1">
        <f t="array" ref="Q181">IF(Q$174=-1,R181,IF(Q$174=99,P181,IF(Q$174=0,INDEX($F54:$N54,0,Q$172),(INDEX($F54:$N54,0,Q$174+1)-INDEX($F54:$N54,0,Q$174))/(INDEX($F$4:$N$4,0,Q$174+1)-INDEX($F$4:$N$4,0,Q$174))+P181)))</f>
        <v>#REF!</v>
      </c>
      <c r="R181" s="9" cm="1">
        <f t="array" ref="R181">IF(R$174=-1,S181,IF(R$174=99,Q181,IF(R$174=0,INDEX($F54:$N54,0,R$172),(INDEX($F54:$N54,0,R$174+1)-INDEX($F54:$N54,0,R$174))/(INDEX($F$4:$N$4,0,R$174+1)-INDEX($F$4:$N$4,0,R$174))+Q181)))</f>
        <v>3.2441770761137643</v>
      </c>
      <c r="S181" s="9" cm="1">
        <f t="array" ref="S181">IF(S$174=-1,T181,IF(S$174=99,R181,IF(S$174=0,INDEX($F54:$N54,0,S$172),(INDEX($F54:$N54,0,S$174+1)-INDEX($F54:$N54,0,S$174))/(INDEX($F$4:$N$4,0,S$174+1)-INDEX($F$4:$N$4,0,S$174))+R181)))</f>
        <v>3.2643680625208726</v>
      </c>
      <c r="T181" s="9" cm="1">
        <f t="array" ref="T181">IF(T$174=-1,U181,IF(T$174=99,S181,IF(T$174=0,INDEX($F54:$N54,0,T$172),(INDEX($F54:$N54,0,T$174+1)-INDEX($F54:$N54,0,T$174))/(INDEX($F$4:$N$4,0,T$174+1)-INDEX($F$4:$N$4,0,T$174))+S181)))</f>
        <v>3.284559048927981</v>
      </c>
      <c r="U181" s="9" cm="1">
        <f t="array" ref="U181">IF(U$174=-1,V181,IF(U$174=99,T181,IF(U$174=0,INDEX($F54:$N54,0,U$172),(INDEX($F54:$N54,0,U$174+1)-INDEX($F54:$N54,0,U$174))/(INDEX($F$4:$N$4,0,U$174+1)-INDEX($F$4:$N$4,0,U$174))+T181)))</f>
        <v>3.1624908255995221</v>
      </c>
      <c r="V181" s="9" cm="1">
        <f t="array" ref="V181">IF(V$174=-1,W181,IF(V$174=99,U181,IF(V$174=0,INDEX($F54:$N54,0,V$172),(INDEX($F54:$N54,0,V$174+1)-INDEX($F54:$N54,0,V$174))/(INDEX($F$4:$N$4,0,V$174+1)-INDEX($F$4:$N$4,0,V$174))+U181)))</f>
        <v>3.3158324827194776</v>
      </c>
      <c r="W181" s="9" cm="1">
        <f t="array" ref="W181">IF(W$174=-1,Z181,IF(W$174=99,V181,IF(W$174=0,INDEX($F54:$N54,0,W$172),(INDEX($F54:$N54,0,W$174+1)-INDEX($F54:$N54,0,W$174))/(INDEX($F$4:$N$4,0,W$174+1)-INDEX($F$4:$N$4,0,W$174))+V181)))</f>
        <v>3.4034419785558176</v>
      </c>
      <c r="X181" s="9" cm="1">
        <f t="array" ref="X181">IF(X$174=-1,Y181,IF(X$174=99,U181,IF(X$174=0,INDEX($F54:$N54,0,X$172),(INDEX($F54:$N54,0,X$174+1)-INDEX($F54:$N54,0,X$174))/(INDEX($F$4:$N$4,0,X$174+1)-INDEX($F$4:$N$4,0,X$174))+U181)))</f>
        <v>3.3158324827194776</v>
      </c>
      <c r="Y181" s="9" cm="1">
        <f t="array" ref="Y181">IF(Y$174=-1,Z181,IF(Y$174=99,V181,IF(Y$174=0,INDEX($F54:$N54,0,Y$172),(INDEX($F54:$N54,0,Y$174+1)-INDEX($F54:$N54,0,Y$174))/(INDEX($F$4:$N$4,0,Y$174+1)-INDEX($F$4:$N$4,0,Y$174))+V181)))</f>
        <v>3.4034419785558176</v>
      </c>
      <c r="Z181" s="9" cm="1">
        <f t="array" ref="Z181">IF(Z$174=-1,AA181,IF(Z$174=99,W181,IF(Z$174=0,INDEX($F54:$N54,0,Z$172),(INDEX($F54:$N54,0,Z$174+1)-INDEX($F54:$N54,0,Z$174))/(INDEX($F$4:$N$4,0,Z$174+1)-INDEX($F$4:$N$4,0,Z$174))+W181)))</f>
        <v>3.4910514743921577</v>
      </c>
      <c r="AA181" s="9" cm="1">
        <f t="array" ref="AA181">IF(AA$174=-1,AB181,IF(AA$174=99,Z181,IF(AA$174=0,INDEX($F54:$N54,0,AA$172),(INDEX($F54:$N54,0,AA$174+1)-INDEX($F54:$N54,0,AA$174))/(INDEX($F$4:$N$4,0,AA$174+1)-INDEX($F$4:$N$4,0,AA$174))+Z181)))</f>
        <v>3.5786609702284977</v>
      </c>
      <c r="AB181" s="9" cm="1">
        <f t="array" ref="AB181">IF(AB$174=-1,AC181,IF(AB$174=99,AA181,IF(AB$174=0,INDEX($F54:$N54,0,AB$172),(INDEX($F54:$N54,0,AB$174+1)-INDEX($F54:$N54,0,AB$174))/(INDEX($F$4:$N$4,0,AB$174+1)-INDEX($F$4:$N$4,0,AB$174))+AA181)))</f>
        <v>3.6662704660648378</v>
      </c>
      <c r="AC181" s="9" cm="1">
        <f t="array" ref="AC181">IF(AC$174=-1,AD181,IF(AC$174=99,AB181,IF(AC$174=0,INDEX($F54:$N54,0,AC$172),(INDEX($F54:$N54,0,AC$174+1)-INDEX($F54:$N54,0,AC$174))/(INDEX($F$4:$N$4,0,AC$174+1)-INDEX($F$4:$N$4,0,AC$174))+AB181)))</f>
        <v>3.7538799619011778</v>
      </c>
      <c r="AD181" s="9" cm="1">
        <f t="array" ref="AD181">IF(AD$174=-1,AE181,IF(AD$174=99,AC181,IF(AD$174=0,INDEX($F54:$N54,0,AD$172),(INDEX($F54:$N54,0,AD$174+1)-INDEX($F54:$N54,0,AD$174))/(INDEX($F$4:$N$4,0,AD$174+1)-INDEX($F$4:$N$4,0,AD$174))+AC181)))</f>
        <v>3.8414894577375178</v>
      </c>
      <c r="AE181" s="9" cm="1">
        <f t="array" ref="AE181">IF(AE$174=-1,AF181,IF(AE$174=99,AD181,IF(AE$174=0,INDEX($F54:$N54,0,AE$172),(INDEX($F54:$N54,0,AE$174+1)-INDEX($F54:$N54,0,AE$174))/(INDEX($F$4:$N$4,0,AE$174+1)-INDEX($F$4:$N$4,0,AE$174))+AD181)))</f>
        <v>3.9290989535738579</v>
      </c>
      <c r="AF181" s="9" cm="1">
        <f t="array" ref="AF181">IF(AF$174=-1,AG181,IF(AF$174=99,AE181,IF(AF$174=0,INDEX($F54:$N54,0,AF$172),(INDEX($F54:$N54,0,AF$174+1)-INDEX($F54:$N54,0,AF$174))/(INDEX($F$4:$N$4,0,AF$174+1)-INDEX($F$4:$N$4,0,AF$174))+AE181)))</f>
        <v>4.0167084494101974</v>
      </c>
      <c r="AG181" s="9" cm="1">
        <f t="array" ref="AG181">IF(AG$174=-1,AJ181,IF(AG$174=99,AF181,IF(AG$174=0,INDEX($F54:$N54,0,AG$172),(INDEX($F54:$N54,0,AG$174+1)-INDEX($F54:$N54,0,AG$174))/(INDEX($F$4:$N$4,0,AG$174+1)-INDEX($F$4:$N$4,0,AG$174))+AF181)))</f>
        <v>4.1043179452465379</v>
      </c>
      <c r="AH181" s="9" cm="1">
        <f t="array" ref="AH181">IF(AH$174=-1,AI181,IF(AH$174=99,AE181,IF(AH$174=0,INDEX($F54:$N54,0,AH$172),(INDEX($F54:$N54,0,AH$174+1)-INDEX($F54:$N54,0,AH$174))/(INDEX($F$4:$N$4,0,AH$174+1)-INDEX($F$4:$N$4,0,AH$174))+AE181)))</f>
        <v>4.0167084494101974</v>
      </c>
      <c r="AI181" s="9" cm="1">
        <f t="array" ref="AI181">IF(AI$174=-1,AJ181,IF(AI$174=99,AF181,IF(AI$174=0,INDEX($F54:$N54,0,AI$172),(INDEX($F54:$N54,0,AI$174+1)-INDEX($F54:$N54,0,AI$174))/(INDEX($F$4:$N$4,0,AI$174+1)-INDEX($F$4:$N$4,0,AI$174))+AF181)))</f>
        <v>4.1043179452465379</v>
      </c>
      <c r="AJ181" s="9" cm="1">
        <f t="array" ref="AJ181">IF(AJ$174=-1,AK181,IF(AJ$174=99,AG181,IF(AJ$174=0,INDEX($F54:$N54,0,AJ$172),(INDEX($F54:$N54,0,AJ$174+1)-INDEX($F54:$N54,0,AJ$174))/(INDEX($F$4:$N$4,0,AJ$174+1)-INDEX($F$4:$N$4,0,AJ$174))+AG181)))</f>
        <v>4.2309729430854395</v>
      </c>
      <c r="AK181" s="9" cm="1">
        <f t="array" ref="AK181">IF(AK$174=-1,AL181,IF(AK$174=99,AJ181,IF(AK$174=0,INDEX($F54:$N54,0,AK$172),(INDEX($F54:$N54,0,AK$174+1)-INDEX($F54:$N54,0,AK$174))/(INDEX($F$4:$N$4,0,AK$174+1)-INDEX($F$4:$N$4,0,AK$174))+AJ181)))</f>
        <v>4.357627940924341</v>
      </c>
      <c r="AL181" s="9" cm="1">
        <f t="array" ref="AL181">IF(AL$174=-1,AM181,IF(AL$174=99,AK181,IF(AL$174=0,INDEX($F54:$N54,0,AL$172),(INDEX($F54:$N54,0,AL$174+1)-INDEX($F54:$N54,0,AL$174))/(INDEX($F$4:$N$4,0,AL$174+1)-INDEX($F$4:$N$4,0,AL$174))+AK181)))</f>
        <v>4.4842829387632426</v>
      </c>
      <c r="AM181" s="9" cm="1">
        <f t="array" ref="AM181">IF(AM$174=-1,AN181,IF(AM$174=99,AL181,IF(AM$174=0,INDEX($F54:$N54,0,AM$172),(INDEX($F54:$N54,0,AM$174+1)-INDEX($F54:$N54,0,AM$174))/(INDEX($F$4:$N$4,0,AM$174+1)-INDEX($F$4:$N$4,0,AM$174))+AL181)))</f>
        <v>4.6109379366021441</v>
      </c>
      <c r="AN181" s="9" cm="1">
        <f t="array" ref="AN181">IF(AN$174=-1,AO181,IF(AN$174=99,AM181,IF(AN$174=0,INDEX($F54:$N54,0,AN$172),(INDEX($F54:$N54,0,AN$174+1)-INDEX($F54:$N54,0,AN$174))/(INDEX($F$4:$N$4,0,AN$174+1)-INDEX($F$4:$N$4,0,AN$174))+AM181)))</f>
        <v>4.7375929344410457</v>
      </c>
      <c r="AO181" s="9" cm="1">
        <f t="array" ref="AO181">IF(AO$174=-1,AP181,IF(AO$174=99,AN181,IF(AO$174=0,INDEX($F54:$N54,0,AO$172),(INDEX($F54:$N54,0,AO$174+1)-INDEX($F54:$N54,0,AO$174))/(INDEX($F$4:$N$4,0,AO$174+1)-INDEX($F$4:$N$4,0,AO$174))+AN181)))</f>
        <v>4.8642479322799472</v>
      </c>
      <c r="AP181" s="9" cm="1">
        <f t="array" ref="AP181">IF(AP$174=-1,AQ181,IF(AP$174=99,AO181,IF(AP$174=0,INDEX($F54:$N54,0,AP$172),(INDEX($F54:$N54,0,AP$174+1)-INDEX($F54:$N54,0,AP$174))/(INDEX($F$4:$N$4,0,AP$174+1)-INDEX($F$4:$N$4,0,AP$174))+AO181)))</f>
        <v>4.9909029301188488</v>
      </c>
      <c r="AQ181" s="9" cm="1">
        <f t="array" ref="AQ181">IF(AQ$174=-1,AR181,IF(AQ$174=99,AP181,IF(AQ$174=0,INDEX($F54:$N54,0,AQ$172),(INDEX($F54:$N54,0,AQ$174+1)-INDEX($F54:$N54,0,AQ$174))/(INDEX($F$4:$N$4,0,AQ$174+1)-INDEX($F$4:$N$4,0,AQ$174))+AP181)))</f>
        <v>5.1175579279577503</v>
      </c>
      <c r="AR181" s="9" cm="1">
        <f t="array" ref="AR181">IF(AR$174=-1,AS181,IF(AR$174=99,AQ181,IF(AR$174=0,INDEX($F54:$N54,0,AR$172),(INDEX($F54:$N54,0,AR$174+1)-INDEX($F54:$N54,0,AR$174))/(INDEX($F$4:$N$4,0,AR$174+1)-INDEX($F$4:$N$4,0,AR$174))+AQ181)))</f>
        <v>5.2442129257966519</v>
      </c>
      <c r="AS181" s="9" cm="1">
        <f t="array" ref="AS181">IF(AS$174=-1,AT181,IF(AS$174=99,AR181,IF(AS$174=0,INDEX($F54:$N54,0,AS$172),(INDEX($F54:$N54,0,AS$174+1)-INDEX($F54:$N54,0,AS$174))/(INDEX($F$4:$N$4,0,AS$174+1)-INDEX($F$4:$N$4,0,AS$174))+AR181)))</f>
        <v>5.370867923635557</v>
      </c>
      <c r="AT181" s="9" cm="1">
        <f t="array" ref="AT181">IF(AT$174=-1,AU181,IF(AT$174=99,AS181,IF(AT$174=0,INDEX($F54:$N54,0,AT$172),(INDEX($F54:$N54,0,AT$174+1)-INDEX($F54:$N54,0,AT$174))/(INDEX($F$4:$N$4,0,AT$174+1)-INDEX($F$4:$N$4,0,AT$174))+AS181)))</f>
        <v>5.5165497413251989</v>
      </c>
      <c r="AU181" s="9" cm="1">
        <f t="array" ref="AU181">IF(AU$174=-1,AV181,IF(AU$174=99,AT181,IF(AU$174=0,INDEX($F54:$N54,0,AU$172),(INDEX($F54:$N54,0,AU$174+1)-INDEX($F54:$N54,0,AU$174))/(INDEX($F$4:$N$4,0,AU$174+1)-INDEX($F$4:$N$4,0,AU$174))+AT181)))</f>
        <v>6.8276861005319756</v>
      </c>
      <c r="AV181" s="9" cm="1">
        <f t="array" ref="AV181">IF(AV$174=-1,AW181,IF(AV$174=99,AU181,IF(AV$174=0,INDEX($F54:$N54,0,AV$172),(INDEX($F54:$N54,0,AV$174+1)-INDEX($F54:$N54,0,AV$174))/(INDEX($F$4:$N$4,0,AV$174+1)-INDEX($F$4:$N$4,0,AV$174))+AU181)))</f>
        <v>8.2863152684407098</v>
      </c>
      <c r="AW181" s="9" cm="1">
        <f t="array" ref="AW181">IF(AW$174=-1,AX181,IF(AW$174=99,AV181,IF(AW$174=0,INDEX($F54:$N54,0,AW$172),(INDEX($F54:$N54,0,AW$174+1)-INDEX($F54:$N54,0,AW$174))/(INDEX($F$4:$N$4,0,AW$174+1)-INDEX($F$4:$N$4,0,AW$174))+AV181)))</f>
        <v>8.901679361119891</v>
      </c>
      <c r="BF181" s="9"/>
      <c r="BG181" s="9"/>
      <c r="BH181" s="9"/>
      <c r="BI181" s="9"/>
      <c r="BJ181" s="9"/>
      <c r="BK181" s="9"/>
    </row>
    <row r="182" spans="1:63" ht="15">
      <c r="A182" t="s">
        <v>16</v>
      </c>
      <c r="B182" s="20" t="str">
        <f t="shared" si="359"/>
        <v/>
      </c>
      <c r="C182" s="21" t="str">
        <f t="shared" si="360"/>
        <v/>
      </c>
      <c r="D182" s="48"/>
      <c r="E182" s="21" t="str">
        <f t="shared" si="361"/>
        <v/>
      </c>
      <c r="F182" s="21" t="str">
        <f t="shared" si="361"/>
        <v/>
      </c>
      <c r="G182" s="21" t="str">
        <f t="shared" si="361"/>
        <v/>
      </c>
      <c r="H182" s="21"/>
      <c r="I182" s="21" t="str">
        <f t="shared" si="361"/>
        <v/>
      </c>
      <c r="J182" s="118" t="str">
        <f t="shared" si="366"/>
        <v>TFHCV6</v>
      </c>
      <c r="K182" s="9" t="e">
        <f>#REF!</f>
        <v>#REF!</v>
      </c>
      <c r="L182" s="9" t="e" cm="1">
        <f t="array" ref="L182">IF(L$174=-1,M182,IF(L$174=99,K182,IF(L$174=0,INDEX($F55:$N55,0,L$172),(INDEX($F55:$N55,0,L$174+1)-INDEX($F55:$N55,0,L$174))/(INDEX($F$4:$N$4,0,L$174+1)-INDEX($F$4:$N$4,0,L$174))+K182)))</f>
        <v>#REF!</v>
      </c>
      <c r="M182" s="9" t="e" cm="1">
        <f t="array" ref="M182">IF(M$174=-1,P182,IF(M$174=99,L182,IF(M$174=0,INDEX($F55:$N55,0,M$172),(INDEX($F55:$N55,0,M$174+1)-INDEX($F55:$N55,0,M$174))/(INDEX($F$4:$N$4,0,M$174+1)-INDEX($F$4:$N$4,0,M$174))+L182)))</f>
        <v>#REF!</v>
      </c>
      <c r="N182" s="9" t="e" cm="1">
        <f t="array" ref="N182">IF(N$174=-1,O182,IF(N$174=99,K182,IF(N$174=0,INDEX($F55:$N55,0,N$172),(INDEX($F55:$N55,0,N$174+1)-INDEX($F55:$N55,0,N$174))/(INDEX($F$4:$N$4,0,N$174+1)-INDEX($F$4:$N$4,0,N$174))+K182)))</f>
        <v>#REF!</v>
      </c>
      <c r="O182" s="9" t="e" cm="1">
        <f t="array" ref="O182">IF(O$174=-1,P182,IF(O$174=99,L182,IF(O$174=0,INDEX($F55:$N55,0,O$172),(INDEX($F55:$N55,0,O$174+1)-INDEX($F55:$N55,0,O$174))/(INDEX($F$4:$N$4,0,O$174+1)-INDEX($F$4:$N$4,0,O$174))+L182)))</f>
        <v>#REF!</v>
      </c>
      <c r="P182" s="9" t="e" cm="1">
        <f t="array" ref="P182">IF(P$174=-1,Q182,IF(P$174=99,M182,IF(P$174=0,INDEX($F55:$N55,0,P$172),(INDEX($F55:$N55,0,P$174+1)-INDEX($F55:$N55,0,P$174))/(INDEX($F$4:$N$4,0,P$174+1)-INDEX($F$4:$N$4,0,P$174))+M182)))</f>
        <v>#REF!</v>
      </c>
      <c r="Q182" s="9" t="e" cm="1">
        <f t="array" ref="Q182">IF(Q$174=-1,R182,IF(Q$174=99,P182,IF(Q$174=0,INDEX($F55:$N55,0,Q$172),(INDEX($F55:$N55,0,Q$174+1)-INDEX($F55:$N55,0,Q$174))/(INDEX($F$4:$N$4,0,Q$174+1)-INDEX($F$4:$N$4,0,Q$174))+P182)))</f>
        <v>#REF!</v>
      </c>
      <c r="R182" s="9" cm="1">
        <f t="array" ref="R182">IF(R$174=-1,S182,IF(R$174=99,Q182,IF(R$174=0,INDEX($F55:$N55,0,R$172),(INDEX($F55:$N55,0,R$174+1)-INDEX($F55:$N55,0,R$174))/(INDEX($F$4:$N$4,0,R$174+1)-INDEX($F$4:$N$4,0,R$174))+Q182)))</f>
        <v>130.05107807184956</v>
      </c>
      <c r="S182" s="9" cm="1">
        <f t="array" ref="S182">IF(S$174=-1,T182,IF(S$174=99,R182,IF(S$174=0,INDEX($F55:$N55,0,S$172),(INDEX($F55:$N55,0,S$174+1)-INDEX($F55:$N55,0,S$174))/(INDEX($F$4:$N$4,0,S$174+1)-INDEX($F$4:$N$4,0,S$174))+R182)))</f>
        <v>132.38838324884392</v>
      </c>
      <c r="T182" s="9" cm="1">
        <f t="array" ref="T182">IF(T$174=-1,U182,IF(T$174=99,S182,IF(T$174=0,INDEX($F55:$N55,0,T$172),(INDEX($F55:$N55,0,T$174+1)-INDEX($F55:$N55,0,T$174))/(INDEX($F$4:$N$4,0,T$174+1)-INDEX($F$4:$N$4,0,T$174))+S182)))</f>
        <v>134.72568842583829</v>
      </c>
      <c r="U182" s="9" cm="1">
        <f t="array" ref="U182">IF(U$174=-1,V182,IF(U$174=99,T182,IF(U$174=0,INDEX($F55:$N55,0,U$172),(INDEX($F55:$N55,0,U$174+1)-INDEX($F55:$N55,0,U$174))/(INDEX($F$4:$N$4,0,U$174+1)-INDEX($F$4:$N$4,0,U$174))+T182)))</f>
        <v>131.01589429361536</v>
      </c>
      <c r="V182" s="9" cm="1">
        <f t="array" ref="V182">IF(V$174=-1,W182,IF(V$174=99,U182,IF(V$174=0,INDEX($F55:$N55,0,V$172),(INDEX($F55:$N55,0,V$174+1)-INDEX($F55:$N55,0,V$174))/(INDEX($F$4:$N$4,0,V$174+1)-INDEX($F$4:$N$4,0,V$174))+U182)))</f>
        <v>138.27526640235746</v>
      </c>
      <c r="W182" s="9" cm="1">
        <f t="array" ref="W182">IF(W$174=-1,Z182,IF(W$174=99,V182,IF(W$174=0,INDEX($F55:$N55,0,W$172),(INDEX($F55:$N55,0,W$174+1)-INDEX($F55:$N55,0,W$174))/(INDEX($F$4:$N$4,0,W$174+1)-INDEX($F$4:$N$4,0,W$174))+V182)))</f>
        <v>141.19268230285306</v>
      </c>
      <c r="X182" s="9" cm="1">
        <f t="array" ref="X182">IF(X$174=-1,Y182,IF(X$174=99,U182,IF(X$174=0,INDEX($F55:$N55,0,X$172),(INDEX($F55:$N55,0,X$174+1)-INDEX($F55:$N55,0,X$174))/(INDEX($F$4:$N$4,0,X$174+1)-INDEX($F$4:$N$4,0,X$174))+U182)))</f>
        <v>138.27526640235746</v>
      </c>
      <c r="Y182" s="9" cm="1">
        <f t="array" ref="Y182">IF(Y$174=-1,Z182,IF(Y$174=99,V182,IF(Y$174=0,INDEX($F55:$N55,0,Y$172),(INDEX($F55:$N55,0,Y$174+1)-INDEX($F55:$N55,0,Y$174))/(INDEX($F$4:$N$4,0,Y$174+1)-INDEX($F$4:$N$4,0,Y$174))+V182)))</f>
        <v>141.19268230285306</v>
      </c>
      <c r="Z182" s="9" cm="1">
        <f t="array" ref="Z182">IF(Z$174=-1,AA182,IF(Z$174=99,W182,IF(Z$174=0,INDEX($F55:$N55,0,Z$172),(INDEX($F55:$N55,0,Z$174+1)-INDEX($F55:$N55,0,Z$174))/(INDEX($F$4:$N$4,0,Z$174+1)-INDEX($F$4:$N$4,0,Z$174))+W182)))</f>
        <v>144.11009820334866</v>
      </c>
      <c r="AA182" s="9" cm="1">
        <f t="array" ref="AA182">IF(AA$174=-1,AB182,IF(AA$174=99,Z182,IF(AA$174=0,INDEX($F55:$N55,0,AA$172),(INDEX($F55:$N55,0,AA$174+1)-INDEX($F55:$N55,0,AA$174))/(INDEX($F$4:$N$4,0,AA$174+1)-INDEX($F$4:$N$4,0,AA$174))+Z182)))</f>
        <v>147.02751410384425</v>
      </c>
      <c r="AB182" s="9" cm="1">
        <f t="array" ref="AB182">IF(AB$174=-1,AC182,IF(AB$174=99,AA182,IF(AB$174=0,INDEX($F55:$N55,0,AB$172),(INDEX($F55:$N55,0,AB$174+1)-INDEX($F55:$N55,0,AB$174))/(INDEX($F$4:$N$4,0,AB$174+1)-INDEX($F$4:$N$4,0,AB$174))+AA182)))</f>
        <v>149.94493000433985</v>
      </c>
      <c r="AC182" s="9" cm="1">
        <f t="array" ref="AC182">IF(AC$174=-1,AD182,IF(AC$174=99,AB182,IF(AC$174=0,INDEX($F55:$N55,0,AC$172),(INDEX($F55:$N55,0,AC$174+1)-INDEX($F55:$N55,0,AC$174))/(INDEX($F$4:$N$4,0,AC$174+1)-INDEX($F$4:$N$4,0,AC$174))+AB182)))</f>
        <v>152.86234590483545</v>
      </c>
      <c r="AD182" s="9" cm="1">
        <f t="array" ref="AD182">IF(AD$174=-1,AE182,IF(AD$174=99,AC182,IF(AD$174=0,INDEX($F55:$N55,0,AD$172),(INDEX($F55:$N55,0,AD$174+1)-INDEX($F55:$N55,0,AD$174))/(INDEX($F$4:$N$4,0,AD$174+1)-INDEX($F$4:$N$4,0,AD$174))+AC182)))</f>
        <v>155.77976180533105</v>
      </c>
      <c r="AE182" s="9" cm="1">
        <f t="array" ref="AE182">IF(AE$174=-1,AF182,IF(AE$174=99,AD182,IF(AE$174=0,INDEX($F55:$N55,0,AE$172),(INDEX($F55:$N55,0,AE$174+1)-INDEX($F55:$N55,0,AE$174))/(INDEX($F$4:$N$4,0,AE$174+1)-INDEX($F$4:$N$4,0,AE$174))+AD182)))</f>
        <v>158.69717770582665</v>
      </c>
      <c r="AF182" s="9" cm="1">
        <f t="array" ref="AF182">IF(AF$174=-1,AG182,IF(AF$174=99,AE182,IF(AF$174=0,INDEX($F55:$N55,0,AF$172),(INDEX($F55:$N55,0,AF$174+1)-INDEX($F55:$N55,0,AF$174))/(INDEX($F$4:$N$4,0,AF$174+1)-INDEX($F$4:$N$4,0,AF$174))+AE182)))</f>
        <v>161.61459360632225</v>
      </c>
      <c r="AG182" s="9" cm="1">
        <f t="array" ref="AG182">IF(AG$174=-1,AJ182,IF(AG$174=99,AF182,IF(AG$174=0,INDEX($F55:$N55,0,AG$172),(INDEX($F55:$N55,0,AG$174+1)-INDEX($F55:$N55,0,AG$174))/(INDEX($F$4:$N$4,0,AG$174+1)-INDEX($F$4:$N$4,0,AG$174))+AF182)))</f>
        <v>164.53200950681796</v>
      </c>
      <c r="AH182" s="9" cm="1">
        <f t="array" ref="AH182">IF(AH$174=-1,AI182,IF(AH$174=99,AE182,IF(AH$174=0,INDEX($F55:$N55,0,AH$172),(INDEX($F55:$N55,0,AH$174+1)-INDEX($F55:$N55,0,AH$174))/(INDEX($F$4:$N$4,0,AH$174+1)-INDEX($F$4:$N$4,0,AH$174))+AE182)))</f>
        <v>161.61459360632225</v>
      </c>
      <c r="AI182" s="9" cm="1">
        <f t="array" ref="AI182">IF(AI$174=-1,AJ182,IF(AI$174=99,AF182,IF(AI$174=0,INDEX($F55:$N55,0,AI$172),(INDEX($F55:$N55,0,AI$174+1)-INDEX($F55:$N55,0,AI$174))/(INDEX($F$4:$N$4,0,AI$174+1)-INDEX($F$4:$N$4,0,AI$174))+AF182)))</f>
        <v>164.53200950681796</v>
      </c>
      <c r="AJ182" s="9" cm="1">
        <f t="array" ref="AJ182">IF(AJ$174=-1,AK182,IF(AJ$174=99,AG182,IF(AJ$174=0,INDEX($F55:$N55,0,AJ$172),(INDEX($F55:$N55,0,AJ$174+1)-INDEX($F55:$N55,0,AJ$174))/(INDEX($F$4:$N$4,0,AJ$174+1)-INDEX($F$4:$N$4,0,AJ$174))+AG182)))</f>
        <v>169.60929678975151</v>
      </c>
      <c r="AK182" s="9" cm="1">
        <f t="array" ref="AK182">IF(AK$174=-1,AL182,IF(AK$174=99,AJ182,IF(AK$174=0,INDEX($F55:$N55,0,AK$172),(INDEX($F55:$N55,0,AK$174+1)-INDEX($F55:$N55,0,AK$174))/(INDEX($F$4:$N$4,0,AK$174+1)-INDEX($F$4:$N$4,0,AK$174))+AJ182)))</f>
        <v>174.68658407268506</v>
      </c>
      <c r="AL182" s="9" cm="1">
        <f t="array" ref="AL182">IF(AL$174=-1,AM182,IF(AL$174=99,AK182,IF(AL$174=0,INDEX($F55:$N55,0,AL$172),(INDEX($F55:$N55,0,AL$174+1)-INDEX($F55:$N55,0,AL$174))/(INDEX($F$4:$N$4,0,AL$174+1)-INDEX($F$4:$N$4,0,AL$174))+AK182)))</f>
        <v>179.76387135561862</v>
      </c>
      <c r="AM182" s="9" cm="1">
        <f t="array" ref="AM182">IF(AM$174=-1,AN182,IF(AM$174=99,AL182,IF(AM$174=0,INDEX($F55:$N55,0,AM$172),(INDEX($F55:$N55,0,AM$174+1)-INDEX($F55:$N55,0,AM$174))/(INDEX($F$4:$N$4,0,AM$174+1)-INDEX($F$4:$N$4,0,AM$174))+AL182)))</f>
        <v>184.84115863855217</v>
      </c>
      <c r="AN182" s="9" cm="1">
        <f t="array" ref="AN182">IF(AN$174=-1,AO182,IF(AN$174=99,AM182,IF(AN$174=0,INDEX($F55:$N55,0,AN$172),(INDEX($F55:$N55,0,AN$174+1)-INDEX($F55:$N55,0,AN$174))/(INDEX($F$4:$N$4,0,AN$174+1)-INDEX($F$4:$N$4,0,AN$174))+AM182)))</f>
        <v>189.91844592148573</v>
      </c>
      <c r="AO182" s="9" cm="1">
        <f t="array" ref="AO182">IF(AO$174=-1,AP182,IF(AO$174=99,AN182,IF(AO$174=0,INDEX($F55:$N55,0,AO$172),(INDEX($F55:$N55,0,AO$174+1)-INDEX($F55:$N55,0,AO$174))/(INDEX($F$4:$N$4,0,AO$174+1)-INDEX($F$4:$N$4,0,AO$174))+AN182)))</f>
        <v>194.99573320441928</v>
      </c>
      <c r="AP182" s="9" cm="1">
        <f t="array" ref="AP182">IF(AP$174=-1,AQ182,IF(AP$174=99,AO182,IF(AP$174=0,INDEX($F55:$N55,0,AP$172),(INDEX($F55:$N55,0,AP$174+1)-INDEX($F55:$N55,0,AP$174))/(INDEX($F$4:$N$4,0,AP$174+1)-INDEX($F$4:$N$4,0,AP$174))+AO182)))</f>
        <v>200.07302048735284</v>
      </c>
      <c r="AQ182" s="9" cm="1">
        <f t="array" ref="AQ182">IF(AQ$174=-1,AR182,IF(AQ$174=99,AP182,IF(AQ$174=0,INDEX($F55:$N55,0,AQ$172),(INDEX($F55:$N55,0,AQ$174+1)-INDEX($F55:$N55,0,AQ$174))/(INDEX($F$4:$N$4,0,AQ$174+1)-INDEX($F$4:$N$4,0,AQ$174))+AP182)))</f>
        <v>205.15030777028639</v>
      </c>
      <c r="AR182" s="9" cm="1">
        <f t="array" ref="AR182">IF(AR$174=-1,AS182,IF(AR$174=99,AQ182,IF(AR$174=0,INDEX($F55:$N55,0,AR$172),(INDEX($F55:$N55,0,AR$174+1)-INDEX($F55:$N55,0,AR$174))/(INDEX($F$4:$N$4,0,AR$174+1)-INDEX($F$4:$N$4,0,AR$174))+AQ182)))</f>
        <v>210.22759505321994</v>
      </c>
      <c r="AS182" s="9" cm="1">
        <f t="array" ref="AS182">IF(AS$174=-1,AT182,IF(AS$174=99,AR182,IF(AS$174=0,INDEX($F55:$N55,0,AS$172),(INDEX($F55:$N55,0,AS$174+1)-INDEX($F55:$N55,0,AS$174))/(INDEX($F$4:$N$4,0,AS$174+1)-INDEX($F$4:$N$4,0,AS$174))+AR182)))</f>
        <v>215.3048823361535</v>
      </c>
      <c r="AT182" s="9" cm="1">
        <f t="array" ref="AT182">IF(AT$174=-1,AU182,IF(AT$174=99,AS182,IF(AT$174=0,INDEX($F55:$N55,0,AT$172),(INDEX($F55:$N55,0,AT$174+1)-INDEX($F55:$N55,0,AT$174))/(INDEX($F$4:$N$4,0,AT$174+1)-INDEX($F$4:$N$4,0,AT$174))+AS182)))</f>
        <v>221.14490801955432</v>
      </c>
      <c r="AU182" s="9" cm="1">
        <f t="array" ref="AU182">IF(AU$174=-1,AV182,IF(AU$174=99,AT182,IF(AU$174=0,INDEX($F55:$N55,0,AU$172),(INDEX($F55:$N55,0,AU$174+1)-INDEX($F55:$N55,0,AU$174))/(INDEX($F$4:$N$4,0,AU$174+1)-INDEX($F$4:$N$4,0,AU$174))+AT182)))</f>
        <v>273.70513917016171</v>
      </c>
      <c r="AV182" s="9" cm="1">
        <f t="array" ref="AV182">IF(AV$174=-1,AW182,IF(AV$174=99,AU182,IF(AV$174=0,INDEX($F55:$N55,0,AV$172),(INDEX($F55:$N55,0,AV$174+1)-INDEX($F55:$N55,0,AV$174))/(INDEX($F$4:$N$4,0,AV$174+1)-INDEX($F$4:$N$4,0,AV$174))+AU182)))</f>
        <v>332.17799417868514</v>
      </c>
      <c r="AW182" s="9" cm="1">
        <f t="array" ref="AW182">IF(AW$174=-1,AX182,IF(AW$174=99,AV182,IF(AW$174=0,INDEX($F55:$N55,0,AW$172),(INDEX($F55:$N55,0,AW$174+1)-INDEX($F55:$N55,0,AW$174))/(INDEX($F$4:$N$4,0,AW$174+1)-INDEX($F$4:$N$4,0,AW$174))+AV182)))</f>
        <v>356.84642681415045</v>
      </c>
      <c r="BF182" s="9"/>
      <c r="BG182" s="9"/>
      <c r="BH182" s="9"/>
      <c r="BI182" s="9"/>
      <c r="BJ182" s="9"/>
      <c r="BK182" s="9"/>
    </row>
    <row r="183" spans="1:63" ht="15">
      <c r="A183" t="s">
        <v>16</v>
      </c>
      <c r="B183" s="20" t="str">
        <f t="shared" si="359"/>
        <v/>
      </c>
      <c r="C183" s="21" t="str">
        <f t="shared" si="360"/>
        <v/>
      </c>
      <c r="D183" s="48"/>
      <c r="E183" s="21" t="str">
        <f t="shared" si="361"/>
        <v/>
      </c>
      <c r="F183" s="21" t="str">
        <f t="shared" si="361"/>
        <v/>
      </c>
      <c r="G183" s="21" t="str">
        <f t="shared" si="361"/>
        <v/>
      </c>
      <c r="H183" s="21"/>
      <c r="I183" s="21" t="str">
        <f t="shared" si="361"/>
        <v/>
      </c>
      <c r="J183" s="118" t="str">
        <f t="shared" si="366"/>
        <v>TFHCV7</v>
      </c>
      <c r="K183" s="9" t="e">
        <f>#REF!</f>
        <v>#REF!</v>
      </c>
      <c r="L183" s="9" t="e" cm="1">
        <f t="array" ref="L183">IF(L$174=-1,M183,IF(L$174=99,K183,IF(L$174=0,INDEX($F56:$N56,0,L$172),(INDEX($F56:$N56,0,L$174+1)-INDEX($F56:$N56,0,L$174))/(INDEX($F$4:$N$4,0,L$174+1)-INDEX($F$4:$N$4,0,L$174))+K183)))</f>
        <v>#REF!</v>
      </c>
      <c r="M183" s="9" t="e" cm="1">
        <f t="array" ref="M183">IF(M$174=-1,P183,IF(M$174=99,L183,IF(M$174=0,INDEX($F56:$N56,0,M$172),(INDEX($F56:$N56,0,M$174+1)-INDEX($F56:$N56,0,M$174))/(INDEX($F$4:$N$4,0,M$174+1)-INDEX($F$4:$N$4,0,M$174))+L183)))</f>
        <v>#REF!</v>
      </c>
      <c r="N183" s="9" t="e" cm="1">
        <f t="array" ref="N183">IF(N$174=-1,O183,IF(N$174=99,K183,IF(N$174=0,INDEX($F56:$N56,0,N$172),(INDEX($F56:$N56,0,N$174+1)-INDEX($F56:$N56,0,N$174))/(INDEX($F$4:$N$4,0,N$174+1)-INDEX($F$4:$N$4,0,N$174))+K183)))</f>
        <v>#REF!</v>
      </c>
      <c r="O183" s="9" t="e" cm="1">
        <f t="array" ref="O183">IF(O$174=-1,P183,IF(O$174=99,L183,IF(O$174=0,INDEX($F56:$N56,0,O$172),(INDEX($F56:$N56,0,O$174+1)-INDEX($F56:$N56,0,O$174))/(INDEX($F$4:$N$4,0,O$174+1)-INDEX($F$4:$N$4,0,O$174))+L183)))</f>
        <v>#REF!</v>
      </c>
      <c r="P183" s="9" t="e" cm="1">
        <f t="array" ref="P183">IF(P$174=-1,Q183,IF(P$174=99,M183,IF(P$174=0,INDEX($F56:$N56,0,P$172),(INDEX($F56:$N56,0,P$174+1)-INDEX($F56:$N56,0,P$174))/(INDEX($F$4:$N$4,0,P$174+1)-INDEX($F$4:$N$4,0,P$174))+M183)))</f>
        <v>#REF!</v>
      </c>
      <c r="Q183" s="9" t="e" cm="1">
        <f t="array" ref="Q183">IF(Q$174=-1,R183,IF(Q$174=99,P183,IF(Q$174=0,INDEX($F56:$N56,0,Q$172),(INDEX($F56:$N56,0,Q$174+1)-INDEX($F56:$N56,0,Q$174))/(INDEX($F$4:$N$4,0,Q$174+1)-INDEX($F$4:$N$4,0,Q$174))+P183)))</f>
        <v>#REF!</v>
      </c>
      <c r="R183" s="9" cm="1">
        <f t="array" ref="R183">IF(R$174=-1,S183,IF(R$174=99,Q183,IF(R$174=0,INDEX($F56:$N56,0,R$172),(INDEX($F56:$N56,0,R$174+1)-INDEX($F56:$N56,0,R$174))/(INDEX($F$4:$N$4,0,R$174+1)-INDEX($F$4:$N$4,0,R$174))+Q183)))</f>
        <v>39.825760684889083</v>
      </c>
      <c r="S183" s="9" cm="1">
        <f t="array" ref="S183">IF(S$174=-1,T183,IF(S$174=99,R183,IF(S$174=0,INDEX($F56:$N56,0,S$172),(INDEX($F56:$N56,0,S$174+1)-INDEX($F56:$N56,0,S$174))/(INDEX($F$4:$N$4,0,S$174+1)-INDEX($F$4:$N$4,0,S$174))+R183)))</f>
        <v>40.073626745765331</v>
      </c>
      <c r="T183" s="9" cm="1">
        <f t="array" ref="T183">IF(T$174=-1,U183,IF(T$174=99,S183,IF(T$174=0,INDEX($F56:$N56,0,T$172),(INDEX($F56:$N56,0,T$174+1)-INDEX($F56:$N56,0,T$174))/(INDEX($F$4:$N$4,0,T$174+1)-INDEX($F$4:$N$4,0,T$174))+S183)))</f>
        <v>40.321492806641579</v>
      </c>
      <c r="U183" s="9" cm="1">
        <f t="array" ref="U183">IF(U$174=-1,V183,IF(U$174=99,T183,IF(U$174=0,INDEX($F56:$N56,0,U$172),(INDEX($F56:$N56,0,U$174+1)-INDEX($F56:$N56,0,U$174))/(INDEX($F$4:$N$4,0,U$174+1)-INDEX($F$4:$N$4,0,U$174))+T183)))</f>
        <v>38.822974157550945</v>
      </c>
      <c r="V183" s="9" cm="1">
        <f t="array" ref="V183">IF(V$174=-1,W183,IF(V$174=99,U183,IF(V$174=0,INDEX($F56:$N56,0,V$172),(INDEX($F56:$N56,0,V$174+1)-INDEX($F56:$N56,0,V$174))/(INDEX($F$4:$N$4,0,V$174+1)-INDEX($F$4:$N$4,0,V$174))+U183)))</f>
        <v>40.70540782137526</v>
      </c>
      <c r="W183" s="9" cm="1">
        <f t="array" ref="W183">IF(W$174=-1,Z183,IF(W$174=99,V183,IF(W$174=0,INDEX($F56:$N56,0,W$172),(INDEX($F56:$N56,0,W$174+1)-INDEX($F56:$N56,0,W$174))/(INDEX($F$4:$N$4,0,W$174+1)-INDEX($F$4:$N$4,0,W$174))+V183)))</f>
        <v>41.780908551773585</v>
      </c>
      <c r="X183" s="9" cm="1">
        <f t="array" ref="X183">IF(X$174=-1,Y183,IF(X$174=99,U183,IF(X$174=0,INDEX($F56:$N56,0,X$172),(INDEX($F56:$N56,0,X$174+1)-INDEX($F56:$N56,0,X$174))/(INDEX($F$4:$N$4,0,X$174+1)-INDEX($F$4:$N$4,0,X$174))+U183)))</f>
        <v>40.70540782137526</v>
      </c>
      <c r="Y183" s="9" cm="1">
        <f t="array" ref="Y183">IF(Y$174=-1,Z183,IF(Y$174=99,V183,IF(Y$174=0,INDEX($F56:$N56,0,Y$172),(INDEX($F56:$N56,0,Y$174+1)-INDEX($F56:$N56,0,Y$174))/(INDEX($F$4:$N$4,0,Y$174+1)-INDEX($F$4:$N$4,0,Y$174))+V183)))</f>
        <v>41.780908551773585</v>
      </c>
      <c r="Z183" s="9" cm="1">
        <f t="array" ref="Z183">IF(Z$174=-1,AA183,IF(Z$174=99,W183,IF(Z$174=0,INDEX($F56:$N56,0,Z$172),(INDEX($F56:$N56,0,Z$174+1)-INDEX($F56:$N56,0,Z$174))/(INDEX($F$4:$N$4,0,Z$174+1)-INDEX($F$4:$N$4,0,Z$174))+W183)))</f>
        <v>42.85640928217191</v>
      </c>
      <c r="AA183" s="9" cm="1">
        <f t="array" ref="AA183">IF(AA$174=-1,AB183,IF(AA$174=99,Z183,IF(AA$174=0,INDEX($F56:$N56,0,AA$172),(INDEX($F56:$N56,0,AA$174+1)-INDEX($F56:$N56,0,AA$174))/(INDEX($F$4:$N$4,0,AA$174+1)-INDEX($F$4:$N$4,0,AA$174))+Z183)))</f>
        <v>43.931910012570235</v>
      </c>
      <c r="AB183" s="9" cm="1">
        <f t="array" ref="AB183">IF(AB$174=-1,AC183,IF(AB$174=99,AA183,IF(AB$174=0,INDEX($F56:$N56,0,AB$172),(INDEX($F56:$N56,0,AB$174+1)-INDEX($F56:$N56,0,AB$174))/(INDEX($F$4:$N$4,0,AB$174+1)-INDEX($F$4:$N$4,0,AB$174))+AA183)))</f>
        <v>45.00741074296856</v>
      </c>
      <c r="AC183" s="9" cm="1">
        <f t="array" ref="AC183">IF(AC$174=-1,AD183,IF(AC$174=99,AB183,IF(AC$174=0,INDEX($F56:$N56,0,AC$172),(INDEX($F56:$N56,0,AC$174+1)-INDEX($F56:$N56,0,AC$174))/(INDEX($F$4:$N$4,0,AC$174+1)-INDEX($F$4:$N$4,0,AC$174))+AB183)))</f>
        <v>46.082911473366885</v>
      </c>
      <c r="AD183" s="9" cm="1">
        <f t="array" ref="AD183">IF(AD$174=-1,AE183,IF(AD$174=99,AC183,IF(AD$174=0,INDEX($F56:$N56,0,AD$172),(INDEX($F56:$N56,0,AD$174+1)-INDEX($F56:$N56,0,AD$174))/(INDEX($F$4:$N$4,0,AD$174+1)-INDEX($F$4:$N$4,0,AD$174))+AC183)))</f>
        <v>47.158412203765209</v>
      </c>
      <c r="AE183" s="9" cm="1">
        <f t="array" ref="AE183">IF(AE$174=-1,AF183,IF(AE$174=99,AD183,IF(AE$174=0,INDEX($F56:$N56,0,AE$172),(INDEX($F56:$N56,0,AE$174+1)-INDEX($F56:$N56,0,AE$174))/(INDEX($F$4:$N$4,0,AE$174+1)-INDEX($F$4:$N$4,0,AE$174))+AD183)))</f>
        <v>48.233912934163534</v>
      </c>
      <c r="AF183" s="9" cm="1">
        <f t="array" ref="AF183">IF(AF$174=-1,AG183,IF(AF$174=99,AE183,IF(AF$174=0,INDEX($F56:$N56,0,AF$172),(INDEX($F56:$N56,0,AF$174+1)-INDEX($F56:$N56,0,AF$174))/(INDEX($F$4:$N$4,0,AF$174+1)-INDEX($F$4:$N$4,0,AF$174))+AE183)))</f>
        <v>49.309413664561859</v>
      </c>
      <c r="AG183" s="9" cm="1">
        <f t="array" ref="AG183">IF(AG$174=-1,AJ183,IF(AG$174=99,AF183,IF(AG$174=0,INDEX($F56:$N56,0,AG$172),(INDEX($F56:$N56,0,AG$174+1)-INDEX($F56:$N56,0,AG$174))/(INDEX($F$4:$N$4,0,AG$174+1)-INDEX($F$4:$N$4,0,AG$174))+AF183)))</f>
        <v>50.384914394960212</v>
      </c>
      <c r="AH183" s="9" cm="1">
        <f t="array" ref="AH183">IF(AH$174=-1,AI183,IF(AH$174=99,AE183,IF(AH$174=0,INDEX($F56:$N56,0,AH$172),(INDEX($F56:$N56,0,AH$174+1)-INDEX($F56:$N56,0,AH$174))/(INDEX($F$4:$N$4,0,AH$174+1)-INDEX($F$4:$N$4,0,AH$174))+AE183)))</f>
        <v>49.309413664561859</v>
      </c>
      <c r="AI183" s="9" cm="1">
        <f t="array" ref="AI183">IF(AI$174=-1,AJ183,IF(AI$174=99,AF183,IF(AI$174=0,INDEX($F56:$N56,0,AI$172),(INDEX($F56:$N56,0,AI$174+1)-INDEX($F56:$N56,0,AI$174))/(INDEX($F$4:$N$4,0,AI$174+1)-INDEX($F$4:$N$4,0,AI$174))+AF183)))</f>
        <v>50.384914394960212</v>
      </c>
      <c r="AJ183" s="9" cm="1">
        <f t="array" ref="AJ183">IF(AJ$174=-1,AK183,IF(AJ$174=99,AG183,IF(AJ$174=0,INDEX($F56:$N56,0,AJ$172),(INDEX($F56:$N56,0,AJ$174+1)-INDEX($F56:$N56,0,AJ$174))/(INDEX($F$4:$N$4,0,AJ$174+1)-INDEX($F$4:$N$4,0,AJ$174))+AG183)))</f>
        <v>51.939740631362717</v>
      </c>
      <c r="AK183" s="9" cm="1">
        <f t="array" ref="AK183">IF(AK$174=-1,AL183,IF(AK$174=99,AJ183,IF(AK$174=0,INDEX($F56:$N56,0,AK$172),(INDEX($F56:$N56,0,AK$174+1)-INDEX($F56:$N56,0,AK$174))/(INDEX($F$4:$N$4,0,AK$174+1)-INDEX($F$4:$N$4,0,AK$174))+AJ183)))</f>
        <v>53.494566867765222</v>
      </c>
      <c r="AL183" s="9" cm="1">
        <f t="array" ref="AL183">IF(AL$174=-1,AM183,IF(AL$174=99,AK183,IF(AL$174=0,INDEX($F56:$N56,0,AL$172),(INDEX($F56:$N56,0,AL$174+1)-INDEX($F56:$N56,0,AL$174))/(INDEX($F$4:$N$4,0,AL$174+1)-INDEX($F$4:$N$4,0,AL$174))+AK183)))</f>
        <v>55.049393104167727</v>
      </c>
      <c r="AM183" s="9" cm="1">
        <f t="array" ref="AM183">IF(AM$174=-1,AN183,IF(AM$174=99,AL183,IF(AM$174=0,INDEX($F56:$N56,0,AM$172),(INDEX($F56:$N56,0,AM$174+1)-INDEX($F56:$N56,0,AM$174))/(INDEX($F$4:$N$4,0,AM$174+1)-INDEX($F$4:$N$4,0,AM$174))+AL183)))</f>
        <v>56.604219340570232</v>
      </c>
      <c r="AN183" s="9" cm="1">
        <f t="array" ref="AN183">IF(AN$174=-1,AO183,IF(AN$174=99,AM183,IF(AN$174=0,INDEX($F56:$N56,0,AN$172),(INDEX($F56:$N56,0,AN$174+1)-INDEX($F56:$N56,0,AN$174))/(INDEX($F$4:$N$4,0,AN$174+1)-INDEX($F$4:$N$4,0,AN$174))+AM183)))</f>
        <v>58.159045576972737</v>
      </c>
      <c r="AO183" s="9" cm="1">
        <f t="array" ref="AO183">IF(AO$174=-1,AP183,IF(AO$174=99,AN183,IF(AO$174=0,INDEX($F56:$N56,0,AO$172),(INDEX($F56:$N56,0,AO$174+1)-INDEX($F56:$N56,0,AO$174))/(INDEX($F$4:$N$4,0,AO$174+1)-INDEX($F$4:$N$4,0,AO$174))+AN183)))</f>
        <v>59.713871813375242</v>
      </c>
      <c r="AP183" s="9" cm="1">
        <f t="array" ref="AP183">IF(AP$174=-1,AQ183,IF(AP$174=99,AO183,IF(AP$174=0,INDEX($F56:$N56,0,AP$172),(INDEX($F56:$N56,0,AP$174+1)-INDEX($F56:$N56,0,AP$174))/(INDEX($F$4:$N$4,0,AP$174+1)-INDEX($F$4:$N$4,0,AP$174))+AO183)))</f>
        <v>61.268698049777747</v>
      </c>
      <c r="AQ183" s="9" cm="1">
        <f t="array" ref="AQ183">IF(AQ$174=-1,AR183,IF(AQ$174=99,AP183,IF(AQ$174=0,INDEX($F56:$N56,0,AQ$172),(INDEX($F56:$N56,0,AQ$174+1)-INDEX($F56:$N56,0,AQ$174))/(INDEX($F$4:$N$4,0,AQ$174+1)-INDEX($F$4:$N$4,0,AQ$174))+AP183)))</f>
        <v>62.823524286180252</v>
      </c>
      <c r="AR183" s="9" cm="1">
        <f t="array" ref="AR183">IF(AR$174=-1,AS183,IF(AR$174=99,AQ183,IF(AR$174=0,INDEX($F56:$N56,0,AR$172),(INDEX($F56:$N56,0,AR$174+1)-INDEX($F56:$N56,0,AR$174))/(INDEX($F$4:$N$4,0,AR$174+1)-INDEX($F$4:$N$4,0,AR$174))+AQ183)))</f>
        <v>64.378350522582764</v>
      </c>
      <c r="AS183" s="9" cm="1">
        <f t="array" ref="AS183">IF(AS$174=-1,AT183,IF(AS$174=99,AR183,IF(AS$174=0,INDEX($F56:$N56,0,AS$172),(INDEX($F56:$N56,0,AS$174+1)-INDEX($F56:$N56,0,AS$174))/(INDEX($F$4:$N$4,0,AS$174+1)-INDEX($F$4:$N$4,0,AS$174))+AR183)))</f>
        <v>65.933176758985269</v>
      </c>
      <c r="AT183" s="9" cm="1">
        <f t="array" ref="AT183">IF(AT$174=-1,AU183,IF(AT$174=99,AS183,IF(AT$174=0,INDEX($F56:$N56,0,AT$172),(INDEX($F56:$N56,0,AT$174+1)-INDEX($F56:$N56,0,AT$174))/(INDEX($F$4:$N$4,0,AT$174+1)-INDEX($F$4:$N$4,0,AT$174))+AS183)))</f>
        <v>67.721577660454386</v>
      </c>
      <c r="AU183" s="9" cm="1">
        <f t="array" ref="AU183">IF(AU$174=-1,AV183,IF(AU$174=99,AT183,IF(AU$174=0,INDEX($F56:$N56,0,AU$172),(INDEX($F56:$N56,0,AU$174+1)-INDEX($F56:$N56,0,AU$174))/(INDEX($F$4:$N$4,0,AU$174+1)-INDEX($F$4:$N$4,0,AU$174))+AT183)))</f>
        <v>83.817185773676499</v>
      </c>
      <c r="AV183" s="9" cm="1">
        <f t="array" ref="AV183">IF(AV$174=-1,AW183,IF(AV$174=99,AU183,IF(AV$174=0,INDEX($F56:$N56,0,AV$172),(INDEX($F56:$N56,0,AV$174+1)-INDEX($F56:$N56,0,AV$174))/(INDEX($F$4:$N$4,0,AV$174+1)-INDEX($F$4:$N$4,0,AV$174))+AU183)))</f>
        <v>101.7234266496277</v>
      </c>
      <c r="AW183" s="9" cm="1">
        <f t="array" ref="AW183">IF(AW$174=-1,AX183,IF(AW$174=99,AV183,IF(AW$174=0,INDEX($F56:$N56,0,AW$172),(INDEX($F56:$N56,0,AW$174+1)-INDEX($F56:$N56,0,AW$174))/(INDEX($F$4:$N$4,0,AW$174+1)-INDEX($F$4:$N$4,0,AW$174))+AV183)))</f>
        <v>109.27768232499072</v>
      </c>
      <c r="BF183" s="9"/>
      <c r="BG183" s="9"/>
      <c r="BH183" s="9"/>
      <c r="BI183" s="9"/>
      <c r="BJ183" s="9"/>
      <c r="BK183" s="9"/>
    </row>
    <row r="184" spans="1:63" ht="15">
      <c r="A184" t="s">
        <v>16</v>
      </c>
      <c r="B184" s="20" t="str">
        <f t="shared" si="359"/>
        <v/>
      </c>
      <c r="C184" s="21" t="str">
        <f t="shared" si="360"/>
        <v/>
      </c>
      <c r="D184" s="48"/>
      <c r="E184" s="21" t="str">
        <f t="shared" si="361"/>
        <v/>
      </c>
      <c r="F184" s="21" t="str">
        <f t="shared" si="361"/>
        <v/>
      </c>
      <c r="G184" s="21" t="str">
        <f t="shared" si="361"/>
        <v/>
      </c>
      <c r="H184" s="21"/>
      <c r="I184" s="21" t="str">
        <f t="shared" si="361"/>
        <v/>
      </c>
      <c r="J184" s="118" t="str">
        <f t="shared" si="366"/>
        <v>TFHCV8</v>
      </c>
      <c r="K184" s="9" t="e">
        <f>#REF!</f>
        <v>#REF!</v>
      </c>
      <c r="L184" s="9" t="e" cm="1">
        <f t="array" ref="L184">IF(L$174=-1,M184,IF(L$174=99,K184,IF(L$174=0,INDEX($F57:$N57,0,L$172),(INDEX($F57:$N57,0,L$174+1)-INDEX($F57:$N57,0,L$174))/(INDEX($F$4:$N$4,0,L$174+1)-INDEX($F$4:$N$4,0,L$174))+K184)))</f>
        <v>#REF!</v>
      </c>
      <c r="M184" s="9" t="e" cm="1">
        <f t="array" ref="M184">IF(M$174=-1,P184,IF(M$174=99,L184,IF(M$174=0,INDEX($F57:$N57,0,M$172),(INDEX($F57:$N57,0,M$174+1)-INDEX($F57:$N57,0,M$174))/(INDEX($F$4:$N$4,0,M$174+1)-INDEX($F$4:$N$4,0,M$174))+L184)))</f>
        <v>#REF!</v>
      </c>
      <c r="N184" s="9" t="e" cm="1">
        <f t="array" ref="N184">IF(N$174=-1,O184,IF(N$174=99,K184,IF(N$174=0,INDEX($F57:$N57,0,N$172),(INDEX($F57:$N57,0,N$174+1)-INDEX($F57:$N57,0,N$174))/(INDEX($F$4:$N$4,0,N$174+1)-INDEX($F$4:$N$4,0,N$174))+K184)))</f>
        <v>#REF!</v>
      </c>
      <c r="O184" s="9" t="e" cm="1">
        <f t="array" ref="O184">IF(O$174=-1,P184,IF(O$174=99,L184,IF(O$174=0,INDEX($F57:$N57,0,O$172),(INDEX($F57:$N57,0,O$174+1)-INDEX($F57:$N57,0,O$174))/(INDEX($F$4:$N$4,0,O$174+1)-INDEX($F$4:$N$4,0,O$174))+L184)))</f>
        <v>#REF!</v>
      </c>
      <c r="P184" s="9" t="e" cm="1">
        <f t="array" ref="P184">IF(P$174=-1,Q184,IF(P$174=99,M184,IF(P$174=0,INDEX($F57:$N57,0,P$172),(INDEX($F57:$N57,0,P$174+1)-INDEX($F57:$N57,0,P$174))/(INDEX($F$4:$N$4,0,P$174+1)-INDEX($F$4:$N$4,0,P$174))+M184)))</f>
        <v>#REF!</v>
      </c>
      <c r="Q184" s="9" t="e" cm="1">
        <f t="array" ref="Q184">IF(Q$174=-1,R184,IF(Q$174=99,P184,IF(Q$174=0,INDEX($F57:$N57,0,Q$172),(INDEX($F57:$N57,0,Q$174+1)-INDEX($F57:$N57,0,Q$174))/(INDEX($F$4:$N$4,0,Q$174+1)-INDEX($F$4:$N$4,0,Q$174))+P184)))</f>
        <v>#REF!</v>
      </c>
      <c r="R184" s="9" cm="1">
        <f t="array" ref="R184">IF(R$174=-1,S184,IF(R$174=99,Q184,IF(R$174=0,INDEX($F57:$N57,0,R$172),(INDEX($F57:$N57,0,R$174+1)-INDEX($F57:$N57,0,R$174))/(INDEX($F$4:$N$4,0,R$174+1)-INDEX($F$4:$N$4,0,R$174))+Q184)))</f>
        <v>2.2490953086010257</v>
      </c>
      <c r="S184" s="9" cm="1">
        <f t="array" ref="S184">IF(S$174=-1,T184,IF(S$174=99,R184,IF(S$174=0,INDEX($F57:$N57,0,S$172),(INDEX($F57:$N57,0,S$174+1)-INDEX($F57:$N57,0,S$174))/(INDEX($F$4:$N$4,0,S$174+1)-INDEX($F$4:$N$4,0,S$174))+R184)))</f>
        <v>2.2630931427940508</v>
      </c>
      <c r="T184" s="9" cm="1">
        <f t="array" ref="T184">IF(T$174=-1,U184,IF(T$174=99,S184,IF(T$174=0,INDEX($F57:$N57,0,T$172),(INDEX($F57:$N57,0,T$174+1)-INDEX($F57:$N57,0,T$174))/(INDEX($F$4:$N$4,0,T$174+1)-INDEX($F$4:$N$4,0,T$174))+S184)))</f>
        <v>2.2770909769870764</v>
      </c>
      <c r="U184" s="9" cm="1">
        <f t="array" ref="U184">IF(U$174=-1,V184,IF(U$174=99,T184,IF(U$174=0,INDEX($F57:$N57,0,U$172),(INDEX($F57:$N57,0,U$174+1)-INDEX($F57:$N57,0,U$174))/(INDEX($F$4:$N$4,0,U$174+1)-INDEX($F$4:$N$4,0,U$174))+T184)))</f>
        <v>2.1924645641939198</v>
      </c>
      <c r="V184" s="9" cm="1">
        <f t="array" ref="V184">IF(V$174=-1,W184,IF(V$174=99,U184,IF(V$174=0,INDEX($F57:$N57,0,V$172),(INDEX($F57:$N57,0,V$174+1)-INDEX($F57:$N57,0,V$174))/(INDEX($F$4:$N$4,0,V$174+1)-INDEX($F$4:$N$4,0,V$174))+U184)))</f>
        <v>2.298771955421385</v>
      </c>
      <c r="W184" s="9" cm="1">
        <f t="array" ref="W184">IF(W$174=-1,Z184,IF(W$174=99,V184,IF(W$174=0,INDEX($F57:$N57,0,W$172),(INDEX($F57:$N57,0,W$174+1)-INDEX($F57:$N57,0,W$174))/(INDEX($F$4:$N$4,0,W$174+1)-INDEX($F$4:$N$4,0,W$174))+V184)))</f>
        <v>2.3595091166340683</v>
      </c>
      <c r="X184" s="9" cm="1">
        <f t="array" ref="X184">IF(X$174=-1,Y184,IF(X$174=99,U184,IF(X$174=0,INDEX($F57:$N57,0,X$172),(INDEX($F57:$N57,0,X$174+1)-INDEX($F57:$N57,0,X$174))/(INDEX($F$4:$N$4,0,X$174+1)-INDEX($F$4:$N$4,0,X$174))+U184)))</f>
        <v>2.298771955421385</v>
      </c>
      <c r="Y184" s="9" cm="1">
        <f t="array" ref="Y184">IF(Y$174=-1,Z184,IF(Y$174=99,V184,IF(Y$174=0,INDEX($F57:$N57,0,Y$172),(INDEX($F57:$N57,0,Y$174+1)-INDEX($F57:$N57,0,Y$174))/(INDEX($F$4:$N$4,0,Y$174+1)-INDEX($F$4:$N$4,0,Y$174))+V184)))</f>
        <v>2.3595091166340683</v>
      </c>
      <c r="Z184" s="9" cm="1">
        <f t="array" ref="Z184">IF(Z$174=-1,AA184,IF(Z$174=99,W184,IF(Z$174=0,INDEX($F57:$N57,0,Z$172),(INDEX($F57:$N57,0,Z$174+1)-INDEX($F57:$N57,0,Z$174))/(INDEX($F$4:$N$4,0,Z$174+1)-INDEX($F$4:$N$4,0,Z$174))+W184)))</f>
        <v>2.4202462778467515</v>
      </c>
      <c r="AA184" s="9" cm="1">
        <f t="array" ref="AA184">IF(AA$174=-1,AB184,IF(AA$174=99,Z184,IF(AA$174=0,INDEX($F57:$N57,0,AA$172),(INDEX($F57:$N57,0,AA$174+1)-INDEX($F57:$N57,0,AA$174))/(INDEX($F$4:$N$4,0,AA$174+1)-INDEX($F$4:$N$4,0,AA$174))+Z184)))</f>
        <v>2.4809834390594347</v>
      </c>
      <c r="AB184" s="9" cm="1">
        <f t="array" ref="AB184">IF(AB$174=-1,AC184,IF(AB$174=99,AA184,IF(AB$174=0,INDEX($F57:$N57,0,AB$172),(INDEX($F57:$N57,0,AB$174+1)-INDEX($F57:$N57,0,AB$174))/(INDEX($F$4:$N$4,0,AB$174+1)-INDEX($F$4:$N$4,0,AB$174))+AA184)))</f>
        <v>2.541720600272118</v>
      </c>
      <c r="AC184" s="9" cm="1">
        <f t="array" ref="AC184">IF(AC$174=-1,AD184,IF(AC$174=99,AB184,IF(AC$174=0,INDEX($F57:$N57,0,AC$172),(INDEX($F57:$N57,0,AC$174+1)-INDEX($F57:$N57,0,AC$174))/(INDEX($F$4:$N$4,0,AC$174+1)-INDEX($F$4:$N$4,0,AC$174))+AB184)))</f>
        <v>2.6024577614848012</v>
      </c>
      <c r="AD184" s="9" cm="1">
        <f t="array" ref="AD184">IF(AD$174=-1,AE184,IF(AD$174=99,AC184,IF(AD$174=0,INDEX($F57:$N57,0,AD$172),(INDEX($F57:$N57,0,AD$174+1)-INDEX($F57:$N57,0,AD$174))/(INDEX($F$4:$N$4,0,AD$174+1)-INDEX($F$4:$N$4,0,AD$174))+AC184)))</f>
        <v>2.6631949226974845</v>
      </c>
      <c r="AE184" s="9" cm="1">
        <f t="array" ref="AE184">IF(AE$174=-1,AF184,IF(AE$174=99,AD184,IF(AE$174=0,INDEX($F57:$N57,0,AE$172),(INDEX($F57:$N57,0,AE$174+1)-INDEX($F57:$N57,0,AE$174))/(INDEX($F$4:$N$4,0,AE$174+1)-INDEX($F$4:$N$4,0,AE$174))+AD184)))</f>
        <v>2.7239320839101677</v>
      </c>
      <c r="AF184" s="9" cm="1">
        <f t="array" ref="AF184">IF(AF$174=-1,AG184,IF(AF$174=99,AE184,IF(AF$174=0,INDEX($F57:$N57,0,AF$172),(INDEX($F57:$N57,0,AF$174+1)-INDEX($F57:$N57,0,AF$174))/(INDEX($F$4:$N$4,0,AF$174+1)-INDEX($F$4:$N$4,0,AF$174))+AE184)))</f>
        <v>2.784669245122851</v>
      </c>
      <c r="AG184" s="9" cm="1">
        <f t="array" ref="AG184">IF(AG$174=-1,AJ184,IF(AG$174=99,AF184,IF(AG$174=0,INDEX($F57:$N57,0,AG$172),(INDEX($F57:$N57,0,AG$174+1)-INDEX($F57:$N57,0,AG$174))/(INDEX($F$4:$N$4,0,AG$174+1)-INDEX($F$4:$N$4,0,AG$174))+AF184)))</f>
        <v>2.8454064063355355</v>
      </c>
      <c r="AH184" s="9" cm="1">
        <f t="array" ref="AH184">IF(AH$174=-1,AI184,IF(AH$174=99,AE184,IF(AH$174=0,INDEX($F57:$N57,0,AH$172),(INDEX($F57:$N57,0,AH$174+1)-INDEX($F57:$N57,0,AH$174))/(INDEX($F$4:$N$4,0,AH$174+1)-INDEX($F$4:$N$4,0,AH$174))+AE184)))</f>
        <v>2.784669245122851</v>
      </c>
      <c r="AI184" s="9" cm="1">
        <f t="array" ref="AI184">IF(AI$174=-1,AJ184,IF(AI$174=99,AF184,IF(AI$174=0,INDEX($F57:$N57,0,AI$172),(INDEX($F57:$N57,0,AI$174+1)-INDEX($F57:$N57,0,AI$174))/(INDEX($F$4:$N$4,0,AI$174+1)-INDEX($F$4:$N$4,0,AI$174))+AF184)))</f>
        <v>2.8454064063355355</v>
      </c>
      <c r="AJ184" s="9" cm="1">
        <f t="array" ref="AJ184">IF(AJ$174=-1,AK184,IF(AJ$174=99,AG184,IF(AJ$174=0,INDEX($F57:$N57,0,AJ$172),(INDEX($F57:$N57,0,AJ$174+1)-INDEX($F57:$N57,0,AJ$174))/(INDEX($F$4:$N$4,0,AJ$174+1)-INDEX($F$4:$N$4,0,AJ$174))+AG184)))</f>
        <v>2.9332126988920391</v>
      </c>
      <c r="AK184" s="9" cm="1">
        <f t="array" ref="AK184">IF(AK$174=-1,AL184,IF(AK$174=99,AJ184,IF(AK$174=0,INDEX($F57:$N57,0,AK$172),(INDEX($F57:$N57,0,AK$174+1)-INDEX($F57:$N57,0,AK$174))/(INDEX($F$4:$N$4,0,AK$174+1)-INDEX($F$4:$N$4,0,AK$174))+AJ184)))</f>
        <v>3.0210189914485426</v>
      </c>
      <c r="AL184" s="9" cm="1">
        <f t="array" ref="AL184">IF(AL$174=-1,AM184,IF(AL$174=99,AK184,IF(AL$174=0,INDEX($F57:$N57,0,AL$172),(INDEX($F57:$N57,0,AL$174+1)-INDEX($F57:$N57,0,AL$174))/(INDEX($F$4:$N$4,0,AL$174+1)-INDEX($F$4:$N$4,0,AL$174))+AK184)))</f>
        <v>3.1088252840050461</v>
      </c>
      <c r="AM184" s="9" cm="1">
        <f t="array" ref="AM184">IF(AM$174=-1,AN184,IF(AM$174=99,AL184,IF(AM$174=0,INDEX($F57:$N57,0,AM$172),(INDEX($F57:$N57,0,AM$174+1)-INDEX($F57:$N57,0,AM$174))/(INDEX($F$4:$N$4,0,AM$174+1)-INDEX($F$4:$N$4,0,AM$174))+AL184)))</f>
        <v>3.1966315765615496</v>
      </c>
      <c r="AN184" s="9" cm="1">
        <f t="array" ref="AN184">IF(AN$174=-1,AO184,IF(AN$174=99,AM184,IF(AN$174=0,INDEX($F57:$N57,0,AN$172),(INDEX($F57:$N57,0,AN$174+1)-INDEX($F57:$N57,0,AN$174))/(INDEX($F$4:$N$4,0,AN$174+1)-INDEX($F$4:$N$4,0,AN$174))+AM184)))</f>
        <v>3.2844378691180531</v>
      </c>
      <c r="AO184" s="9" cm="1">
        <f t="array" ref="AO184">IF(AO$174=-1,AP184,IF(AO$174=99,AN184,IF(AO$174=0,INDEX($F57:$N57,0,AO$172),(INDEX($F57:$N57,0,AO$174+1)-INDEX($F57:$N57,0,AO$174))/(INDEX($F$4:$N$4,0,AO$174+1)-INDEX($F$4:$N$4,0,AO$174))+AN184)))</f>
        <v>3.3722441616745567</v>
      </c>
      <c r="AP184" s="9" cm="1">
        <f t="array" ref="AP184">IF(AP$174=-1,AQ184,IF(AP$174=99,AO184,IF(AP$174=0,INDEX($F57:$N57,0,AP$172),(INDEX($F57:$N57,0,AP$174+1)-INDEX($F57:$N57,0,AP$174))/(INDEX($F$4:$N$4,0,AP$174+1)-INDEX($F$4:$N$4,0,AP$174))+AO184)))</f>
        <v>3.4600504542310602</v>
      </c>
      <c r="AQ184" s="9" cm="1">
        <f t="array" ref="AQ184">IF(AQ$174=-1,AR184,IF(AQ$174=99,AP184,IF(AQ$174=0,INDEX($F57:$N57,0,AQ$172),(INDEX($F57:$N57,0,AQ$174+1)-INDEX($F57:$N57,0,AQ$174))/(INDEX($F$4:$N$4,0,AQ$174+1)-INDEX($F$4:$N$4,0,AQ$174))+AP184)))</f>
        <v>3.5478567467875637</v>
      </c>
      <c r="AR184" s="9" cm="1">
        <f t="array" ref="AR184">IF(AR$174=-1,AS184,IF(AR$174=99,AQ184,IF(AR$174=0,INDEX($F57:$N57,0,AR$172),(INDEX($F57:$N57,0,AR$174+1)-INDEX($F57:$N57,0,AR$174))/(INDEX($F$4:$N$4,0,AR$174+1)-INDEX($F$4:$N$4,0,AR$174))+AQ184)))</f>
        <v>3.6356630393440672</v>
      </c>
      <c r="AS184" s="9" cm="1">
        <f t="array" ref="AS184">IF(AS$174=-1,AT184,IF(AS$174=99,AR184,IF(AS$174=0,INDEX($F57:$N57,0,AS$172),(INDEX($F57:$N57,0,AS$174+1)-INDEX($F57:$N57,0,AS$174))/(INDEX($F$4:$N$4,0,AS$174+1)-INDEX($F$4:$N$4,0,AS$174))+AR184)))</f>
        <v>3.7234693319005707</v>
      </c>
      <c r="AT184" s="9" cm="1">
        <f t="array" ref="AT184">IF(AT$174=-1,AU184,IF(AT$174=99,AS184,IF(AT$174=0,INDEX($F57:$N57,0,AT$172),(INDEX($F57:$N57,0,AT$174+1)-INDEX($F57:$N57,0,AT$174))/(INDEX($F$4:$N$4,0,AT$174+1)-INDEX($F$4:$N$4,0,AT$174))+AS184)))</f>
        <v>3.8244663752268067</v>
      </c>
      <c r="AU184" s="9" cm="1">
        <f t="array" ref="AU184">IF(AU$174=-1,AV184,IF(AU$174=99,AT184,IF(AU$174=0,INDEX($F57:$N57,0,AU$172),(INDEX($F57:$N57,0,AU$174+1)-INDEX($F57:$N57,0,AU$174))/(INDEX($F$4:$N$4,0,AU$174+1)-INDEX($F$4:$N$4,0,AU$174))+AT184)))</f>
        <v>4.7334397651629301</v>
      </c>
      <c r="AV184" s="9" cm="1">
        <f t="array" ref="AV184">IF(AV$174=-1,AW184,IF(AV$174=99,AU184,IF(AV$174=0,INDEX($F57:$N57,0,AV$172),(INDEX($F57:$N57,0,AV$174+1)-INDEX($F57:$N57,0,AV$174))/(INDEX($F$4:$N$4,0,AV$174+1)-INDEX($F$4:$N$4,0,AV$174))+AU184)))</f>
        <v>5.7446657067696734</v>
      </c>
      <c r="AW184" s="9" cm="1">
        <f t="array" ref="AW184">IF(AW$174=-1,AX184,IF(AW$174=99,AV184,IF(AW$174=0,INDEX($F57:$N57,0,AW$172),(INDEX($F57:$N57,0,AW$174+1)-INDEX($F57:$N57,0,AW$174))/(INDEX($F$4:$N$4,0,AW$174+1)-INDEX($F$4:$N$4,0,AW$174))+AV184)))</f>
        <v>6.1712800565585564</v>
      </c>
      <c r="BF184" s="9"/>
      <c r="BG184" s="9"/>
      <c r="BH184" s="9"/>
      <c r="BI184" s="9"/>
      <c r="BJ184" s="9"/>
      <c r="BK184" s="9"/>
    </row>
    <row r="185" spans="1:63" ht="15">
      <c r="A185" t="s">
        <v>16</v>
      </c>
      <c r="B185" s="20"/>
      <c r="C185" s="21"/>
      <c r="D185" s="48"/>
      <c r="E185" s="21"/>
      <c r="F185" s="21"/>
      <c r="G185" s="21"/>
      <c r="H185" s="21"/>
      <c r="I185" s="21"/>
      <c r="J185" s="118" t="str">
        <f t="shared" si="366"/>
        <v>TFHCV9</v>
      </c>
      <c r="K185" s="9" t="e">
        <f>#REF!</f>
        <v>#REF!</v>
      </c>
      <c r="L185" s="9" t="e" cm="1">
        <f t="array" ref="L185">IF(L$174=-1,M185,IF(L$174=99,K185,IF(L$174=0,INDEX($F58:$N58,0,L$172),(INDEX($F58:$N58,0,L$174+1)-INDEX($F58:$N58,0,L$174))/(INDEX($F$4:$N$4,0,L$174+1)-INDEX($F$4:$N$4,0,L$174))+K185)))</f>
        <v>#REF!</v>
      </c>
      <c r="M185" s="9" t="e" cm="1">
        <f t="array" ref="M185">IF(M$174=-1,P185,IF(M$174=99,L185,IF(M$174=0,INDEX($F58:$N58,0,M$172),(INDEX($F58:$N58,0,M$174+1)-INDEX($F58:$N58,0,M$174))/(INDEX($F$4:$N$4,0,M$174+1)-INDEX($F$4:$N$4,0,M$174))+L185)))</f>
        <v>#REF!</v>
      </c>
      <c r="N185" s="9" t="e" cm="1">
        <f t="array" ref="N185">IF(N$174=-1,O185,IF(N$174=99,K185,IF(N$174=0,INDEX($F58:$N58,0,N$172),(INDEX($F58:$N58,0,N$174+1)-INDEX($F58:$N58,0,N$174))/(INDEX($F$4:$N$4,0,N$174+1)-INDEX($F$4:$N$4,0,N$174))+K185)))</f>
        <v>#REF!</v>
      </c>
      <c r="O185" s="9" t="e" cm="1">
        <f t="array" ref="O185">IF(O$174=-1,P185,IF(O$174=99,L185,IF(O$174=0,INDEX($F58:$N58,0,O$172),(INDEX($F58:$N58,0,O$174+1)-INDEX($F58:$N58,0,O$174))/(INDEX($F$4:$N$4,0,O$174+1)-INDEX($F$4:$N$4,0,O$174))+L185)))</f>
        <v>#REF!</v>
      </c>
      <c r="P185" s="9" t="e" cm="1">
        <f t="array" ref="P185">IF(P$174=-1,Q185,IF(P$174=99,M185,IF(P$174=0,INDEX($F58:$N58,0,P$172),(INDEX($F58:$N58,0,P$174+1)-INDEX($F58:$N58,0,P$174))/(INDEX($F$4:$N$4,0,P$174+1)-INDEX($F$4:$N$4,0,P$174))+M185)))</f>
        <v>#REF!</v>
      </c>
      <c r="Q185" s="9" t="e" cm="1">
        <f t="array" ref="Q185">IF(Q$174=-1,R185,IF(Q$174=99,P185,IF(Q$174=0,INDEX($F58:$N58,0,Q$172),(INDEX($F58:$N58,0,Q$174+1)-INDEX($F58:$N58,0,Q$174))/(INDEX($F$4:$N$4,0,Q$174+1)-INDEX($F$4:$N$4,0,Q$174))+P185)))</f>
        <v>#REF!</v>
      </c>
      <c r="R185" s="9" cm="1">
        <f t="array" ref="R185">IF(R$174=-1,S185,IF(R$174=99,Q185,IF(R$174=0,INDEX($F58:$N58,0,R$172),(INDEX($F58:$N58,0,R$174+1)-INDEX($F58:$N58,0,R$174))/(INDEX($F$4:$N$4,0,R$174+1)-INDEX($F$4:$N$4,0,R$174))+Q185)))</f>
        <v>0.64433067785501452</v>
      </c>
      <c r="S185" s="9" cm="1">
        <f t="array" ref="S185">IF(S$174=-1,T185,IF(S$174=99,R185,IF(S$174=0,INDEX($F58:$N58,0,S$172),(INDEX($F58:$N58,0,S$174+1)-INDEX($F58:$N58,0,S$174))/(INDEX($F$4:$N$4,0,S$174+1)-INDEX($F$4:$N$4,0,S$174))+R185)))</f>
        <v>0.64834083872263215</v>
      </c>
      <c r="T185" s="9" cm="1">
        <f t="array" ref="T185">IF(T$174=-1,U185,IF(T$174=99,S185,IF(T$174=0,INDEX($F58:$N58,0,T$172),(INDEX($F58:$N58,0,T$174+1)-INDEX($F58:$N58,0,T$174))/(INDEX($F$4:$N$4,0,T$174+1)-INDEX($F$4:$N$4,0,T$174))+S185)))</f>
        <v>0.65235099959024967</v>
      </c>
      <c r="U185" s="9" cm="1">
        <f t="array" ref="U185">IF(U$174=-1,V185,IF(U$174=99,T185,IF(U$174=0,INDEX($F58:$N58,0,U$172),(INDEX($F58:$N58,0,U$174+1)-INDEX($F58:$N58,0,U$174))/(INDEX($F$4:$N$4,0,U$174+1)-INDEX($F$4:$N$4,0,U$174))+T185)))</f>
        <v>0.62810685408386391</v>
      </c>
      <c r="V185" s="9" cm="1">
        <f t="array" ref="V185">IF(V$174=-1,W185,IF(V$174=99,U185,IF(V$174=0,INDEX($F58:$N58,0,V$172),(INDEX($F58:$N58,0,V$174+1)-INDEX($F58:$N58,0,V$174))/(INDEX($F$4:$N$4,0,V$174+1)-INDEX($F$4:$N$4,0,V$174))+U185)))</f>
        <v>0.65856226128187945</v>
      </c>
      <c r="W185" s="9" cm="1">
        <f t="array" ref="W185">IF(W$174=-1,Z185,IF(W$174=99,V185,IF(W$174=0,INDEX($F58:$N58,0,W$172),(INDEX($F58:$N58,0,W$174+1)-INDEX($F58:$N58,0,W$174))/(INDEX($F$4:$N$4,0,W$174+1)-INDEX($F$4:$N$4,0,W$174))+V185)))</f>
        <v>0.67596250933072721</v>
      </c>
      <c r="X185" s="9" cm="1">
        <f t="array" ref="X185">IF(X$174=-1,Y185,IF(X$174=99,U185,IF(X$174=0,INDEX($F58:$N58,0,X$172),(INDEX($F58:$N58,0,X$174+1)-INDEX($F58:$N58,0,X$174))/(INDEX($F$4:$N$4,0,X$174+1)-INDEX($F$4:$N$4,0,X$174))+U185)))</f>
        <v>0.65856226128187945</v>
      </c>
      <c r="Y185" s="9" cm="1">
        <f t="array" ref="Y185">IF(Y$174=-1,Z185,IF(Y$174=99,V185,IF(Y$174=0,INDEX($F58:$N58,0,Y$172),(INDEX($F58:$N58,0,Y$174+1)-INDEX($F58:$N58,0,Y$174))/(INDEX($F$4:$N$4,0,Y$174+1)-INDEX($F$4:$N$4,0,Y$174))+V185)))</f>
        <v>0.67596250933072721</v>
      </c>
      <c r="Z185" s="9" cm="1">
        <f t="array" ref="Z185">IF(Z$174=-1,AA185,IF(Z$174=99,W185,IF(Z$174=0,INDEX($F58:$N58,0,Z$172),(INDEX($F58:$N58,0,Z$174+1)-INDEX($F58:$N58,0,Z$174))/(INDEX($F$4:$N$4,0,Z$174+1)-INDEX($F$4:$N$4,0,Z$174))+W185)))</f>
        <v>0.69336275737957498</v>
      </c>
      <c r="AA185" s="9" cm="1">
        <f t="array" ref="AA185">IF(AA$174=-1,AB185,IF(AA$174=99,Z185,IF(AA$174=0,INDEX($F58:$N58,0,AA$172),(INDEX($F58:$N58,0,AA$174+1)-INDEX($F58:$N58,0,AA$174))/(INDEX($F$4:$N$4,0,AA$174+1)-INDEX($F$4:$N$4,0,AA$174))+Z185)))</f>
        <v>0.71076300542842274</v>
      </c>
      <c r="AB185" s="9" cm="1">
        <f t="array" ref="AB185">IF(AB$174=-1,AC185,IF(AB$174=99,AA185,IF(AB$174=0,INDEX($F58:$N58,0,AB$172),(INDEX($F58:$N58,0,AB$174+1)-INDEX($F58:$N58,0,AB$174))/(INDEX($F$4:$N$4,0,AB$174+1)-INDEX($F$4:$N$4,0,AB$174))+AA185)))</f>
        <v>0.72816325347727051</v>
      </c>
      <c r="AC185" s="9" cm="1">
        <f t="array" ref="AC185">IF(AC$174=-1,AD185,IF(AC$174=99,AB185,IF(AC$174=0,INDEX($F58:$N58,0,AC$172),(INDEX($F58:$N58,0,AC$174+1)-INDEX($F58:$N58,0,AC$174))/(INDEX($F$4:$N$4,0,AC$174+1)-INDEX($F$4:$N$4,0,AC$174))+AB185)))</f>
        <v>0.74556350152611828</v>
      </c>
      <c r="AD185" s="9" cm="1">
        <f t="array" ref="AD185">IF(AD$174=-1,AE185,IF(AD$174=99,AC185,IF(AD$174=0,INDEX($F58:$N58,0,AD$172),(INDEX($F58:$N58,0,AD$174+1)-INDEX($F58:$N58,0,AD$174))/(INDEX($F$4:$N$4,0,AD$174+1)-INDEX($F$4:$N$4,0,AD$174))+AC185)))</f>
        <v>0.76296374957496604</v>
      </c>
      <c r="AE185" s="9" cm="1">
        <f t="array" ref="AE185">IF(AE$174=-1,AF185,IF(AE$174=99,AD185,IF(AE$174=0,INDEX($F58:$N58,0,AE$172),(INDEX($F58:$N58,0,AE$174+1)-INDEX($F58:$N58,0,AE$174))/(INDEX($F$4:$N$4,0,AE$174+1)-INDEX($F$4:$N$4,0,AE$174))+AD185)))</f>
        <v>0.78036399762381381</v>
      </c>
      <c r="AF185" s="9" cm="1">
        <f t="array" ref="AF185">IF(AF$174=-1,AG185,IF(AF$174=99,AE185,IF(AF$174=0,INDEX($F58:$N58,0,AF$172),(INDEX($F58:$N58,0,AF$174+1)-INDEX($F58:$N58,0,AF$174))/(INDEX($F$4:$N$4,0,AF$174+1)-INDEX($F$4:$N$4,0,AF$174))+AE185)))</f>
        <v>0.79776424567266158</v>
      </c>
      <c r="AG185" s="9" cm="1">
        <f t="array" ref="AG185">IF(AG$174=-1,AJ185,IF(AG$174=99,AF185,IF(AG$174=0,INDEX($F58:$N58,0,AG$172),(INDEX($F58:$N58,0,AG$174+1)-INDEX($F58:$N58,0,AG$174))/(INDEX($F$4:$N$4,0,AG$174+1)-INDEX($F$4:$N$4,0,AG$174))+AF185)))</f>
        <v>0.81516449372150912</v>
      </c>
      <c r="AH185" s="9" cm="1">
        <f t="array" ref="AH185">IF(AH$174=-1,AI185,IF(AH$174=99,AE185,IF(AH$174=0,INDEX($F58:$N58,0,AH$172),(INDEX($F58:$N58,0,AH$174+1)-INDEX($F58:$N58,0,AH$174))/(INDEX($F$4:$N$4,0,AH$174+1)-INDEX($F$4:$N$4,0,AH$174))+AE185)))</f>
        <v>0.79776424567266158</v>
      </c>
      <c r="AI185" s="9" cm="1">
        <f t="array" ref="AI185">IF(AI$174=-1,AJ185,IF(AI$174=99,AF185,IF(AI$174=0,INDEX($F58:$N58,0,AI$172),(INDEX($F58:$N58,0,AI$174+1)-INDEX($F58:$N58,0,AI$174))/(INDEX($F$4:$N$4,0,AI$174+1)-INDEX($F$4:$N$4,0,AI$174))+AF185)))</f>
        <v>0.81516449372150912</v>
      </c>
      <c r="AJ185" s="9" cm="1">
        <f t="array" ref="AJ185">IF(AJ$174=-1,AK185,IF(AJ$174=99,AG185,IF(AJ$174=0,INDEX($F58:$N58,0,AJ$172),(INDEX($F58:$N58,0,AJ$174+1)-INDEX($F58:$N58,0,AJ$174))/(INDEX($F$4:$N$4,0,AJ$174+1)-INDEX($F$4:$N$4,0,AJ$174))+AG185)))</f>
        <v>0.8403196251143441</v>
      </c>
      <c r="AK185" s="9" cm="1">
        <f t="array" ref="AK185">IF(AK$174=-1,AL185,IF(AK$174=99,AJ185,IF(AK$174=0,INDEX($F58:$N58,0,AK$172),(INDEX($F58:$N58,0,AK$174+1)-INDEX($F58:$N58,0,AK$174))/(INDEX($F$4:$N$4,0,AK$174+1)-INDEX($F$4:$N$4,0,AK$174))+AJ185)))</f>
        <v>0.86547475650717909</v>
      </c>
      <c r="AL185" s="9" cm="1">
        <f t="array" ref="AL185">IF(AL$174=-1,AM185,IF(AL$174=99,AK185,IF(AL$174=0,INDEX($F58:$N58,0,AL$172),(INDEX($F58:$N58,0,AL$174+1)-INDEX($F58:$N58,0,AL$174))/(INDEX($F$4:$N$4,0,AL$174+1)-INDEX($F$4:$N$4,0,AL$174))+AK185)))</f>
        <v>0.89062988790001407</v>
      </c>
      <c r="AM185" s="9" cm="1">
        <f t="array" ref="AM185">IF(AM$174=-1,AN185,IF(AM$174=99,AL185,IF(AM$174=0,INDEX($F58:$N58,0,AM$172),(INDEX($F58:$N58,0,AM$174+1)-INDEX($F58:$N58,0,AM$174))/(INDEX($F$4:$N$4,0,AM$174+1)-INDEX($F$4:$N$4,0,AM$174))+AL185)))</f>
        <v>0.91578501929284906</v>
      </c>
      <c r="AN185" s="9" cm="1">
        <f t="array" ref="AN185">IF(AN$174=-1,AO185,IF(AN$174=99,AM185,IF(AN$174=0,INDEX($F58:$N58,0,AN$172),(INDEX($F58:$N58,0,AN$174+1)-INDEX($F58:$N58,0,AN$174))/(INDEX($F$4:$N$4,0,AN$174+1)-INDEX($F$4:$N$4,0,AN$174))+AM185)))</f>
        <v>0.94094015068568404</v>
      </c>
      <c r="AO185" s="9" cm="1">
        <f t="array" ref="AO185">IF(AO$174=-1,AP185,IF(AO$174=99,AN185,IF(AO$174=0,INDEX($F58:$N58,0,AO$172),(INDEX($F58:$N58,0,AO$174+1)-INDEX($F58:$N58,0,AO$174))/(INDEX($F$4:$N$4,0,AO$174+1)-INDEX($F$4:$N$4,0,AO$174))+AN185)))</f>
        <v>0.96609528207851902</v>
      </c>
      <c r="AP185" s="9" cm="1">
        <f t="array" ref="AP185">IF(AP$174=-1,AQ185,IF(AP$174=99,AO185,IF(AP$174=0,INDEX($F58:$N58,0,AP$172),(INDEX($F58:$N58,0,AP$174+1)-INDEX($F58:$N58,0,AP$174))/(INDEX($F$4:$N$4,0,AP$174+1)-INDEX($F$4:$N$4,0,AP$174))+AO185)))</f>
        <v>0.99125041347135401</v>
      </c>
      <c r="AQ185" s="9" cm="1">
        <f t="array" ref="AQ185">IF(AQ$174=-1,AR185,IF(AQ$174=99,AP185,IF(AQ$174=0,INDEX($F58:$N58,0,AQ$172),(INDEX($F58:$N58,0,AQ$174+1)-INDEX($F58:$N58,0,AQ$174))/(INDEX($F$4:$N$4,0,AQ$174+1)-INDEX($F$4:$N$4,0,AQ$174))+AP185)))</f>
        <v>1.0164055448641891</v>
      </c>
      <c r="AR185" s="9" cm="1">
        <f t="array" ref="AR185">IF(AR$174=-1,AS185,IF(AR$174=99,AQ185,IF(AR$174=0,INDEX($F58:$N58,0,AR$172),(INDEX($F58:$N58,0,AR$174+1)-INDEX($F58:$N58,0,AR$174))/(INDEX($F$4:$N$4,0,AR$174+1)-INDEX($F$4:$N$4,0,AR$174))+AQ185)))</f>
        <v>1.0415606762570242</v>
      </c>
      <c r="AS185" s="9" cm="1">
        <f t="array" ref="AS185">IF(AS$174=-1,AT185,IF(AS$174=99,AR185,IF(AS$174=0,INDEX($F58:$N58,0,AS$172),(INDEX($F58:$N58,0,AS$174+1)-INDEX($F58:$N58,0,AS$174))/(INDEX($F$4:$N$4,0,AS$174+1)-INDEX($F$4:$N$4,0,AS$174))+AR185)))</f>
        <v>1.0667158076498593</v>
      </c>
      <c r="AT185" s="9" cm="1">
        <f t="array" ref="AT185">IF(AT$174=-1,AU185,IF(AT$174=99,AS185,IF(AT$174=0,INDEX($F58:$N58,0,AT$172),(INDEX($F58:$N58,0,AT$174+1)-INDEX($F58:$N58,0,AT$174))/(INDEX($F$4:$N$4,0,AT$174+1)-INDEX($F$4:$N$4,0,AT$174))+AS185)))</f>
        <v>1.0956498831151733</v>
      </c>
      <c r="AU185" s="9" cm="1">
        <f t="array" ref="AU185">IF(AU$174=-1,AV185,IF(AU$174=99,AT185,IF(AU$174=0,INDEX($F58:$N58,0,AU$172),(INDEX($F58:$N58,0,AU$174+1)-INDEX($F58:$N58,0,AU$174))/(INDEX($F$4:$N$4,0,AU$174+1)-INDEX($F$4:$N$4,0,AU$174))+AT185)))</f>
        <v>1.3560565623029999</v>
      </c>
      <c r="AV185" s="9" cm="1">
        <f t="array" ref="AV185">IF(AV$174=-1,AW185,IF(AV$174=99,AU185,IF(AV$174=0,INDEX($F58:$N58,0,AV$172),(INDEX($F58:$N58,0,AV$174+1)-INDEX($F58:$N58,0,AV$174))/(INDEX($F$4:$N$4,0,AV$174+1)-INDEX($F$4:$N$4,0,AV$174))+AU185)))</f>
        <v>1.6457570004873343</v>
      </c>
      <c r="AW185" s="9" cm="1">
        <f t="array" ref="AW185">IF(AW$174=-1,AX185,IF(AW$174=99,AV185,IF(AW$174=0,INDEX($F58:$N58,0,AW$172),(INDEX($F58:$N58,0,AW$174+1)-INDEX($F58:$N58,0,AW$174))/(INDEX($F$4:$N$4,0,AW$174+1)-INDEX($F$4:$N$4,0,AW$174))+AV185)))</f>
        <v>1.7679753485186269</v>
      </c>
      <c r="BF185" s="9"/>
      <c r="BG185" s="9"/>
      <c r="BH185" s="9"/>
      <c r="BI185" s="9"/>
      <c r="BJ185" s="9"/>
      <c r="BK185" s="9"/>
    </row>
    <row r="186" spans="1:63" ht="15">
      <c r="A186" t="s">
        <v>16</v>
      </c>
      <c r="B186" s="20"/>
      <c r="C186" s="21"/>
      <c r="D186" s="48"/>
      <c r="E186" s="21"/>
      <c r="F186" s="21"/>
      <c r="G186" s="21"/>
      <c r="H186" s="21"/>
      <c r="I186" s="21"/>
      <c r="J186" s="118" t="str">
        <f t="shared" si="366"/>
        <v>TFRCO</v>
      </c>
      <c r="K186" s="9" t="e">
        <f>#REF!</f>
        <v>#REF!</v>
      </c>
      <c r="L186" s="9" t="e">
        <f>#REF!</f>
        <v>#REF!</v>
      </c>
      <c r="M186" s="9" t="e">
        <f>#REF!</f>
        <v>#REF!</v>
      </c>
      <c r="N186" s="9" t="e">
        <f>#REF!</f>
        <v>#REF!</v>
      </c>
      <c r="O186" s="9" t="e">
        <f>#REF!</f>
        <v>#REF!</v>
      </c>
      <c r="P186" s="9" t="e">
        <f>#REF!</f>
        <v>#REF!</v>
      </c>
      <c r="Q186" s="9" t="e">
        <f>#REF!</f>
        <v>#REF!</v>
      </c>
      <c r="R186" s="9">
        <f t="shared" si="367" ref="R186:W188">J147</f>
        <v>22</v>
      </c>
      <c r="S186" s="9">
        <f t="shared" si="367"/>
        <v>20.60902456349335</v>
      </c>
      <c r="T186" s="9">
        <f t="shared" si="367"/>
        <v>19.218049126986699</v>
      </c>
      <c r="U186" s="9">
        <f t="shared" si="367"/>
        <v>17.206637381742077</v>
      </c>
      <c r="V186" s="9">
        <f t="shared" si="367"/>
        <v>17.134223238421335</v>
      </c>
      <c r="W186" s="9">
        <f t="shared" si="367"/>
        <v>18.322969849623217</v>
      </c>
      <c r="X186" s="9">
        <f t="shared" si="368" ref="X186:Z188">N147</f>
        <v>17.134223238421335</v>
      </c>
      <c r="Y186" s="9">
        <f t="shared" si="368"/>
        <v>18.322969849623217</v>
      </c>
      <c r="Z186" s="9">
        <f t="shared" si="368"/>
        <v>19.511716460825099</v>
      </c>
      <c r="AA186" s="9">
        <f t="shared" si="369" ref="AA186:AG188">S147</f>
        <v>20.700463072026981</v>
      </c>
      <c r="AB186" s="9">
        <f t="shared" si="369"/>
        <v>21.889209683228863</v>
      </c>
      <c r="AC186" s="9">
        <f t="shared" si="369"/>
        <v>23.077956294430745</v>
      </c>
      <c r="AD186" s="9">
        <f t="shared" si="369"/>
        <v>24.266702905632627</v>
      </c>
      <c r="AE186" s="9">
        <f t="shared" si="369"/>
        <v>25.455449516834509</v>
      </c>
      <c r="AF186" s="9">
        <f t="shared" si="369"/>
        <v>26.644196128036391</v>
      </c>
      <c r="AG186" s="9">
        <f t="shared" si="369"/>
        <v>27.83294273923827</v>
      </c>
      <c r="AH186" s="9">
        <f t="shared" si="370" ref="AH186:AJ188">X147</f>
        <v>26.644196128036391</v>
      </c>
      <c r="AI186" s="9">
        <f t="shared" si="370"/>
        <v>27.83294273923827</v>
      </c>
      <c r="AJ186" s="9">
        <f t="shared" si="370"/>
        <v>28.691838504506951</v>
      </c>
      <c r="AK186" s="9">
        <f t="shared" si="371" ref="AK186:AW188">AC147</f>
        <v>29.550734269775631</v>
      </c>
      <c r="AL186" s="9">
        <f t="shared" si="371"/>
        <v>30.409630035044312</v>
      </c>
      <c r="AM186" s="9">
        <f t="shared" si="371"/>
        <v>31.268525800312993</v>
      </c>
      <c r="AN186" s="9">
        <f t="shared" si="371"/>
        <v>32.12742156558167</v>
      </c>
      <c r="AO186" s="9">
        <f t="shared" si="371"/>
        <v>32.986317330850355</v>
      </c>
      <c r="AP186" s="9">
        <f t="shared" si="371"/>
        <v>33.845213096119039</v>
      </c>
      <c r="AQ186" s="9">
        <f t="shared" si="371"/>
        <v>34.704108861387724</v>
      </c>
      <c r="AR186" s="9">
        <f t="shared" si="371"/>
        <v>35.563004626656408</v>
      </c>
      <c r="AS186" s="9">
        <f t="shared" si="371"/>
        <v>36.421900391925078</v>
      </c>
      <c r="AT186" s="9">
        <f t="shared" si="371"/>
        <v>41.36151976839178</v>
      </c>
      <c r="AU186" s="9">
        <f t="shared" si="371"/>
        <v>46.301139144858453</v>
      </c>
      <c r="AV186" s="9">
        <f t="shared" si="371"/>
        <v>56.192658917395939</v>
      </c>
      <c r="AW186" s="9">
        <f t="shared" si="371"/>
        <v>60.365677134749021</v>
      </c>
      <c r="BF186" s="9"/>
      <c r="BG186" s="9"/>
      <c r="BH186" s="9"/>
      <c r="BI186" s="9"/>
      <c r="BJ186" s="9"/>
      <c r="BK186" s="9"/>
    </row>
    <row r="187" spans="1:63" ht="15">
      <c r="A187" t="s">
        <v>16</v>
      </c>
      <c r="B187" s="20"/>
      <c r="C187" s="21"/>
      <c r="D187" s="48"/>
      <c r="E187" s="21"/>
      <c r="F187" s="21"/>
      <c r="G187" s="21"/>
      <c r="H187" s="21"/>
      <c r="I187" s="21"/>
      <c r="J187" s="118" t="str">
        <f t="shared" si="366"/>
        <v>TFROT</v>
      </c>
      <c r="K187" s="9" t="e">
        <f>#REF!</f>
        <v>#REF!</v>
      </c>
      <c r="L187" s="9" t="e">
        <f>#REF!</f>
        <v>#REF!</v>
      </c>
      <c r="M187" s="9" t="e">
        <f>#REF!</f>
        <v>#REF!</v>
      </c>
      <c r="N187" s="9" t="e">
        <f>#REF!</f>
        <v>#REF!</v>
      </c>
      <c r="O187" s="9" t="e">
        <f>#REF!</f>
        <v>#REF!</v>
      </c>
      <c r="P187" s="9" t="e">
        <f>#REF!</f>
        <v>#REF!</v>
      </c>
      <c r="Q187" s="9" t="e">
        <f>#REF!</f>
        <v>#REF!</v>
      </c>
      <c r="R187" s="9">
        <f t="shared" si="367"/>
        <v>27.142505514316699</v>
      </c>
      <c r="S187" s="9">
        <f t="shared" si="367"/>
        <v>26.922878309927583</v>
      </c>
      <c r="T187" s="9">
        <f t="shared" si="367"/>
        <v>26.703251105538467</v>
      </c>
      <c r="U187" s="9">
        <f t="shared" si="367"/>
        <v>25.710844401627732</v>
      </c>
      <c r="V187" s="9">
        <f t="shared" si="367"/>
        <v>26.957502085054063</v>
      </c>
      <c r="W187" s="9">
        <f t="shared" si="367"/>
        <v>27.669761579159054</v>
      </c>
      <c r="X187" s="9">
        <f t="shared" si="368"/>
        <v>26.957502085054063</v>
      </c>
      <c r="Y187" s="9">
        <f t="shared" si="368"/>
        <v>27.669761579159054</v>
      </c>
      <c r="Z187" s="9">
        <f t="shared" si="368"/>
        <v>28.382021073264045</v>
      </c>
      <c r="AA187" s="9">
        <f t="shared" si="369"/>
        <v>29.094280567369037</v>
      </c>
      <c r="AB187" s="9">
        <f t="shared" si="369"/>
        <v>29.806540061474028</v>
      </c>
      <c r="AC187" s="9">
        <f t="shared" si="369"/>
        <v>30.518799555579019</v>
      </c>
      <c r="AD187" s="9">
        <f t="shared" si="369"/>
        <v>31.23105904968401</v>
      </c>
      <c r="AE187" s="9">
        <f t="shared" si="369"/>
        <v>31.943318543789001</v>
      </c>
      <c r="AF187" s="9">
        <f t="shared" si="369"/>
        <v>32.655578037893996</v>
      </c>
      <c r="AG187" s="9">
        <f t="shared" si="369"/>
        <v>33.367837531998987</v>
      </c>
      <c r="AH187" s="9">
        <f t="shared" si="370"/>
        <v>32.655578037893996</v>
      </c>
      <c r="AI187" s="9">
        <f t="shared" si="370"/>
        <v>33.367837531998987</v>
      </c>
      <c r="AJ187" s="9">
        <f t="shared" si="370"/>
        <v>34.39753441388865</v>
      </c>
      <c r="AK187" s="9">
        <f t="shared" si="371"/>
        <v>35.427231295778313</v>
      </c>
      <c r="AL187" s="9">
        <f t="shared" si="371"/>
        <v>36.456928177667976</v>
      </c>
      <c r="AM187" s="9">
        <f t="shared" si="371"/>
        <v>37.486625059557639</v>
      </c>
      <c r="AN187" s="9">
        <f t="shared" si="371"/>
        <v>38.516321941447302</v>
      </c>
      <c r="AO187" s="9">
        <f t="shared" si="371"/>
        <v>39.546018823336965</v>
      </c>
      <c r="AP187" s="9">
        <f t="shared" si="371"/>
        <v>40.575715705226628</v>
      </c>
      <c r="AQ187" s="9">
        <f t="shared" si="371"/>
        <v>41.605412587116291</v>
      </c>
      <c r="AR187" s="9">
        <f t="shared" si="371"/>
        <v>42.635109469005954</v>
      </c>
      <c r="AS187" s="9">
        <f t="shared" si="371"/>
        <v>43.664806350895645</v>
      </c>
      <c r="AT187" s="9">
        <f t="shared" si="371"/>
        <v>49.586724790065539</v>
      </c>
      <c r="AU187" s="9">
        <f t="shared" si="371"/>
        <v>55.50864322923541</v>
      </c>
      <c r="AV187" s="9">
        <f t="shared" si="371"/>
        <v>67.367203346533998</v>
      </c>
      <c r="AW187" s="9">
        <f t="shared" si="371"/>
        <v>72.37007333406163</v>
      </c>
      <c r="BF187" s="9"/>
      <c r="BG187" s="9"/>
      <c r="BH187" s="9"/>
      <c r="BI187" s="9"/>
      <c r="BJ187" s="9"/>
      <c r="BK187" s="9"/>
    </row>
    <row r="188" spans="1:63" ht="15">
      <c r="A188" t="s">
        <v>16</v>
      </c>
      <c r="J188" s="118" t="str">
        <f t="shared" si="366"/>
        <v>TFREX</v>
      </c>
      <c r="K188" s="9" t="e">
        <f>#REF!</f>
        <v>#REF!</v>
      </c>
      <c r="L188" s="9" t="e">
        <f>#REF!</f>
        <v>#REF!</v>
      </c>
      <c r="M188" s="9" t="e">
        <f>#REF!</f>
        <v>#REF!</v>
      </c>
      <c r="N188" s="9" t="e">
        <f>#REF!</f>
        <v>#REF!</v>
      </c>
      <c r="O188" s="9" t="e">
        <f>#REF!</f>
        <v>#REF!</v>
      </c>
      <c r="P188" s="9" t="e">
        <f>#REF!</f>
        <v>#REF!</v>
      </c>
      <c r="Q188" s="9" t="e">
        <f>#REF!</f>
        <v>#REF!</v>
      </c>
      <c r="R188" s="9">
        <f t="shared" si="367"/>
        <v>88.672727178245694</v>
      </c>
      <c r="S188" s="9">
        <f t="shared" si="367"/>
        <v>88.015304929890732</v>
      </c>
      <c r="T188" s="9">
        <f t="shared" si="367"/>
        <v>87.357882681535756</v>
      </c>
      <c r="U188" s="9">
        <f t="shared" si="367"/>
        <v>84.559607459462228</v>
      </c>
      <c r="V188" s="9">
        <f t="shared" si="367"/>
        <v>89.940942914951876</v>
      </c>
      <c r="W188" s="9">
        <f t="shared" si="367"/>
        <v>90.138114713236575</v>
      </c>
      <c r="X188" s="9">
        <f t="shared" si="368"/>
        <v>89.940942914951876</v>
      </c>
      <c r="Y188" s="9">
        <f t="shared" si="368"/>
        <v>90.138114713236575</v>
      </c>
      <c r="Z188" s="9">
        <f t="shared" si="368"/>
        <v>90.335286511521275</v>
      </c>
      <c r="AA188" s="9">
        <f t="shared" si="369"/>
        <v>90.532458309805975</v>
      </c>
      <c r="AB188" s="9">
        <f t="shared" si="369"/>
        <v>90.729630108090674</v>
      </c>
      <c r="AC188" s="9">
        <f t="shared" si="369"/>
        <v>90.926801906375374</v>
      </c>
      <c r="AD188" s="9">
        <f t="shared" si="369"/>
        <v>91.123973704660074</v>
      </c>
      <c r="AE188" s="9">
        <f t="shared" si="369"/>
        <v>91.321145502944773</v>
      </c>
      <c r="AF188" s="9">
        <f t="shared" si="369"/>
        <v>91.518317301229473</v>
      </c>
      <c r="AG188" s="9">
        <f t="shared" si="369"/>
        <v>91.715489099514144</v>
      </c>
      <c r="AH188" s="9">
        <f t="shared" si="370"/>
        <v>91.518317301229473</v>
      </c>
      <c r="AI188" s="9">
        <f t="shared" si="370"/>
        <v>91.715489099514144</v>
      </c>
      <c r="AJ188" s="9">
        <f t="shared" si="370"/>
        <v>93.20854934451566</v>
      </c>
      <c r="AK188" s="9">
        <f t="shared" si="371"/>
        <v>94.701609589517176</v>
      </c>
      <c r="AL188" s="9">
        <f t="shared" si="371"/>
        <v>96.194669834518692</v>
      </c>
      <c r="AM188" s="9">
        <f t="shared" si="371"/>
        <v>97.687730079520207</v>
      </c>
      <c r="AN188" s="9">
        <f t="shared" si="371"/>
        <v>99.180790324521723</v>
      </c>
      <c r="AO188" s="9">
        <f t="shared" si="371"/>
        <v>100.67385056952324</v>
      </c>
      <c r="AP188" s="9">
        <f t="shared" si="371"/>
        <v>102.16691081452475</v>
      </c>
      <c r="AQ188" s="9">
        <f t="shared" si="371"/>
        <v>103.65997105952627</v>
      </c>
      <c r="AR188" s="9">
        <f t="shared" si="371"/>
        <v>105.15303130452779</v>
      </c>
      <c r="AS188" s="9">
        <f t="shared" si="371"/>
        <v>106.64609154952934</v>
      </c>
      <c r="AT188" s="9">
        <f t="shared" si="371"/>
        <v>118.84493792107597</v>
      </c>
      <c r="AU188" s="9">
        <f t="shared" si="371"/>
        <v>131.04378429262255</v>
      </c>
      <c r="AV188" s="9">
        <f t="shared" si="371"/>
        <v>160.05101345611124</v>
      </c>
      <c r="AW188" s="9">
        <f t="shared" si="371"/>
        <v>171.4341209304275</v>
      </c>
      <c r="BF188" s="9"/>
      <c r="BG188" s="9"/>
      <c r="BH188" s="9"/>
      <c r="BI188" s="9"/>
      <c r="BJ188" s="9"/>
      <c r="BK188" s="9"/>
    </row>
    <row r="189" spans="1:1" ht="15">
      <c r="A189" t="s">
        <v>16</v>
      </c>
    </row>
    <row r="221" spans="1:10" ht="15">
      <c r="A221" t="s">
        <v>16</v>
      </c>
      <c r="J221" t="s">
        <v>669</v>
      </c>
    </row>
    <row r="222" spans="1:43" ht="15">
      <c r="A222" t="s">
        <v>16</v>
      </c>
      <c r="J222" t="s">
        <v>643</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ht="15">
      <c r="A223" t="s">
        <v>16</v>
      </c>
      <c r="J223" t="s">
        <v>644</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ht="15">
      <c r="A224" t="s">
        <v>16</v>
      </c>
      <c r="J224" t="s">
        <v>645</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ht="15">
      <c r="A225" t="s">
        <v>16</v>
      </c>
      <c r="J225" t="s">
        <v>646</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ht="15">
      <c r="A226" t="s">
        <v>16</v>
      </c>
      <c r="J226" t="s">
        <v>647</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ht="15">
      <c r="A227" t="s">
        <v>16</v>
      </c>
      <c r="J227" t="s">
        <v>648</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ht="15">
      <c r="A228" t="s">
        <v>16</v>
      </c>
      <c r="J228" t="s">
        <v>649</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ht="15">
      <c r="A229" t="s">
        <v>16</v>
      </c>
      <c r="I229" s="9" t="s">
        <v>396</v>
      </c>
      <c r="J229" t="s">
        <v>650</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ht="15">
      <c r="A230" t="s">
        <v>16</v>
      </c>
      <c r="I230" s="9" t="s">
        <v>396</v>
      </c>
      <c r="J230" t="s">
        <v>651</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ht="15">
      <c r="A231" t="s">
        <v>16</v>
      </c>
      <c r="I231" s="9" t="s">
        <v>397</v>
      </c>
      <c r="J231" t="s">
        <v>652</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ht="15">
      <c r="A232" t="s">
        <v>16</v>
      </c>
      <c r="I232" s="9" t="s">
        <v>398</v>
      </c>
      <c r="J232" t="s">
        <v>653</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ht="15">
      <c r="A233" t="s">
        <v>16</v>
      </c>
      <c r="I233" s="9" t="s">
        <v>399</v>
      </c>
      <c r="J233" t="s">
        <v>654</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ht="15">
      <c r="A234" t="s">
        <v>16</v>
      </c>
      <c r="I234" s="9" t="s">
        <v>400</v>
      </c>
      <c r="J234" t="s">
        <v>655</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ht="15">
      <c r="A235" t="s">
        <v>16</v>
      </c>
      <c r="I235" s="9" t="s">
        <v>401</v>
      </c>
      <c r="J235" t="s">
        <v>656</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ht="15">
      <c r="A236" t="s">
        <v>16</v>
      </c>
      <c r="I236" s="9" t="s">
        <v>402</v>
      </c>
      <c r="J236" t="s">
        <v>657</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ht="15">
      <c r="A237" t="s">
        <v>16</v>
      </c>
      <c r="I237" s="9" t="s">
        <v>403</v>
      </c>
      <c r="J237" t="s">
        <v>658</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ht="15">
      <c r="A238" t="s">
        <v>16</v>
      </c>
      <c r="I238" s="9" t="s">
        <v>404</v>
      </c>
      <c r="J238" t="s">
        <v>659</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ht="15">
      <c r="A239" t="s">
        <v>16</v>
      </c>
      <c r="I239" s="9" t="s">
        <v>139</v>
      </c>
      <c r="J239" t="s">
        <v>660</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ht="15">
      <c r="A240" t="s">
        <v>16</v>
      </c>
      <c r="I240" s="9" t="s">
        <v>139</v>
      </c>
      <c r="J240" t="s">
        <v>661</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ht="15">
      <c r="A241" t="s">
        <v>16</v>
      </c>
      <c r="J241" t="s">
        <v>662</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ht="15">
      <c r="A242" t="s">
        <v>16</v>
      </c>
      <c r="J242" t="s">
        <v>663</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ht="15">
      <c r="A243" t="s">
        <v>16</v>
      </c>
      <c r="J243" t="s">
        <v>664</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ht="15">
      <c r="A244" t="s">
        <v>16</v>
      </c>
      <c r="J244" t="s">
        <v>665</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ht="15">
      <c r="A245" t="s">
        <v>16</v>
      </c>
      <c r="J245" t="s">
        <v>666</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ht="15">
      <c r="A246" t="s">
        <v>16</v>
      </c>
      <c r="J246" t="s">
        <v>667</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ht="15">
      <c r="A247" t="s">
        <v>16</v>
      </c>
      <c r="J247" t="s">
        <v>668</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ageMargins left="0.7" right="0.7" top="0.75" bottom="0.75" header="0.3" footer="0.3"/>
  <drawing r:id="rId3"/>
  <legacyDrawing r:id="rId4"/>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09996986389"/>
  </sheetPr>
  <dimension ref="A1:BR291"/>
  <sheetViews>
    <sheetView zoomScale="50" zoomScaleNormal="50" workbookViewId="0" topLeftCell="D151">
      <selection pane="topLeft" activeCell="J275" sqref="J275"/>
    </sheetView>
  </sheetViews>
  <sheetFormatPr defaultColWidth="9.14428571428571" defaultRowHeight="15"/>
  <cols>
    <col min="1" max="1" width="9" customWidth="1"/>
    <col min="2" max="2" width="11.1428571428571" customWidth="1"/>
    <col min="3" max="3" width="42.8571428571429" customWidth="1"/>
    <col min="4" max="4" width="15.8571428571429" customWidth="1"/>
    <col min="5" max="5" width="7.42857142857143" customWidth="1"/>
    <col min="6" max="6" width="8.42857142857143" bestFit="1" customWidth="1"/>
    <col min="7" max="7" width="8.85714285714286" bestFit="1" customWidth="1"/>
    <col min="8" max="9" width="11.1428571428571" bestFit="1" customWidth="1"/>
    <col min="10" max="10" width="9.14285714285714" style="36" bestFit="1" customWidth="1"/>
    <col min="11" max="13" width="7.85714285714286" customWidth="1"/>
    <col min="14" max="14" width="7.71428571428571" customWidth="1"/>
    <col min="15" max="15" width="8.42857142857143" bestFit="1" customWidth="1"/>
    <col min="16" max="18" width="12.8571428571429" customWidth="1"/>
    <col min="19" max="21" width="29.4285714285714" customWidth="1"/>
    <col min="22" max="22" width="12.8571428571429" customWidth="1"/>
    <col min="23" max="23" width="23.4285714285714" customWidth="1"/>
    <col min="24" max="24" width="33" customWidth="1"/>
    <col min="25" max="33" width="10.2857142857143" customWidth="1"/>
    <col min="34" max="36" width="7.71428571428571" customWidth="1"/>
    <col min="37" max="37" width="10" customWidth="1"/>
    <col min="38" max="48" width="7.71428571428571" customWidth="1"/>
    <col min="60" max="60" width="19.1428571428571" customWidth="1"/>
    <col min="61" max="61" width="18.8571428571429" customWidth="1"/>
  </cols>
  <sheetData>
    <row r="1" spans="1:26" ht="21">
      <c r="A1" t="str">
        <f>IF(TRA,"TS DATA","")</f>
        <v>TS DATA</v>
      </c>
      <c r="B1" t="s">
        <v>17</v>
      </c>
      <c r="D1">
        <f>DriversGams!C164</f>
        <v>-1</v>
      </c>
      <c r="J1"/>
      <c r="N1" s="36"/>
      <c r="P1" s="1" t="s">
        <v>797</v>
      </c>
      <c r="Q1" s="1"/>
      <c r="R1" s="1"/>
      <c r="S1" s="1"/>
      <c r="T1" s="1"/>
      <c r="U1" s="1"/>
      <c r="V1" s="1"/>
      <c r="W1" s="1"/>
      <c r="X1" s="1"/>
      <c r="Y1" s="1"/>
      <c r="Z1" s="1"/>
    </row>
    <row r="2" spans="1:48" ht="15.75" thickBot="1">
      <c r="A2" t="s">
        <v>16</v>
      </c>
      <c r="B2" s="4" t="s">
        <v>280</v>
      </c>
      <c r="C2" s="4"/>
      <c r="J2"/>
      <c r="N2" s="123"/>
      <c r="P2" s="166" t="s">
        <v>209</v>
      </c>
      <c r="Q2" s="302" t="s">
        <v>522</v>
      </c>
      <c r="R2" s="302" t="s">
        <v>185</v>
      </c>
      <c r="S2" s="302" t="s">
        <v>526</v>
      </c>
      <c r="T2" s="302"/>
      <c r="U2" s="302"/>
      <c r="V2" s="302"/>
      <c r="W2" s="302" t="s">
        <v>600</v>
      </c>
      <c r="X2" s="302"/>
      <c r="Y2" s="302"/>
      <c r="Z2" s="302"/>
      <c r="AA2" s="29"/>
      <c r="AC2" s="29"/>
      <c r="AD2" s="29"/>
      <c r="AE2" s="29"/>
      <c r="AF2" s="29"/>
      <c r="AG2" s="29"/>
      <c r="AH2" s="29"/>
      <c r="AI2" s="29"/>
      <c r="AJ2" s="29"/>
      <c r="AK2" s="29"/>
      <c r="AL2" s="29"/>
      <c r="AM2" s="29"/>
      <c r="AN2" s="29"/>
      <c r="AO2" s="29"/>
      <c r="AP2" s="29"/>
      <c r="AQ2" s="29"/>
      <c r="AR2" s="29"/>
      <c r="AS2" s="29"/>
      <c r="AT2" s="29"/>
      <c r="AU2" s="29"/>
      <c r="AV2" s="29"/>
    </row>
    <row r="3" spans="1:26" ht="24.75">
      <c r="A3" t="s">
        <v>16</v>
      </c>
      <c r="B3" s="23"/>
      <c r="C3" s="166" t="str">
        <f>INDEX($Q$5:$Q$8,MATCH($D$3,$P$5:$P$8,0))</f>
        <v>NDC-PAMS-reference</v>
      </c>
      <c r="D3" s="170">
        <f>DriversGams!C164</f>
        <v>-1</v>
      </c>
      <c r="J3"/>
      <c r="N3" s="35"/>
      <c r="P3" s="166"/>
      <c r="Q3" s="302"/>
      <c r="R3" s="302"/>
      <c r="S3" s="302" t="s">
        <v>523</v>
      </c>
      <c r="T3" s="302" t="s">
        <v>523</v>
      </c>
      <c r="U3" s="302" t="s">
        <v>523</v>
      </c>
      <c r="V3" s="302" t="s">
        <v>528</v>
      </c>
      <c r="W3" s="302" t="s">
        <v>597</v>
      </c>
      <c r="X3" s="302" t="s">
        <v>598</v>
      </c>
      <c r="Y3" s="302" t="s">
        <v>599</v>
      </c>
      <c r="Z3" s="302"/>
    </row>
    <row r="4" spans="1:49" ht="24.75">
      <c r="A4" t="s">
        <v>16</v>
      </c>
      <c r="C4" s="8" t="s">
        <v>186</v>
      </c>
      <c r="D4" s="169">
        <f>INDEX($R$5:$R$8,MATCH($D$3,$P$5:$P$8,0))</f>
        <v>0</v>
      </c>
      <c r="E4">
        <v>2017</v>
      </c>
      <c r="F4">
        <v>2019</v>
      </c>
      <c r="G4">
        <v>2020</v>
      </c>
      <c r="H4">
        <v>2021</v>
      </c>
      <c r="I4">
        <v>2030</v>
      </c>
      <c r="J4">
        <v>2040</v>
      </c>
      <c r="K4" s="108">
        <v>2050</v>
      </c>
      <c r="L4">
        <v>2060</v>
      </c>
      <c r="M4" s="108">
        <v>2070</v>
      </c>
      <c r="N4" s="200"/>
      <c r="P4" s="166"/>
      <c r="Q4" s="302"/>
      <c r="R4" s="302"/>
      <c r="S4" s="302" t="s">
        <v>524</v>
      </c>
      <c r="T4" s="302" t="s">
        <v>525</v>
      </c>
      <c r="U4" s="302" t="s">
        <v>625</v>
      </c>
      <c r="V4" s="302"/>
      <c r="W4" s="302"/>
      <c r="X4" s="302"/>
      <c r="Y4" s="302"/>
      <c r="Z4" s="302"/>
      <c r="AA4" s="200"/>
      <c r="AC4" s="200"/>
      <c r="AD4" s="200"/>
      <c r="AE4" s="200"/>
      <c r="AF4" s="200"/>
      <c r="AG4" s="200"/>
      <c r="AH4" s="200"/>
      <c r="AI4" s="200"/>
      <c r="AJ4" s="200"/>
      <c r="AK4" s="200"/>
      <c r="AL4" s="200"/>
      <c r="AM4" s="200"/>
      <c r="AN4" s="200"/>
      <c r="AO4" s="200"/>
      <c r="AP4" s="200"/>
      <c r="AQ4" s="200"/>
      <c r="AR4" s="200"/>
      <c r="AS4" s="200"/>
      <c r="AT4" s="200"/>
      <c r="AU4" s="200"/>
      <c r="AV4" s="200"/>
      <c r="AW4" s="200"/>
    </row>
    <row r="5" spans="1:26" ht="15.75" thickBot="1">
      <c r="A5" t="s">
        <v>16</v>
      </c>
      <c r="B5" s="6"/>
      <c r="C5" s="6"/>
      <c r="J5"/>
      <c r="K5" s="108"/>
      <c r="L5" s="108"/>
      <c r="M5" s="108"/>
      <c r="P5" s="166">
        <v>-1</v>
      </c>
      <c r="Q5" s="166" t="s">
        <v>603</v>
      </c>
      <c r="R5" s="166">
        <v>0</v>
      </c>
      <c r="S5" s="164">
        <v>0.975</v>
      </c>
      <c r="T5" s="165">
        <v>0.95</v>
      </c>
      <c r="U5" s="165">
        <v>0.95</v>
      </c>
      <c r="V5" s="174">
        <v>1</v>
      </c>
      <c r="W5" s="165">
        <v>0</v>
      </c>
      <c r="X5" s="162">
        <v>0</v>
      </c>
      <c r="Y5" s="165">
        <v>0</v>
      </c>
      <c r="Z5" s="166"/>
    </row>
    <row r="6" spans="1:51" ht="15">
      <c r="A6" t="s">
        <v>16</v>
      </c>
      <c r="E6" s="9"/>
      <c r="G6" s="9"/>
      <c r="I6" s="9"/>
      <c r="J6" s="9"/>
      <c r="K6" s="130"/>
      <c r="L6" s="130"/>
      <c r="M6" s="130"/>
      <c r="N6" s="201"/>
      <c r="P6" s="166">
        <v>1</v>
      </c>
      <c r="Q6" s="166" t="s">
        <v>604</v>
      </c>
      <c r="R6" s="166">
        <v>1</v>
      </c>
      <c r="S6" s="360">
        <v>0.95</v>
      </c>
      <c r="T6" s="361">
        <v>0.95</v>
      </c>
      <c r="U6" s="165">
        <v>0.95</v>
      </c>
      <c r="V6" s="174">
        <v>1</v>
      </c>
      <c r="W6" s="165">
        <v>0</v>
      </c>
      <c r="X6" s="162">
        <v>0</v>
      </c>
      <c r="Y6" s="165">
        <v>0</v>
      </c>
      <c r="Z6" s="166"/>
      <c r="AA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row>
    <row r="7" spans="1:26" ht="15">
      <c r="A7" t="s">
        <v>16</v>
      </c>
      <c r="J7"/>
      <c r="N7" s="36"/>
      <c r="P7" s="166">
        <v>2</v>
      </c>
      <c r="Q7" s="166" t="s">
        <v>595</v>
      </c>
      <c r="R7" s="166">
        <v>1</v>
      </c>
      <c r="S7" s="164">
        <v>0.975</v>
      </c>
      <c r="T7" s="165">
        <v>0.95</v>
      </c>
      <c r="U7" s="165">
        <v>0.95</v>
      </c>
      <c r="V7" s="175">
        <v>1</v>
      </c>
      <c r="W7" s="165">
        <v>0</v>
      </c>
      <c r="X7" s="213">
        <v>0</v>
      </c>
      <c r="Y7" s="165">
        <v>0</v>
      </c>
      <c r="Z7" s="166"/>
    </row>
    <row r="8" spans="1:26" ht="15">
      <c r="A8" t="s">
        <v>16</v>
      </c>
      <c r="J8"/>
      <c r="N8" s="36"/>
      <c r="P8" s="166">
        <v>3</v>
      </c>
      <c r="Q8" s="166" t="s">
        <v>605</v>
      </c>
      <c r="R8" s="166">
        <v>1</v>
      </c>
      <c r="S8" s="164">
        <v>0.975</v>
      </c>
      <c r="T8" s="165">
        <v>0.95</v>
      </c>
      <c r="U8" s="165">
        <v>0.95</v>
      </c>
      <c r="V8" s="175">
        <v>1</v>
      </c>
      <c r="W8" s="164">
        <v>0.05</v>
      </c>
      <c r="X8" s="164">
        <v>0.025000000000000001</v>
      </c>
      <c r="Y8" s="164">
        <v>0.20</v>
      </c>
      <c r="Z8" s="166"/>
    </row>
    <row r="9" spans="1:14" ht="15">
      <c r="A9" t="s">
        <v>16</v>
      </c>
      <c r="J9"/>
      <c r="N9" s="36"/>
    </row>
    <row r="10" spans="1:14" ht="15">
      <c r="A10" t="s">
        <v>16</v>
      </c>
      <c r="B10" s="23"/>
      <c r="C10" s="23"/>
      <c r="J10"/>
      <c r="N10" s="36"/>
    </row>
    <row r="11" spans="1:25" ht="15.75" thickBot="1">
      <c r="A11" t="s">
        <v>16</v>
      </c>
      <c r="B11" s="6"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6"/>
      <c r="O11" s="8" t="s">
        <v>32</v>
      </c>
      <c r="Y11" s="8" t="s">
        <v>185</v>
      </c>
    </row>
    <row r="12" spans="1:33" ht="15.75" thickBot="1">
      <c r="A12" t="s">
        <v>16</v>
      </c>
      <c r="D12" s="6"/>
      <c r="E12" s="10">
        <f t="shared" si="0" ref="E12:M12">E4</f>
        <v>2017</v>
      </c>
      <c r="F12" s="10">
        <f t="shared" si="0"/>
        <v>2019</v>
      </c>
      <c r="G12" s="10">
        <f t="shared" si="0"/>
        <v>2020</v>
      </c>
      <c r="H12" s="10">
        <f t="shared" si="0"/>
        <v>2021</v>
      </c>
      <c r="I12" s="10">
        <f t="shared" si="0"/>
        <v>2030</v>
      </c>
      <c r="J12" s="10">
        <f t="shared" si="0"/>
        <v>2040</v>
      </c>
      <c r="K12" s="10">
        <f t="shared" si="1" ref="K12:L12">K4</f>
        <v>2050</v>
      </c>
      <c r="L12" s="10">
        <f t="shared" si="1"/>
        <v>2060</v>
      </c>
      <c r="M12" s="10">
        <f t="shared" si="0"/>
        <v>2070</v>
      </c>
      <c r="N12" s="36"/>
      <c r="O12" s="10">
        <f t="shared" si="2" ref="O12:R15">E12</f>
        <v>2017</v>
      </c>
      <c r="P12" s="10">
        <f t="shared" si="2"/>
        <v>2019</v>
      </c>
      <c r="Q12" s="10">
        <f t="shared" si="2"/>
        <v>2020</v>
      </c>
      <c r="R12" s="10">
        <f t="shared" si="2"/>
        <v>2021</v>
      </c>
      <c r="S12" s="10">
        <v>2030</v>
      </c>
      <c r="T12" s="10">
        <v>2040</v>
      </c>
      <c r="U12" s="10">
        <v>2050</v>
      </c>
      <c r="V12" s="10">
        <v>2060</v>
      </c>
      <c r="W12" s="10">
        <v>2070</v>
      </c>
      <c r="Y12" s="10">
        <f t="shared" si="3" ref="Y12:AD12">O12</f>
        <v>2017</v>
      </c>
      <c r="Z12" s="10">
        <f t="shared" si="3"/>
        <v>2019</v>
      </c>
      <c r="AA12" s="10">
        <f t="shared" si="3"/>
        <v>2020</v>
      </c>
      <c r="AB12" s="10">
        <f t="shared" si="3"/>
        <v>2021</v>
      </c>
      <c r="AC12" s="10">
        <f t="shared" si="3"/>
        <v>2030</v>
      </c>
      <c r="AD12" s="10">
        <f t="shared" si="3"/>
        <v>2040</v>
      </c>
      <c r="AE12" s="10">
        <v>2050</v>
      </c>
      <c r="AF12" s="10">
        <f>V12</f>
        <v>2060</v>
      </c>
      <c r="AG12" s="10">
        <f>W12</f>
        <v>2070</v>
      </c>
    </row>
    <row r="13" spans="1:33" ht="15">
      <c r="A13" t="s">
        <v>16</v>
      </c>
      <c r="C13" t="s">
        <v>40</v>
      </c>
      <c r="D13" t="s">
        <v>38</v>
      </c>
      <c r="E13" s="9" cm="1">
        <f t="array" ref="E13">INDEX(Drivers!$C$34:$AG$36,1,E$11)</f>
        <v>25.755361891142741</v>
      </c>
      <c r="F13" s="9" cm="1">
        <f t="array" ref="F13">INDEX(Drivers!$C$34:$AG$36,1,F$11)</f>
        <v>25.946710085536886</v>
      </c>
      <c r="G13" s="9" cm="1">
        <f t="array" ref="G13">INDEX(Drivers!$C$34:$AG$36,1,G$11)</f>
        <v>26.998265626975765</v>
      </c>
      <c r="H13" s="9" cm="1">
        <f t="array" ref="H13">INDEX(Drivers!$C$34:$AG$36,1,H$11)</f>
        <v>29.562598653733634</v>
      </c>
      <c r="I13" s="9" cm="1">
        <f t="array" ref="I13">INDEX(Drivers!$C$34:$AG$36,1,I$11)</f>
        <v>24.935508827559989</v>
      </c>
      <c r="J13" s="9" cm="1">
        <f t="array" ref="J13">INDEX(Drivers!$C$34:$AG$36,1,J$11)</f>
        <v>18.74976395137865</v>
      </c>
      <c r="K13" s="9" cm="1">
        <f t="array" ref="K13">INDEX(Drivers!$C$34:$AG$36,1,K$11)</f>
        <v>14.391261253018319</v>
      </c>
      <c r="L13" s="9" cm="1">
        <f t="array" ref="L13">INDEX(Drivers!$C$34:$AK$36,1,L$11)</f>
        <v>10.942726525865469</v>
      </c>
      <c r="M13" s="9" cm="1">
        <f t="array" ref="M13">INDEX(Drivers!$C$34:$AK$36,1,M$11)</f>
        <v>7.5455315540542882</v>
      </c>
      <c r="N13" s="36"/>
      <c r="O13" s="350">
        <f t="shared" si="2"/>
        <v>25.755361891142741</v>
      </c>
      <c r="P13" s="9">
        <f t="shared" si="2"/>
        <v>25.946710085536886</v>
      </c>
      <c r="Q13" s="9">
        <f t="shared" si="2"/>
        <v>26.998265626975765</v>
      </c>
      <c r="R13" s="9">
        <f t="shared" si="2"/>
        <v>29.562598653733634</v>
      </c>
      <c r="S13" s="9">
        <f t="shared" si="4" ref="S13:T15">I13</f>
        <v>24.935508827559989</v>
      </c>
      <c r="T13" s="9">
        <f t="shared" si="4"/>
        <v>18.74976395137865</v>
      </c>
      <c r="U13" s="9">
        <f t="shared" si="5" ref="U13:U15">K13</f>
        <v>14.391261253018319</v>
      </c>
      <c r="V13" s="9">
        <f t="shared" si="6" ref="V13:V15">L13</f>
        <v>10.942726525865469</v>
      </c>
      <c r="W13" s="9">
        <f t="shared" si="7" ref="W13:W15">M13</f>
        <v>7.5455315540542882</v>
      </c>
      <c r="Y13" s="9">
        <f t="shared" si="8" ref="Y13:AB15">E13</f>
        <v>25.755361891142741</v>
      </c>
      <c r="Z13" s="9">
        <f t="shared" si="8"/>
        <v>25.946710085536886</v>
      </c>
      <c r="AA13" s="9">
        <f t="shared" si="8"/>
        <v>26.998265626975765</v>
      </c>
      <c r="AB13" s="9">
        <f t="shared" si="8"/>
        <v>29.562598653733634</v>
      </c>
      <c r="AC13" s="10">
        <f>S13</f>
        <v>24.935508827559989</v>
      </c>
      <c r="AD13" s="9">
        <f>J13</f>
        <v>18.74976395137865</v>
      </c>
      <c r="AE13" s="9">
        <f t="shared" si="9" ref="AE13:AG15">K13</f>
        <v>14.391261253018319</v>
      </c>
      <c r="AF13" s="9">
        <f t="shared" si="9"/>
        <v>10.942726525865469</v>
      </c>
      <c r="AG13" s="9">
        <f t="shared" si="9"/>
        <v>7.5455315540542882</v>
      </c>
    </row>
    <row r="14" spans="1:33" ht="15">
      <c r="A14" t="s">
        <v>16</v>
      </c>
      <c r="C14" t="s">
        <v>42</v>
      </c>
      <c r="D14" t="s">
        <v>38</v>
      </c>
      <c r="E14" s="9" cm="1">
        <f t="array" ref="E14">INDEX(Drivers!$C$34:$AG$36,2,E$11)</f>
        <v>17.422744808714206</v>
      </c>
      <c r="F14" s="9" cm="1">
        <f t="array" ref="F14">INDEX(Drivers!$C$34:$AG$36,2,F$11)</f>
        <v>18.376375848815535</v>
      </c>
      <c r="G14" s="9" cm="1">
        <f t="array" ref="G14">INDEX(Drivers!$C$34:$AG$36,2,G$11)</f>
        <v>19.311259441517389</v>
      </c>
      <c r="H14" s="9" cm="1">
        <f t="array" ref="H14">INDEX(Drivers!$C$34:$AG$36,2,H$11)</f>
        <v>17.298419035664196</v>
      </c>
      <c r="I14" s="9" cm="1">
        <f t="array" ref="I14">INDEX(Drivers!$C$34:$AG$36,2,I$11)</f>
        <v>21.110169642087328</v>
      </c>
      <c r="J14" s="9" cm="1">
        <f t="array" ref="J14">INDEX(Drivers!$C$34:$AG$36,2,J$11)</f>
        <v>24.629369054426125</v>
      </c>
      <c r="K14" s="9" cm="1">
        <f t="array" ref="K14">INDEX(Drivers!$C$34:$AG$36,2,K$11)</f>
        <v>27.305911757015405</v>
      </c>
      <c r="L14" s="9" cm="1">
        <f t="array" ref="L14">INDEX(Drivers!$C$34:$AK$36,2,L$11)</f>
        <v>29.546154082993993</v>
      </c>
      <c r="M14" s="9" cm="1">
        <f t="array" ref="M14">INDEX(Drivers!$C$34:$AK$36,2,M$11)</f>
        <v>32.156507433028928</v>
      </c>
      <c r="N14" s="36"/>
      <c r="O14" s="9">
        <f t="shared" si="2"/>
        <v>17.422744808714206</v>
      </c>
      <c r="P14" s="9">
        <f t="shared" si="2"/>
        <v>18.376375848815535</v>
      </c>
      <c r="Q14" s="9">
        <f t="shared" si="2"/>
        <v>19.311259441517389</v>
      </c>
      <c r="R14" s="9">
        <f t="shared" si="2"/>
        <v>17.298419035664196</v>
      </c>
      <c r="S14" s="9">
        <f t="shared" si="4"/>
        <v>21.110169642087328</v>
      </c>
      <c r="T14" s="9">
        <f t="shared" si="4"/>
        <v>24.629369054426125</v>
      </c>
      <c r="U14" s="9">
        <f t="shared" si="5"/>
        <v>27.305911757015405</v>
      </c>
      <c r="V14" s="9">
        <f t="shared" si="6"/>
        <v>29.546154082993993</v>
      </c>
      <c r="W14" s="9">
        <f t="shared" si="7"/>
        <v>32.156507433028928</v>
      </c>
      <c r="Y14" s="9">
        <f t="shared" si="8"/>
        <v>17.422744808714206</v>
      </c>
      <c r="Z14" s="9">
        <f t="shared" si="8"/>
        <v>18.376375848815535</v>
      </c>
      <c r="AA14" s="9">
        <f t="shared" si="8"/>
        <v>19.311259441517389</v>
      </c>
      <c r="AB14" s="9">
        <f t="shared" si="8"/>
        <v>17.298419035664196</v>
      </c>
      <c r="AC14" s="10">
        <f>S14</f>
        <v>21.110169642087328</v>
      </c>
      <c r="AD14" s="9">
        <f>J14</f>
        <v>24.629369054426125</v>
      </c>
      <c r="AE14" s="9">
        <f t="shared" si="9"/>
        <v>27.305911757015405</v>
      </c>
      <c r="AF14" s="9">
        <f t="shared" si="9"/>
        <v>29.546154082993993</v>
      </c>
      <c r="AG14" s="9">
        <f t="shared" si="9"/>
        <v>32.156507433028928</v>
      </c>
    </row>
    <row r="15" spans="1:61" ht="15">
      <c r="A15" t="s">
        <v>16</v>
      </c>
      <c r="C15" t="s">
        <v>41</v>
      </c>
      <c r="D15" t="s">
        <v>38</v>
      </c>
      <c r="E15" s="9" cm="1">
        <f t="array" ref="E15">INDEX(Drivers!$C$34:$AG$36,3,E$11)</f>
        <v>13.343841341791148</v>
      </c>
      <c r="F15" s="9" cm="1">
        <f t="array" ref="F15">INDEX(Drivers!$C$34:$AG$36,3,F$11)</f>
        <v>14.041748987467024</v>
      </c>
      <c r="G15" s="9" cm="1">
        <f t="array" ref="G15">INDEX(Drivers!$C$34:$AG$36,3,G$11)</f>
        <v>11.858701524628284</v>
      </c>
      <c r="H15" s="9" cm="1">
        <f t="array" ref="H15">INDEX(Drivers!$C$34:$AG$36,3,H$11)</f>
        <v>12.531237310602172</v>
      </c>
      <c r="I15" s="9" cm="1">
        <f t="array" ref="I15">INDEX(Drivers!$C$34:$AG$36,3,I$11)</f>
        <v>18.613599530352676</v>
      </c>
      <c r="J15" s="9" cm="1">
        <f t="array" ref="J15">INDEX(Drivers!$C$34:$AG$36,3,J$11)</f>
        <v>26.334803994195223</v>
      </c>
      <c r="K15" s="9" cm="1">
        <f t="array" ref="K15">INDEX(Drivers!$C$34:$AG$36,3,K$11)</f>
        <v>31.83257998996627</v>
      </c>
      <c r="L15" s="9" cm="1">
        <f t="array" ref="L15">INDEX(Drivers!$C$34:$AK$36,3,L$11)</f>
        <v>35.174317391140541</v>
      </c>
      <c r="M15" s="9" cm="1">
        <f t="array" ref="M15">INDEX(Drivers!$C$34:$AK$36,3,M$11)</f>
        <v>36.800116012916789</v>
      </c>
      <c r="N15" s="36"/>
      <c r="O15" s="9">
        <f t="shared" si="2"/>
        <v>13.343841341791148</v>
      </c>
      <c r="P15" s="9">
        <f t="shared" si="2"/>
        <v>14.041748987467024</v>
      </c>
      <c r="Q15" s="9">
        <f t="shared" si="2"/>
        <v>11.858701524628284</v>
      </c>
      <c r="R15" s="9">
        <f t="shared" si="2"/>
        <v>12.531237310602172</v>
      </c>
      <c r="S15" s="9">
        <f t="shared" si="4"/>
        <v>18.613599530352676</v>
      </c>
      <c r="T15" s="9">
        <f t="shared" si="4"/>
        <v>26.334803994195223</v>
      </c>
      <c r="U15" s="9">
        <f t="shared" si="5"/>
        <v>31.83257998996627</v>
      </c>
      <c r="V15" s="9">
        <f t="shared" si="6"/>
        <v>35.174317391140541</v>
      </c>
      <c r="W15" s="9">
        <f t="shared" si="7"/>
        <v>36.800116012916789</v>
      </c>
      <c r="Y15" s="9">
        <f t="shared" si="8"/>
        <v>13.343841341791148</v>
      </c>
      <c r="Z15" s="9">
        <f t="shared" si="8"/>
        <v>14.041748987467024</v>
      </c>
      <c r="AA15" s="9">
        <f t="shared" si="8"/>
        <v>11.858701524628284</v>
      </c>
      <c r="AB15" s="9">
        <f t="shared" si="8"/>
        <v>12.531237310602172</v>
      </c>
      <c r="AC15" s="10">
        <f>S15</f>
        <v>18.613599530352676</v>
      </c>
      <c r="AD15" s="9">
        <f>J15</f>
        <v>26.334803994195223</v>
      </c>
      <c r="AE15" s="9">
        <f t="shared" si="9"/>
        <v>31.83257998996627</v>
      </c>
      <c r="AF15" s="9">
        <f t="shared" si="9"/>
        <v>35.174317391140541</v>
      </c>
      <c r="AG15" s="9">
        <f t="shared" si="9"/>
        <v>36.800116012916789</v>
      </c>
      <c r="BI15" s="26"/>
    </row>
    <row r="16" spans="1:61" ht="15">
      <c r="A16" t="s">
        <v>16</v>
      </c>
      <c r="E16" s="7">
        <f t="shared" si="10" ref="E16:I16">SUM(E13:E15)</f>
        <v>56.521948041648095</v>
      </c>
      <c r="F16" s="7">
        <f t="shared" si="10"/>
        <v>58.364834921819444</v>
      </c>
      <c r="G16" s="7">
        <f t="shared" si="10"/>
        <v>58.168226593121446</v>
      </c>
      <c r="H16" s="7">
        <f t="shared" si="10"/>
        <v>59.392254999999999</v>
      </c>
      <c r="I16" s="7">
        <f t="shared" si="10"/>
        <v>64.659277999999986</v>
      </c>
      <c r="J16" s="7">
        <f>SUM(J13:J15)</f>
        <v>69.713937000000001</v>
      </c>
      <c r="K16" s="7">
        <f>SUM(K13:K15)</f>
        <v>73.529752999999999</v>
      </c>
      <c r="L16" s="7">
        <f>SUM(L13:L15)</f>
        <v>75.663197999999994</v>
      </c>
      <c r="M16" s="7">
        <f>SUM(M13:M15)</f>
        <v>76.502155000000002</v>
      </c>
      <c r="N16" s="36"/>
      <c r="O16" s="7">
        <f t="shared" si="11" ref="O16:W16">SUM(O13:O15)</f>
        <v>56.521948041648095</v>
      </c>
      <c r="P16" s="7">
        <f t="shared" si="11"/>
        <v>58.364834921819444</v>
      </c>
      <c r="Q16" s="7">
        <f t="shared" si="11"/>
        <v>58.168226593121446</v>
      </c>
      <c r="R16" s="7">
        <f t="shared" si="11"/>
        <v>59.392254999999999</v>
      </c>
      <c r="S16" s="7">
        <f t="shared" si="11"/>
        <v>64.659277999999986</v>
      </c>
      <c r="T16" s="7">
        <f t="shared" si="11"/>
        <v>69.713937000000001</v>
      </c>
      <c r="U16" s="7">
        <f t="shared" si="12" ref="U16:V16">SUM(U13:U15)</f>
        <v>73.529752999999999</v>
      </c>
      <c r="V16" s="7">
        <f t="shared" si="12"/>
        <v>75.663197999999994</v>
      </c>
      <c r="W16" s="7">
        <f t="shared" si="11"/>
        <v>76.502155000000002</v>
      </c>
      <c r="Y16" s="40">
        <f t="shared" si="13" ref="Y16:AG16">SUM(Y13:Y15)</f>
        <v>56.521948041648095</v>
      </c>
      <c r="Z16" s="40">
        <f t="shared" si="13"/>
        <v>58.364834921819444</v>
      </c>
      <c r="AA16" s="40">
        <f t="shared" si="13"/>
        <v>58.168226593121446</v>
      </c>
      <c r="AB16" s="40">
        <f t="shared" si="13"/>
        <v>59.392254999999999</v>
      </c>
      <c r="AC16" s="10">
        <f>S16</f>
        <v>64.659277999999986</v>
      </c>
      <c r="AD16" s="40">
        <f t="shared" si="13"/>
        <v>69.713937000000001</v>
      </c>
      <c r="AE16" s="40">
        <f t="shared" si="14" ref="AE16:AF16">SUM(AE13:AE15)</f>
        <v>73.529752999999999</v>
      </c>
      <c r="AF16" s="40">
        <f t="shared" si="14"/>
        <v>75.663197999999994</v>
      </c>
      <c r="AG16" s="40">
        <f t="shared" si="13"/>
        <v>76.502155000000002</v>
      </c>
      <c r="BI16" s="26"/>
    </row>
    <row r="17" spans="1:14 61:61" ht="15">
      <c r="A17" t="s">
        <v>16</v>
      </c>
      <c r="B17" s="23"/>
      <c r="J17"/>
      <c r="N17" s="36"/>
      <c r="BI17" s="26"/>
    </row>
    <row r="18" spans="1:23" ht="15.75" thickBot="1">
      <c r="A18" t="s">
        <v>16</v>
      </c>
      <c r="B18" s="24"/>
      <c r="C18" s="6" t="s">
        <v>49</v>
      </c>
      <c r="D18" s="6"/>
      <c r="E18" s="10">
        <f>E12</f>
        <v>2017</v>
      </c>
      <c r="F18" s="10">
        <f t="shared" si="15" ref="F18:H18">F12</f>
        <v>2019</v>
      </c>
      <c r="G18" s="10">
        <f t="shared" si="15"/>
        <v>2020</v>
      </c>
      <c r="H18" s="10">
        <f t="shared" si="15"/>
        <v>2021</v>
      </c>
      <c r="I18" s="10">
        <v>2030</v>
      </c>
      <c r="J18" s="10">
        <v>2040</v>
      </c>
      <c r="K18" s="10">
        <v>2050</v>
      </c>
      <c r="L18" s="10">
        <v>2060</v>
      </c>
      <c r="M18" s="10">
        <v>2070</v>
      </c>
      <c r="N18" s="36"/>
      <c r="O18" s="10">
        <f t="shared" si="16" ref="O18:T18">E18</f>
        <v>2017</v>
      </c>
      <c r="P18" s="10">
        <f t="shared" si="16"/>
        <v>2019</v>
      </c>
      <c r="Q18" s="10">
        <f t="shared" si="16"/>
        <v>2020</v>
      </c>
      <c r="R18" s="10">
        <f t="shared" si="16"/>
        <v>2021</v>
      </c>
      <c r="S18" s="10">
        <f t="shared" si="16"/>
        <v>2030</v>
      </c>
      <c r="T18" s="10">
        <f t="shared" si="16"/>
        <v>2040</v>
      </c>
      <c r="U18" s="10">
        <f>L18</f>
        <v>2060</v>
      </c>
      <c r="V18" s="10">
        <f>L18</f>
        <v>2060</v>
      </c>
      <c r="W18" s="10">
        <f>M18</f>
        <v>2070</v>
      </c>
    </row>
    <row r="19" spans="1:51" ht="15">
      <c r="A19" t="s">
        <v>16</v>
      </c>
      <c r="B19" s="23"/>
      <c r="C19" t="s">
        <v>7</v>
      </c>
      <c r="D19" s="31" t="s">
        <v>495</v>
      </c>
      <c r="E19" s="177">
        <f>RES!E43</f>
        <v>1</v>
      </c>
      <c r="F19" s="177">
        <f>AVERAGE(E19,G19)</f>
        <v>1</v>
      </c>
      <c r="G19" s="12">
        <f>RES!F43</f>
        <v>1</v>
      </c>
      <c r="H19" s="177">
        <f>AVERAGE(G19,I19)</f>
        <v>1</v>
      </c>
      <c r="I19" s="12">
        <f>RES!G43</f>
        <v>1</v>
      </c>
      <c r="J19" s="12">
        <f>RES!H43</f>
        <v>1</v>
      </c>
      <c r="K19" s="12">
        <f>RES!H43</f>
        <v>1</v>
      </c>
      <c r="L19" s="12">
        <f>RES!H43</f>
        <v>1</v>
      </c>
      <c r="M19" s="12">
        <f>RES!I43</f>
        <v>1</v>
      </c>
      <c r="N19" s="38"/>
      <c r="Q19" s="12"/>
      <c r="S19" s="12"/>
      <c r="T19" s="12"/>
      <c r="U19" s="12"/>
      <c r="V19" s="12"/>
      <c r="W19" s="12"/>
      <c r="X19" s="12"/>
      <c r="AA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row>
    <row r="20" spans="1:51" ht="15">
      <c r="A20" t="s">
        <v>16</v>
      </c>
      <c r="B20" s="23"/>
      <c r="C20" s="23" t="s">
        <v>8</v>
      </c>
      <c r="D20" s="31" t="s">
        <v>495</v>
      </c>
      <c r="E20" s="177">
        <f>RES!E44</f>
        <v>1</v>
      </c>
      <c r="F20" s="177">
        <f t="shared" si="17" ref="F20:F21">AVERAGE(E20,G20)</f>
        <v>1</v>
      </c>
      <c r="G20" s="12">
        <f>RES!F44</f>
        <v>1</v>
      </c>
      <c r="H20" s="177">
        <f t="shared" si="18" ref="H20:H21">AVERAGE(G20,I20)</f>
        <v>1</v>
      </c>
      <c r="I20" s="12">
        <f>RES!G44</f>
        <v>1</v>
      </c>
      <c r="J20" s="12">
        <f>RES!H44</f>
        <v>1</v>
      </c>
      <c r="K20" s="12">
        <f>RES!H44</f>
        <v>1</v>
      </c>
      <c r="L20" s="12">
        <f>RES!H44</f>
        <v>1</v>
      </c>
      <c r="M20" s="12">
        <f>RES!I44</f>
        <v>1</v>
      </c>
      <c r="N20" s="38"/>
      <c r="Q20" s="12"/>
      <c r="S20" s="12"/>
      <c r="T20" s="12"/>
      <c r="U20" s="12"/>
      <c r="V20" s="12"/>
      <c r="W20" s="12"/>
      <c r="X20" s="12"/>
      <c r="AA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row>
    <row r="21" spans="1:51" ht="15">
      <c r="A21" t="s">
        <v>16</v>
      </c>
      <c r="C21" s="23" t="s">
        <v>390</v>
      </c>
      <c r="D21" s="31" t="s">
        <v>495</v>
      </c>
      <c r="E21" s="177">
        <f>RES!E45</f>
        <v>1.0761183212512533</v>
      </c>
      <c r="F21" s="177">
        <f t="shared" si="17"/>
        <v>1.0376646442834887</v>
      </c>
      <c r="G21" s="9">
        <f>RES!F45</f>
        <v>0.99921096731572434</v>
      </c>
      <c r="H21" s="177">
        <f t="shared" si="18"/>
        <v>1.2811826548006562</v>
      </c>
      <c r="I21" s="12">
        <f>RES!G45</f>
        <v>1.5631543422855882</v>
      </c>
      <c r="J21" s="12">
        <f>RES!H45</f>
        <v>2.3893086595113373</v>
      </c>
      <c r="K21" s="12">
        <f>RES!I45</f>
        <v>3.37463231702628</v>
      </c>
      <c r="L21" s="12">
        <f>RES!J45</f>
        <v>3.9289729770613335</v>
      </c>
      <c r="M21" s="12">
        <f>RES!K45</f>
        <v>4.2870311004179991</v>
      </c>
      <c r="N21" s="38"/>
      <c r="Q21" s="39">
        <v>0.25</v>
      </c>
      <c r="R21" s="39">
        <v>0.25</v>
      </c>
      <c r="S21" s="39">
        <f>Q21</f>
        <v>0.25</v>
      </c>
      <c r="T21" s="39">
        <f>S21</f>
        <v>0.25</v>
      </c>
      <c r="U21" s="39">
        <f>S21</f>
        <v>0.25</v>
      </c>
      <c r="V21" s="39">
        <f>S21</f>
        <v>0.25</v>
      </c>
      <c r="W21" s="39">
        <f>T21</f>
        <v>0.25</v>
      </c>
      <c r="X21" s="12"/>
      <c r="AA21" s="50"/>
      <c r="AC21" s="12"/>
      <c r="AD21" s="12"/>
      <c r="AE21" s="12"/>
      <c r="AF21" s="12"/>
      <c r="AG21" s="12"/>
      <c r="AH21" s="12"/>
      <c r="AI21" s="12"/>
      <c r="AJ21" s="12"/>
      <c r="AK21" s="12"/>
      <c r="AL21" s="12"/>
      <c r="AM21" s="12"/>
      <c r="AN21" s="12"/>
      <c r="AO21" s="12"/>
      <c r="AP21" s="12"/>
      <c r="AQ21" s="12"/>
      <c r="AR21" s="12"/>
      <c r="AS21" s="12"/>
      <c r="AT21" s="12"/>
      <c r="AU21" s="12"/>
      <c r="AV21" s="12"/>
      <c r="AW21" s="12"/>
      <c r="AX21" s="12"/>
      <c r="AY21" s="11"/>
    </row>
    <row r="22" spans="1:51" ht="15">
      <c r="A22" t="s">
        <v>16</v>
      </c>
      <c r="C22" s="23"/>
      <c r="J22"/>
      <c r="N22" s="38"/>
      <c r="Q22" s="12"/>
      <c r="S22" s="12"/>
      <c r="T22" s="12"/>
      <c r="U22" s="12"/>
      <c r="V22" s="12"/>
      <c r="W22" s="12"/>
      <c r="X22" s="12"/>
      <c r="AA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row>
    <row r="23" spans="1:25" ht="15">
      <c r="A23" t="s">
        <v>16</v>
      </c>
      <c r="B23" s="23"/>
      <c r="C23" s="23"/>
      <c r="J23"/>
      <c r="N23" s="36"/>
      <c r="Y23" t="s">
        <v>800</v>
      </c>
    </row>
    <row r="24" spans="1:33" ht="15.75" thickBot="1">
      <c r="A24" t="s">
        <v>16</v>
      </c>
      <c r="B24" s="6" t="s">
        <v>148</v>
      </c>
      <c r="D24" s="6"/>
      <c r="E24" s="10">
        <f t="shared" si="19" ref="E24:M24">E4</f>
        <v>2017</v>
      </c>
      <c r="F24" s="10">
        <f t="shared" si="19"/>
        <v>2019</v>
      </c>
      <c r="G24" s="10">
        <f t="shared" si="19"/>
        <v>2020</v>
      </c>
      <c r="H24" s="10">
        <f t="shared" si="19"/>
        <v>2021</v>
      </c>
      <c r="I24" s="10">
        <f t="shared" si="19"/>
        <v>2030</v>
      </c>
      <c r="J24" s="10">
        <f t="shared" si="19"/>
        <v>2040</v>
      </c>
      <c r="K24" s="10">
        <f t="shared" si="20" ref="K24:L24">K4</f>
        <v>2050</v>
      </c>
      <c r="L24" s="10">
        <f t="shared" si="20"/>
        <v>2060</v>
      </c>
      <c r="M24" s="10">
        <f t="shared" si="19"/>
        <v>2070</v>
      </c>
      <c r="N24" s="36"/>
      <c r="O24" s="10">
        <f t="shared" si="21" ref="O24:T24">E24</f>
        <v>2017</v>
      </c>
      <c r="P24" s="10">
        <f t="shared" si="21"/>
        <v>2019</v>
      </c>
      <c r="Q24" s="10">
        <f t="shared" si="21"/>
        <v>2020</v>
      </c>
      <c r="R24" s="10">
        <f t="shared" si="21"/>
        <v>2021</v>
      </c>
      <c r="S24" s="10">
        <f t="shared" si="21"/>
        <v>2030</v>
      </c>
      <c r="T24" s="10">
        <f t="shared" si="21"/>
        <v>2040</v>
      </c>
      <c r="U24" s="10">
        <f>L24</f>
        <v>2060</v>
      </c>
      <c r="V24" s="10">
        <f>L24</f>
        <v>2060</v>
      </c>
      <c r="W24" s="10">
        <f>M24</f>
        <v>2070</v>
      </c>
      <c r="Y24" s="246">
        <f t="shared" si="22" ref="Y24:AG24">Y$12</f>
        <v>2017</v>
      </c>
      <c r="Z24" s="246">
        <f t="shared" si="22"/>
        <v>2019</v>
      </c>
      <c r="AA24" s="246">
        <f t="shared" si="22"/>
        <v>2020</v>
      </c>
      <c r="AB24" s="246">
        <f t="shared" si="22"/>
        <v>2021</v>
      </c>
      <c r="AC24" s="246">
        <f t="shared" si="22"/>
        <v>2030</v>
      </c>
      <c r="AD24" s="246">
        <f t="shared" si="22"/>
        <v>2040</v>
      </c>
      <c r="AE24" s="246">
        <f t="shared" si="22"/>
        <v>2050</v>
      </c>
      <c r="AF24" s="246">
        <f t="shared" si="22"/>
        <v>2060</v>
      </c>
      <c r="AG24" s="246">
        <f t="shared" si="22"/>
        <v>2070</v>
      </c>
    </row>
    <row r="25" spans="1:51" ht="15">
      <c r="A25" t="s">
        <v>16</v>
      </c>
      <c r="B25" s="167">
        <f>INDEX($U$5:$U$8,MATCH($D$3,$P$5:$P$8,0))</f>
        <v>0.94999999999999996</v>
      </c>
      <c r="C25" s="23" t="str">
        <f>C19</f>
        <v>Low Income</v>
      </c>
      <c r="D25" t="s">
        <v>39</v>
      </c>
      <c r="E25" s="196">
        <v>0.02</v>
      </c>
      <c r="F25" s="53">
        <f t="shared" si="23" ref="F25:J27">IF($D$4,Z25,P25)</f>
        <v>0.02</v>
      </c>
      <c r="G25" s="53">
        <f t="shared" si="23"/>
        <v>0.02</v>
      </c>
      <c r="H25" s="53">
        <f t="shared" si="23"/>
        <v>0.02</v>
      </c>
      <c r="I25" s="53">
        <f t="shared" si="23"/>
        <v>0.02</v>
      </c>
      <c r="J25" s="53">
        <f t="shared" si="23"/>
        <v>0.02</v>
      </c>
      <c r="K25" s="53">
        <f>IF($D$4,AD25,T25)</f>
        <v>0.02</v>
      </c>
      <c r="L25" s="53">
        <f>IF($D$4,AD25,T25)</f>
        <v>0.02</v>
      </c>
      <c r="M25" s="53">
        <f>IF($D$4,AG25,W25)</f>
        <v>0.02</v>
      </c>
      <c r="N25" s="202"/>
      <c r="O25" s="351">
        <f>E25</f>
        <v>0.02</v>
      </c>
      <c r="P25" s="53">
        <f>O25</f>
        <v>0.02</v>
      </c>
      <c r="Q25" s="53">
        <f t="shared" si="24" ref="Q25:T25">P25</f>
        <v>0.02</v>
      </c>
      <c r="R25" s="53">
        <f t="shared" si="24"/>
        <v>0.02</v>
      </c>
      <c r="S25" s="30">
        <f t="shared" si="24"/>
        <v>0.02</v>
      </c>
      <c r="T25" s="30">
        <f t="shared" si="24"/>
        <v>0.02</v>
      </c>
      <c r="U25" s="30">
        <f>S25</f>
        <v>0.02</v>
      </c>
      <c r="V25" s="30">
        <f t="shared" si="25" ref="V25:W27">S25</f>
        <v>0.02</v>
      </c>
      <c r="W25" s="30">
        <f t="shared" si="25"/>
        <v>0.02</v>
      </c>
      <c r="X25" s="50"/>
      <c r="Y25" s="121">
        <f t="shared" si="26" ref="Y25:AB27">O25</f>
        <v>0.02</v>
      </c>
      <c r="Z25" s="121">
        <f t="shared" si="26"/>
        <v>0.02</v>
      </c>
      <c r="AA25" s="121">
        <f t="shared" si="26"/>
        <v>0.02</v>
      </c>
      <c r="AB25" s="121">
        <f t="shared" si="26"/>
        <v>0.02</v>
      </c>
      <c r="AC25" s="61">
        <f>AB25</f>
        <v>0.02</v>
      </c>
      <c r="AD25" s="61">
        <f t="shared" si="27" ref="AD25:AG25">AC25</f>
        <v>0.02</v>
      </c>
      <c r="AE25" s="61">
        <f t="shared" si="27"/>
        <v>0.02</v>
      </c>
      <c r="AF25" s="61">
        <f t="shared" si="27"/>
        <v>0.02</v>
      </c>
      <c r="AG25" s="61">
        <f t="shared" si="27"/>
        <v>0.02</v>
      </c>
      <c r="AH25" s="50"/>
      <c r="AI25" s="50"/>
      <c r="AJ25" s="50"/>
      <c r="AK25" s="50"/>
      <c r="AL25" s="50"/>
      <c r="AM25" s="50"/>
      <c r="AN25" s="50"/>
      <c r="AO25" s="50"/>
      <c r="AP25" s="50"/>
      <c r="AQ25" s="50"/>
      <c r="AR25" s="50"/>
      <c r="AS25" s="50"/>
      <c r="AT25" s="50"/>
      <c r="AU25" s="50"/>
      <c r="AV25" s="50"/>
      <c r="AW25" s="50"/>
      <c r="AX25" s="50"/>
      <c r="AY25" s="50"/>
    </row>
    <row r="26" spans="1:51" ht="15">
      <c r="A26" t="s">
        <v>16</v>
      </c>
      <c r="B26" s="167">
        <f>INDEX($T$5:$T$8,MATCH($D$3,$P$5:$P$8,0))</f>
        <v>0.94999999999999996</v>
      </c>
      <c r="C26" s="23" t="str">
        <f>C20</f>
        <v>Middle Income</v>
      </c>
      <c r="D26" t="s">
        <v>39</v>
      </c>
      <c r="E26" s="196">
        <v>0.53</v>
      </c>
      <c r="F26" s="53">
        <f t="shared" si="23"/>
        <v>0.53000000000000003</v>
      </c>
      <c r="G26" s="53">
        <f t="shared" si="23"/>
        <v>0.53000000000000003</v>
      </c>
      <c r="H26" s="53">
        <f t="shared" si="23"/>
        <v>0.53000000000000003</v>
      </c>
      <c r="I26" s="53">
        <f t="shared" si="23"/>
        <v>0.53000000000000003</v>
      </c>
      <c r="J26" s="53">
        <f t="shared" si="23"/>
        <v>0.53000000000000003</v>
      </c>
      <c r="K26" s="53">
        <f>IF($D$4,AD26,T26)</f>
        <v>0.53000000000000003</v>
      </c>
      <c r="L26" s="53">
        <f>IF($D$4,AD26,T26)</f>
        <v>0.53000000000000003</v>
      </c>
      <c r="M26" s="53">
        <f>IF($D$4,AG26,W26)</f>
        <v>0.53000000000000003</v>
      </c>
      <c r="N26" s="202"/>
      <c r="O26" s="53">
        <f>E26</f>
        <v>0.53000000000000003</v>
      </c>
      <c r="P26" s="53">
        <f t="shared" si="28" ref="P26:P27">O26</f>
        <v>0.53000000000000003</v>
      </c>
      <c r="Q26" s="53">
        <f t="shared" si="29" ref="Q26:T26">P26</f>
        <v>0.53000000000000003</v>
      </c>
      <c r="R26" s="53">
        <f t="shared" si="29"/>
        <v>0.53000000000000003</v>
      </c>
      <c r="S26" s="30">
        <f t="shared" si="29"/>
        <v>0.53000000000000003</v>
      </c>
      <c r="T26" s="30">
        <f t="shared" si="29"/>
        <v>0.53000000000000003</v>
      </c>
      <c r="U26" s="30">
        <f>S26</f>
        <v>0.53000000000000003</v>
      </c>
      <c r="V26" s="30">
        <f t="shared" si="25"/>
        <v>0.53000000000000003</v>
      </c>
      <c r="W26" s="30">
        <f t="shared" si="25"/>
        <v>0.53000000000000003</v>
      </c>
      <c r="X26" s="50"/>
      <c r="Y26" s="53">
        <f t="shared" si="26"/>
        <v>0.53000000000000003</v>
      </c>
      <c r="Z26" s="53">
        <f t="shared" si="26"/>
        <v>0.53000000000000003</v>
      </c>
      <c r="AA26" s="53">
        <f t="shared" si="26"/>
        <v>0.53000000000000003</v>
      </c>
      <c r="AB26" s="53">
        <f t="shared" si="26"/>
        <v>0.53000000000000003</v>
      </c>
      <c r="AC26" s="359">
        <f>IF(INDEX($V$5:$V$8,MATCH($D$3,$P$5:$P$8,0)),AA26*$B$26,AA26)</f>
        <v>0.50349999999999995</v>
      </c>
      <c r="AD26" s="359">
        <f>IF(INDEX($V$5:$V$8,MATCH($D$3,$P$5:$P$8,0)),AC26*$B$26,AC26)</f>
        <v>0.47832499999999994</v>
      </c>
      <c r="AE26" s="359">
        <f>IF(INDEX($V$5:$V$8,MATCH($D$3,$P$5:$P$8,0)),AC26*$B$26,AC26)</f>
        <v>0.47832499999999994</v>
      </c>
      <c r="AF26" s="359">
        <f>IF(INDEX($V$5:$V$8,MATCH($D$3,$P$5:$P$8,0)),AC26*$B$26,AC26)</f>
        <v>0.47832499999999994</v>
      </c>
      <c r="AG26" s="359">
        <f>IF(INDEX($V$5:$V$8,MATCH($D$3,$P$5:$P$8,0)),AD26*$B$26,AD26)</f>
        <v>0.45440874999999992</v>
      </c>
      <c r="AH26" s="50" t="s">
        <v>798</v>
      </c>
      <c r="AI26" s="50"/>
      <c r="AJ26" s="50"/>
      <c r="AK26" s="50"/>
      <c r="AL26" s="50"/>
      <c r="AM26" s="50"/>
      <c r="AN26" s="50"/>
      <c r="AO26" s="50"/>
      <c r="AP26" s="50"/>
      <c r="AQ26" s="50"/>
      <c r="AR26" s="50"/>
      <c r="AS26" s="50"/>
      <c r="AT26" s="50"/>
      <c r="AU26" s="50"/>
      <c r="AV26" s="50"/>
      <c r="AW26" s="50"/>
      <c r="AX26" s="50"/>
      <c r="AY26" s="50"/>
    </row>
    <row r="27" spans="1:51" ht="15">
      <c r="A27" t="s">
        <v>16</v>
      </c>
      <c r="B27" s="167">
        <f>INDEX($S$5:$S$8,MATCH($D$3,$P$5:$P$8,0))</f>
        <v>0.97499999999999998</v>
      </c>
      <c r="C27" s="23" t="str">
        <f>C21</f>
        <v>High Income</v>
      </c>
      <c r="D27" t="s">
        <v>39</v>
      </c>
      <c r="E27" s="230">
        <v>0.76810810810810803</v>
      </c>
      <c r="F27" s="53">
        <f t="shared" si="23"/>
        <v>0.76810810810810803</v>
      </c>
      <c r="G27" s="53">
        <f t="shared" si="23"/>
        <v>0.76810810810810803</v>
      </c>
      <c r="H27" s="53">
        <f t="shared" si="23"/>
        <v>0.76810810810810803</v>
      </c>
      <c r="I27" s="53">
        <f t="shared" si="23"/>
        <v>0.76810810810810803</v>
      </c>
      <c r="J27" s="53">
        <f t="shared" si="23"/>
        <v>0.76810810810810803</v>
      </c>
      <c r="K27" s="53">
        <f>IF($D$4,AD27,T27)</f>
        <v>0.76810810810810803</v>
      </c>
      <c r="L27" s="53">
        <f>IF($D$4,AD27,T27)</f>
        <v>0.76810810810810803</v>
      </c>
      <c r="M27" s="53">
        <f>IF($D$4,AG27,W27)</f>
        <v>0.76810810810810803</v>
      </c>
      <c r="N27" s="202"/>
      <c r="O27" s="53">
        <f>E27</f>
        <v>0.76810810810810803</v>
      </c>
      <c r="P27" s="53">
        <f t="shared" si="28"/>
        <v>0.76810810810810803</v>
      </c>
      <c r="Q27" s="53">
        <f t="shared" si="30" ref="Q27:T27">P27</f>
        <v>0.76810810810810803</v>
      </c>
      <c r="R27" s="53">
        <f t="shared" si="30"/>
        <v>0.76810810810810803</v>
      </c>
      <c r="S27" s="30">
        <f t="shared" si="30"/>
        <v>0.76810810810810803</v>
      </c>
      <c r="T27" s="30">
        <f t="shared" si="30"/>
        <v>0.76810810810810803</v>
      </c>
      <c r="U27" s="30">
        <f>S27</f>
        <v>0.76810810810810803</v>
      </c>
      <c r="V27" s="30">
        <f t="shared" si="25"/>
        <v>0.76810810810810803</v>
      </c>
      <c r="W27" s="30">
        <f t="shared" si="25"/>
        <v>0.76810810810810803</v>
      </c>
      <c r="X27" s="50"/>
      <c r="Y27" s="53">
        <f t="shared" si="26"/>
        <v>0.76810810810810803</v>
      </c>
      <c r="Z27" s="53">
        <f t="shared" si="26"/>
        <v>0.76810810810810803</v>
      </c>
      <c r="AA27" s="53">
        <f t="shared" si="26"/>
        <v>0.76810810810810803</v>
      </c>
      <c r="AB27" s="53">
        <f t="shared" si="26"/>
        <v>0.76810810810810803</v>
      </c>
      <c r="AC27" s="359">
        <f>IF(INDEX($V$5:$V$8,MATCH($D$3,$P$5:$P$8,0)),AA27*$B$27,AA27)</f>
        <v>0.74890540540540529</v>
      </c>
      <c r="AD27" s="359">
        <f>IF(INDEX($V$5:$V$8,MATCH($D$3,$P$5:$P$8,0)),AC27*$B$27,AC27)</f>
        <v>0.73018277027027012</v>
      </c>
      <c r="AE27" s="359">
        <f>IF(INDEX($V$5:$V$8,MATCH($D$3,$P$5:$P$8,0)),AC27*$B$27,AC27)</f>
        <v>0.73018277027027012</v>
      </c>
      <c r="AF27" s="359">
        <f>IF(INDEX($V$5:$V$8,MATCH($D$3,$P$5:$P$8,0)),AC27*$B$27,AC27)</f>
        <v>0.73018277027027012</v>
      </c>
      <c r="AG27" s="359">
        <f>IF(INDEX($V$5:$V$8,MATCH($D$3,$P$5:$P$8,0)),AD27*$B$27,AD27)</f>
        <v>0.7119282010135134</v>
      </c>
      <c r="AH27" s="50"/>
      <c r="AI27" s="50"/>
      <c r="AJ27" s="50"/>
      <c r="AK27" s="50"/>
      <c r="AL27" s="50"/>
      <c r="AM27" s="50"/>
      <c r="AN27" s="50"/>
      <c r="AO27" s="50"/>
      <c r="AP27" s="50"/>
      <c r="AQ27" s="50"/>
      <c r="AR27" s="50"/>
      <c r="AS27" s="50"/>
      <c r="AT27" s="50"/>
      <c r="AU27" s="50"/>
      <c r="AV27" s="50"/>
      <c r="AW27" s="50"/>
      <c r="AX27" s="50"/>
      <c r="AY27" s="50"/>
    </row>
    <row r="28" spans="1:30" ht="15">
      <c r="A28" t="s">
        <v>16</v>
      </c>
      <c r="B28" s="23"/>
      <c r="C28" s="23"/>
      <c r="E28" s="68">
        <f t="shared" si="31" ref="E28">SUMPRODUCT(E25:E27,E13:E15)/E16</f>
        <v>0.35382139871830592</v>
      </c>
      <c r="F28" s="68">
        <f>SUMPRODUCT(F25:F27,F13:F15)/F16</f>
        <v>0.36055948207621846</v>
      </c>
      <c r="G28" s="68">
        <f t="shared" si="32" ref="G28:M28">SUMPRODUCT(G25:G27,G13:G15)/G16</f>
        <v>0.34183090621497481</v>
      </c>
      <c r="H28" s="68">
        <f t="shared" si="32"/>
        <v>0.32638530133057025</v>
      </c>
      <c r="I28" s="68">
        <f t="shared" si="32"/>
        <v>0.40186586690928794</v>
      </c>
      <c r="J28" s="68">
        <f t="shared" si="32"/>
        <v>0.48278061460296756</v>
      </c>
      <c r="K28" s="68">
        <f t="shared" si="33" ref="K28:L28">SUMPRODUCT(K25:K27,K13:K15)/K16</f>
        <v>0.53326469420578004</v>
      </c>
      <c r="L28" s="68">
        <f t="shared" si="33"/>
        <v>0.56693340638083012</v>
      </c>
      <c r="M28" s="68">
        <f t="shared" si="32"/>
        <v>0.59423590171318474</v>
      </c>
      <c r="N28" s="36"/>
      <c r="Y28" t="s">
        <v>187</v>
      </c>
      <c r="AA28" s="68"/>
      <c r="AC28" s="68"/>
      <c r="AD28" s="29"/>
    </row>
    <row r="29" spans="1:33" ht="15.75" thickBot="1">
      <c r="A29" t="s">
        <v>16</v>
      </c>
      <c r="B29" s="6" t="s">
        <v>176</v>
      </c>
      <c r="D29" s="6"/>
      <c r="E29" s="10">
        <f>E4</f>
        <v>2017</v>
      </c>
      <c r="F29" s="10">
        <f t="shared" si="34" ref="F29:H29">F4</f>
        <v>2019</v>
      </c>
      <c r="G29" s="10">
        <f t="shared" si="34"/>
        <v>2020</v>
      </c>
      <c r="H29" s="10">
        <f t="shared" si="34"/>
        <v>2021</v>
      </c>
      <c r="I29" s="10">
        <v>2030</v>
      </c>
      <c r="J29" s="10">
        <v>2040</v>
      </c>
      <c r="K29" s="10">
        <v>2050</v>
      </c>
      <c r="L29" s="10">
        <v>2050</v>
      </c>
      <c r="M29" s="10">
        <v>2050</v>
      </c>
      <c r="N29" s="36"/>
      <c r="O29" s="10">
        <f t="shared" si="35" ref="O29:W29">O24</f>
        <v>2017</v>
      </c>
      <c r="P29" s="10">
        <f t="shared" si="35"/>
        <v>2019</v>
      </c>
      <c r="Q29" s="10">
        <f t="shared" si="35"/>
        <v>2020</v>
      </c>
      <c r="R29" s="10">
        <f t="shared" si="35"/>
        <v>2021</v>
      </c>
      <c r="S29" s="10">
        <f t="shared" si="35"/>
        <v>2030</v>
      </c>
      <c r="T29" s="10">
        <f t="shared" si="35"/>
        <v>2040</v>
      </c>
      <c r="U29" s="10">
        <f t="shared" si="36" ref="U29:V29">U24</f>
        <v>2060</v>
      </c>
      <c r="V29" s="10">
        <f t="shared" si="36"/>
        <v>2060</v>
      </c>
      <c r="W29" s="10">
        <f t="shared" si="35"/>
        <v>2070</v>
      </c>
      <c r="Y29" s="10">
        <f t="shared" si="37" ref="Y29:AD29">E29</f>
        <v>2017</v>
      </c>
      <c r="Z29" s="10">
        <f t="shared" si="37"/>
        <v>2019</v>
      </c>
      <c r="AA29" s="10">
        <f t="shared" si="37"/>
        <v>2020</v>
      </c>
      <c r="AB29" s="10">
        <f t="shared" si="37"/>
        <v>2021</v>
      </c>
      <c r="AC29" s="10">
        <f t="shared" si="37"/>
        <v>2030</v>
      </c>
      <c r="AD29" s="10">
        <f t="shared" si="37"/>
        <v>2040</v>
      </c>
      <c r="AE29" s="10">
        <f>L29</f>
        <v>2050</v>
      </c>
      <c r="AF29" s="10">
        <f>L29</f>
        <v>2050</v>
      </c>
      <c r="AG29" s="10">
        <f>M29</f>
        <v>2050</v>
      </c>
    </row>
    <row r="30" spans="1:51" ht="15">
      <c r="A30" t="s">
        <v>16</v>
      </c>
      <c r="C30" s="23" t="str">
        <f>C25</f>
        <v>Low Income</v>
      </c>
      <c r="D30" t="s">
        <v>39</v>
      </c>
      <c r="E30" s="42">
        <v>0.25</v>
      </c>
      <c r="F30" s="52">
        <f t="shared" si="38" ref="F30:J32">IF($D$4,Z30,P30)</f>
        <v>0.25</v>
      </c>
      <c r="G30" s="52">
        <f t="shared" si="38"/>
        <v>0.25</v>
      </c>
      <c r="H30" s="52">
        <f t="shared" si="38"/>
        <v>0.25</v>
      </c>
      <c r="I30" s="52">
        <f t="shared" si="38"/>
        <v>0.25</v>
      </c>
      <c r="J30" s="52">
        <f t="shared" si="38"/>
        <v>0.25</v>
      </c>
      <c r="K30" s="52">
        <f>IF($D$4,AD30,T30)</f>
        <v>0.25</v>
      </c>
      <c r="L30" s="52">
        <f>IF($D$4,AD30,T30)</f>
        <v>0.25</v>
      </c>
      <c r="M30" s="52">
        <f>IF($D$4,AG30,W30)</f>
        <v>0.25</v>
      </c>
      <c r="N30" s="37"/>
      <c r="O30" s="352">
        <f>E30</f>
        <v>0.25</v>
      </c>
      <c r="P30" s="52">
        <f>O30</f>
        <v>0.25</v>
      </c>
      <c r="Q30" s="52">
        <f>P30</f>
        <v>0.25</v>
      </c>
      <c r="R30" s="52">
        <f>Q30</f>
        <v>0.25</v>
      </c>
      <c r="S30" s="39">
        <f t="shared" si="39" ref="S30:T30">R30</f>
        <v>0.25</v>
      </c>
      <c r="T30" s="39">
        <f t="shared" si="39"/>
        <v>0.25</v>
      </c>
      <c r="U30" s="39">
        <f>S30</f>
        <v>0.25</v>
      </c>
      <c r="V30" s="39">
        <f>S30</f>
        <v>0.25</v>
      </c>
      <c r="W30" s="39">
        <f>T30</f>
        <v>0.25</v>
      </c>
      <c r="X30" s="195"/>
      <c r="Y30" s="53">
        <f t="shared" si="40" ref="Y30:AB32">O30</f>
        <v>0.25</v>
      </c>
      <c r="Z30" s="53">
        <f t="shared" si="40"/>
        <v>0.25</v>
      </c>
      <c r="AA30" s="53">
        <f t="shared" si="40"/>
        <v>0.25</v>
      </c>
      <c r="AB30" s="53">
        <f t="shared" si="40"/>
        <v>0.25</v>
      </c>
      <c r="AC30" s="60">
        <f>AA30*$B25</f>
        <v>0.23749999999999999</v>
      </c>
      <c r="AD30" s="60">
        <f>AB30*$B25</f>
        <v>0.23749999999999999</v>
      </c>
      <c r="AE30" s="60">
        <f t="shared" si="41" ref="AE30:AG30">AC30*$B25</f>
        <v>0.22562499999999999</v>
      </c>
      <c r="AF30" s="60">
        <f t="shared" si="41"/>
        <v>0.22562499999999999</v>
      </c>
      <c r="AG30" s="60">
        <f t="shared" si="41"/>
        <v>0.21434374999999997</v>
      </c>
      <c r="AH30" s="195"/>
      <c r="AI30" s="195"/>
      <c r="AJ30" s="195"/>
      <c r="AK30" s="195"/>
      <c r="AL30" s="195"/>
      <c r="AM30" s="195"/>
      <c r="AN30" s="195"/>
      <c r="AO30" s="195"/>
      <c r="AP30" s="195"/>
      <c r="AQ30" s="195"/>
      <c r="AR30" s="195"/>
      <c r="AS30" s="195"/>
      <c r="AT30" s="195"/>
      <c r="AU30" s="195"/>
      <c r="AV30" s="195"/>
      <c r="AW30" s="195"/>
      <c r="AX30" s="195"/>
      <c r="AY30" s="195"/>
    </row>
    <row r="31" spans="1:51" ht="15">
      <c r="A31" t="s">
        <v>16</v>
      </c>
      <c r="C31" s="23" t="str">
        <f>C26</f>
        <v>Middle Income</v>
      </c>
      <c r="D31" t="s">
        <v>39</v>
      </c>
      <c r="E31" s="42">
        <v>0.30</v>
      </c>
      <c r="F31" s="52">
        <f t="shared" si="38"/>
        <v>0.29999999999999999</v>
      </c>
      <c r="G31" s="52">
        <f t="shared" si="38"/>
        <v>0.29999999999999999</v>
      </c>
      <c r="H31" s="52">
        <f t="shared" si="38"/>
        <v>0.29999999999999999</v>
      </c>
      <c r="I31" s="52">
        <f t="shared" si="38"/>
        <v>0.29999999999999999</v>
      </c>
      <c r="J31" s="52">
        <f t="shared" si="38"/>
        <v>0.29999999999999999</v>
      </c>
      <c r="K31" s="52">
        <f>IF($D$4,AD31,T31)</f>
        <v>0.29999999999999999</v>
      </c>
      <c r="L31" s="52">
        <f>IF($D$4,AD31,T31)</f>
        <v>0.29999999999999999</v>
      </c>
      <c r="M31" s="52">
        <f>IF($D$4,AG31,W31)</f>
        <v>0.29999999999999999</v>
      </c>
      <c r="N31" s="37"/>
      <c r="O31" s="52">
        <f>E31</f>
        <v>0.29999999999999999</v>
      </c>
      <c r="P31" s="52">
        <f t="shared" si="42" ref="P31:P32">O31</f>
        <v>0.29999999999999999</v>
      </c>
      <c r="Q31" s="52">
        <f>P31</f>
        <v>0.29999999999999999</v>
      </c>
      <c r="R31" s="52">
        <f>Q31</f>
        <v>0.29999999999999999</v>
      </c>
      <c r="S31" s="39">
        <f t="shared" si="43" ref="S31:T31">R31</f>
        <v>0.29999999999999999</v>
      </c>
      <c r="T31" s="39">
        <f t="shared" si="43"/>
        <v>0.29999999999999999</v>
      </c>
      <c r="U31" s="39">
        <f>S31</f>
        <v>0.29999999999999999</v>
      </c>
      <c r="V31" s="39">
        <f>S31</f>
        <v>0.29999999999999999</v>
      </c>
      <c r="W31" s="39">
        <f>T31</f>
        <v>0.29999999999999999</v>
      </c>
      <c r="X31" s="195"/>
      <c r="Y31" s="53">
        <f t="shared" si="40"/>
        <v>0.29999999999999999</v>
      </c>
      <c r="Z31" s="53">
        <f t="shared" si="40"/>
        <v>0.29999999999999999</v>
      </c>
      <c r="AA31" s="53">
        <f t="shared" si="40"/>
        <v>0.29999999999999999</v>
      </c>
      <c r="AB31" s="53">
        <f t="shared" si="40"/>
        <v>0.29999999999999999</v>
      </c>
      <c r="AC31" s="362">
        <f t="shared" si="44" ref="AC31:AG31">S31*$B26</f>
        <v>0.28499999999999998</v>
      </c>
      <c r="AD31" s="362">
        <f t="shared" si="44"/>
        <v>0.28499999999999998</v>
      </c>
      <c r="AE31" s="362">
        <f t="shared" si="44"/>
        <v>0.28499999999999998</v>
      </c>
      <c r="AF31" s="362">
        <f t="shared" si="44"/>
        <v>0.28499999999999998</v>
      </c>
      <c r="AG31" s="362">
        <f t="shared" si="44"/>
        <v>0.28499999999999998</v>
      </c>
      <c r="AH31" s="363" t="s">
        <v>799</v>
      </c>
      <c r="AI31" s="195"/>
      <c r="AJ31" s="195"/>
      <c r="AK31" s="195"/>
      <c r="AL31" s="195"/>
      <c r="AM31" s="195"/>
      <c r="AN31" s="195"/>
      <c r="AO31" s="195"/>
      <c r="AP31" s="195"/>
      <c r="AQ31" s="195"/>
      <c r="AR31" s="195"/>
      <c r="AS31" s="195"/>
      <c r="AT31" s="195"/>
      <c r="AU31" s="195"/>
      <c r="AV31" s="195"/>
      <c r="AW31" s="195"/>
      <c r="AX31" s="195"/>
      <c r="AY31" s="195"/>
    </row>
    <row r="32" spans="1:51" ht="15.75" thickBot="1">
      <c r="A32" t="s">
        <v>16</v>
      </c>
      <c r="C32" s="23" t="str">
        <f>C27</f>
        <v>High Income</v>
      </c>
      <c r="D32" t="s">
        <v>39</v>
      </c>
      <c r="E32" s="42">
        <v>0.40039186287579059</v>
      </c>
      <c r="F32" s="52">
        <f t="shared" si="38"/>
        <v>0.40039186287579059</v>
      </c>
      <c r="G32" s="52">
        <f t="shared" si="38"/>
        <v>0.3966824420527032</v>
      </c>
      <c r="H32" s="52">
        <f t="shared" si="38"/>
        <v>0.41558032228665903</v>
      </c>
      <c r="I32" s="52">
        <f t="shared" si="38"/>
        <v>0.43844628217177273</v>
      </c>
      <c r="J32" s="52">
        <f t="shared" si="38"/>
        <v>0.49637790784191571</v>
      </c>
      <c r="K32" s="52">
        <f>IF($D$4,AD32,T32)</f>
        <v>0.49637790784191571</v>
      </c>
      <c r="L32" s="52">
        <f>IF($D$4,AD32,T32)</f>
        <v>0.49637790784191571</v>
      </c>
      <c r="M32" s="52">
        <f>IF($D$4,AG32,W32)</f>
        <v>0.594940675269645</v>
      </c>
      <c r="N32" s="37"/>
      <c r="O32" s="52">
        <f>E32</f>
        <v>0.40039186287579059</v>
      </c>
      <c r="P32" s="52">
        <f t="shared" si="42"/>
        <v>0.40039186287579059</v>
      </c>
      <c r="Q32" s="52">
        <f>P32*(1+Q21*(G21/F21-1))</f>
        <v>0.3966824420527032</v>
      </c>
      <c r="R32" s="52">
        <f>Q32*(1+R21*(H21/E21-1))</f>
        <v>0.41558032228665903</v>
      </c>
      <c r="S32" s="39">
        <f>R32*(1+S21*(I21/H21-1))</f>
        <v>0.43844628217177273</v>
      </c>
      <c r="T32" s="39">
        <f>S32*(1+T21*(J21/I21-1))</f>
        <v>0.49637790784191571</v>
      </c>
      <c r="U32" s="39">
        <f>S32*(1+U21*(L21/I21-1))</f>
        <v>0.60434230994236449</v>
      </c>
      <c r="V32" s="39">
        <f>S32*(1+V21*(L21/I21-1))</f>
        <v>0.60434230994236449</v>
      </c>
      <c r="W32" s="39">
        <f>T32*(1+W21*(M21/J21-1))</f>
        <v>0.594940675269645</v>
      </c>
      <c r="X32" s="195"/>
      <c r="Y32" s="53">
        <f t="shared" si="40"/>
        <v>0.40039186287579059</v>
      </c>
      <c r="Z32" s="53">
        <f t="shared" si="40"/>
        <v>0.40039186287579059</v>
      </c>
      <c r="AA32" s="53">
        <f t="shared" si="40"/>
        <v>0.3966824420527032</v>
      </c>
      <c r="AB32" s="53">
        <f t="shared" si="40"/>
        <v>0.41558032228665903</v>
      </c>
      <c r="AC32" s="362">
        <f>S32*$B27</f>
        <v>0.42748512511747838</v>
      </c>
      <c r="AD32" s="362">
        <f>T32*$B27</f>
        <v>0.48396846014586781</v>
      </c>
      <c r="AE32" s="362">
        <f>U32*$B27</f>
        <v>0.58923375219380536</v>
      </c>
      <c r="AF32" s="362">
        <f>V32*$B27</f>
        <v>0.58923375219380536</v>
      </c>
      <c r="AG32" s="362">
        <f>W32*$B27</f>
        <v>0.5800671583879039</v>
      </c>
      <c r="AH32" s="195"/>
      <c r="AI32" s="195"/>
      <c r="AJ32" s="195"/>
      <c r="AK32" s="195"/>
      <c r="AL32" s="195"/>
      <c r="AM32" s="195"/>
      <c r="AN32" s="195"/>
      <c r="AO32" s="195"/>
      <c r="AP32" s="195"/>
      <c r="AQ32" s="195"/>
      <c r="AR32" s="195"/>
      <c r="AS32" s="195"/>
      <c r="AT32" s="195"/>
      <c r="AU32" s="195"/>
      <c r="AV32" s="195"/>
      <c r="AW32" s="195"/>
      <c r="AX32" s="195"/>
      <c r="AY32" s="195"/>
    </row>
    <row r="33" spans="1:51" ht="48.75">
      <c r="A33" t="s">
        <v>16</v>
      </c>
      <c r="C33" s="23"/>
      <c r="D33" s="357" t="s">
        <v>796</v>
      </c>
      <c r="E33" s="195">
        <f t="shared" si="45" ref="E33:M33">SUMPRODUCT(E30:E32,E$13:E$15)/E$16</f>
        <v>0.30091725422531551</v>
      </c>
      <c r="F33" s="195">
        <f t="shared" si="45"/>
        <v>0.30192482056635134</v>
      </c>
      <c r="G33" s="195">
        <f t="shared" si="45"/>
        <v>0.29650350250840096</v>
      </c>
      <c r="H33" s="195">
        <f t="shared" si="45"/>
        <v>0.29949883220166207</v>
      </c>
      <c r="I33" s="195">
        <f t="shared" si="45"/>
        <v>0.32057258065012084</v>
      </c>
      <c r="J33" s="195">
        <f t="shared" si="45"/>
        <v>0.36073513699617976</v>
      </c>
      <c r="K33" s="195">
        <f t="shared" si="46" ref="K33:L33">SUMPRODUCT(K30:K32,K$13:K$15)/K$16</f>
        <v>0.37523012347109458</v>
      </c>
      <c r="L33" s="195">
        <f t="shared" si="46"/>
        <v>0.38406097945723122</v>
      </c>
      <c r="M33" s="195">
        <f t="shared" si="45"/>
        <v>0.43694482840579119</v>
      </c>
      <c r="N33" s="37"/>
      <c r="X33" s="195"/>
      <c r="Y33" s="10" t="s">
        <v>795</v>
      </c>
      <c r="AH33" s="195"/>
      <c r="AI33" s="195"/>
      <c r="AJ33" s="195"/>
      <c r="AK33" s="195"/>
      <c r="AL33" s="195"/>
      <c r="AM33" s="195"/>
      <c r="AN33" s="195"/>
      <c r="AO33" s="195"/>
      <c r="AP33" s="195"/>
      <c r="AQ33" s="195"/>
      <c r="AR33" s="195"/>
      <c r="AS33" s="195"/>
      <c r="AT33" s="195"/>
      <c r="AU33" s="195"/>
      <c r="AV33" s="195"/>
      <c r="AW33" s="195"/>
      <c r="AX33" s="195"/>
      <c r="AY33" s="195"/>
    </row>
    <row r="34" spans="1:33" ht="15.75" thickBot="1">
      <c r="A34" t="s">
        <v>16</v>
      </c>
      <c r="B34" s="6" t="s">
        <v>177</v>
      </c>
      <c r="D34" s="358">
        <f>INDEX($X$5:$X$8,MATCH($D$3,$P$5:$P$8,0))</f>
        <v>0</v>
      </c>
      <c r="E34" s="10">
        <f>E4</f>
        <v>2017</v>
      </c>
      <c r="F34" s="10">
        <f t="shared" si="47" ref="F34:H34">F4</f>
        <v>2019</v>
      </c>
      <c r="G34" s="10">
        <f t="shared" si="47"/>
        <v>2020</v>
      </c>
      <c r="H34" s="10">
        <f t="shared" si="47"/>
        <v>2021</v>
      </c>
      <c r="I34" s="10">
        <v>2030</v>
      </c>
      <c r="J34" s="10">
        <v>2040</v>
      </c>
      <c r="K34" s="10">
        <v>2050</v>
      </c>
      <c r="L34" s="10">
        <v>2050</v>
      </c>
      <c r="M34" s="10">
        <v>2050</v>
      </c>
      <c r="N34" s="36"/>
      <c r="O34" s="10">
        <f t="shared" si="48" ref="O34:S34">O29</f>
        <v>2017</v>
      </c>
      <c r="P34" s="10">
        <f t="shared" si="48"/>
        <v>2019</v>
      </c>
      <c r="Q34" s="10">
        <f t="shared" si="48"/>
        <v>2020</v>
      </c>
      <c r="R34" s="10">
        <f t="shared" si="48"/>
        <v>2021</v>
      </c>
      <c r="S34" s="10">
        <f t="shared" si="48"/>
        <v>2030</v>
      </c>
      <c r="T34" s="10">
        <f>J34</f>
        <v>2040</v>
      </c>
      <c r="U34" s="10">
        <f>L34</f>
        <v>2050</v>
      </c>
      <c r="V34" s="10">
        <f>L34</f>
        <v>2050</v>
      </c>
      <c r="W34" s="10">
        <f>M34</f>
        <v>2050</v>
      </c>
      <c r="X34" s="195"/>
      <c r="Y34" s="10">
        <f t="shared" si="49" ref="Y34:AD34">E34</f>
        <v>2017</v>
      </c>
      <c r="Z34" s="10">
        <f t="shared" si="49"/>
        <v>2019</v>
      </c>
      <c r="AA34" s="10">
        <f t="shared" si="49"/>
        <v>2020</v>
      </c>
      <c r="AB34" s="10">
        <f t="shared" si="49"/>
        <v>2021</v>
      </c>
      <c r="AC34" s="10">
        <f t="shared" si="49"/>
        <v>2030</v>
      </c>
      <c r="AD34" s="10">
        <f t="shared" si="49"/>
        <v>2040</v>
      </c>
      <c r="AE34" s="10">
        <f>L34</f>
        <v>2050</v>
      </c>
      <c r="AF34" s="10">
        <f>L34</f>
        <v>2050</v>
      </c>
      <c r="AG34" s="10">
        <f>M34</f>
        <v>2050</v>
      </c>
    </row>
    <row r="35" spans="1:51" ht="15">
      <c r="A35" t="s">
        <v>16</v>
      </c>
      <c r="C35" s="23" t="str">
        <f>C30</f>
        <v>Low Income</v>
      </c>
      <c r="D35" t="s">
        <v>85</v>
      </c>
      <c r="E35" s="42">
        <v>1.40</v>
      </c>
      <c r="F35" s="52">
        <f t="shared" si="50" ref="F35:J38">IF($D$4,Z35,P35)</f>
        <v>1.3999999999999999</v>
      </c>
      <c r="G35" s="52">
        <f t="shared" si="50"/>
        <v>1.3999999999999999</v>
      </c>
      <c r="H35" s="52">
        <f t="shared" si="50"/>
        <v>1.3999999999999999</v>
      </c>
      <c r="I35" s="52">
        <f t="shared" si="50"/>
        <v>1.3999999999999999</v>
      </c>
      <c r="J35" s="52">
        <f t="shared" si="50"/>
        <v>1.3999999999999999</v>
      </c>
      <c r="K35" s="52">
        <f>IF($D$4,AD35,T35)</f>
        <v>1.3999999999999999</v>
      </c>
      <c r="L35" s="52">
        <f>IF($D$4,AD35,T35)</f>
        <v>1.3999999999999999</v>
      </c>
      <c r="M35" s="52">
        <f>IF($D$4,AG35,W35)</f>
        <v>1.3999999999999999</v>
      </c>
      <c r="N35" s="37"/>
      <c r="O35" s="331">
        <f>E35</f>
        <v>1.3999999999999999</v>
      </c>
      <c r="P35" s="354">
        <f t="shared" si="51" ref="P35:T35">O35</f>
        <v>1.3999999999999999</v>
      </c>
      <c r="Q35" s="354">
        <f t="shared" si="51"/>
        <v>1.3999999999999999</v>
      </c>
      <c r="R35" s="354">
        <f t="shared" si="52" ref="R35">Q35</f>
        <v>1.3999999999999999</v>
      </c>
      <c r="S35" s="354">
        <f t="shared" si="51"/>
        <v>1.3999999999999999</v>
      </c>
      <c r="T35" s="354">
        <f t="shared" si="51"/>
        <v>1.3999999999999999</v>
      </c>
      <c r="U35" s="354">
        <f>S35</f>
        <v>1.3999999999999999</v>
      </c>
      <c r="V35" s="354">
        <f t="shared" si="53" ref="V35:W38">S35</f>
        <v>1.3999999999999999</v>
      </c>
      <c r="W35" s="354">
        <f t="shared" si="53"/>
        <v>1.3999999999999999</v>
      </c>
      <c r="X35" s="355" t="s">
        <v>794</v>
      </c>
      <c r="Y35" s="354">
        <f t="shared" si="54" ref="Y35:AB38">O35</f>
        <v>1.3999999999999999</v>
      </c>
      <c r="Z35" s="354">
        <f t="shared" si="54"/>
        <v>1.3999999999999999</v>
      </c>
      <c r="AA35" s="354">
        <f t="shared" si="54"/>
        <v>1.3999999999999999</v>
      </c>
      <c r="AB35" s="354">
        <f t="shared" si="54"/>
        <v>1.3999999999999999</v>
      </c>
      <c r="AC35" s="356">
        <f>AA35*(1+$D$34)</f>
        <v>1.3999999999999999</v>
      </c>
      <c r="AD35" s="356">
        <f t="shared" si="55" ref="AD35:AD38">AC35*(1+$D$34)</f>
        <v>1.3999999999999999</v>
      </c>
      <c r="AE35" s="356">
        <f>AC35*(1+$D$34)</f>
        <v>1.3999999999999999</v>
      </c>
      <c r="AF35" s="356">
        <f t="shared" si="56" ref="AF35:AG38">AC35*(1+$D$34)</f>
        <v>1.3999999999999999</v>
      </c>
      <c r="AG35" s="356">
        <f t="shared" si="56"/>
        <v>1.3999999999999999</v>
      </c>
      <c r="AH35" s="195"/>
      <c r="AI35" s="195"/>
      <c r="AJ35" s="195"/>
      <c r="AK35" s="195"/>
      <c r="AL35" s="195"/>
      <c r="AM35" s="195"/>
      <c r="AN35" s="195"/>
      <c r="AO35" s="195"/>
      <c r="AP35" s="195"/>
      <c r="AQ35" s="195"/>
      <c r="AR35" s="195"/>
      <c r="AS35" s="195"/>
      <c r="AT35" s="195"/>
      <c r="AU35" s="195"/>
      <c r="AV35" s="195"/>
      <c r="AW35" s="195"/>
      <c r="AX35" s="195"/>
      <c r="AY35" s="195"/>
    </row>
    <row r="36" spans="1:51" ht="15">
      <c r="A36" t="s">
        <v>16</v>
      </c>
      <c r="C36" s="23" t="str">
        <f>C31</f>
        <v>Middle Income</v>
      </c>
      <c r="D36" t="s">
        <v>85</v>
      </c>
      <c r="E36" s="42">
        <v>1.40</v>
      </c>
      <c r="F36" s="52">
        <f t="shared" si="50"/>
        <v>1.3999999999999999</v>
      </c>
      <c r="G36" s="52">
        <f t="shared" si="50"/>
        <v>1.3999999999999999</v>
      </c>
      <c r="H36" s="52">
        <f t="shared" si="50"/>
        <v>1.3999999999999999</v>
      </c>
      <c r="I36" s="52">
        <f t="shared" si="50"/>
        <v>1.3999999999999999</v>
      </c>
      <c r="J36" s="52">
        <f t="shared" si="50"/>
        <v>1.3999999999999999</v>
      </c>
      <c r="K36" s="52">
        <f>IF($D$4,AD36,T36)</f>
        <v>1.3999999999999999</v>
      </c>
      <c r="L36" s="52">
        <f>IF($D$4,AD36,T36)</f>
        <v>1.3999999999999999</v>
      </c>
      <c r="M36" s="52">
        <f>IF($D$4,AG36,W36)</f>
        <v>1.3999999999999999</v>
      </c>
      <c r="N36" s="37"/>
      <c r="O36" s="331">
        <f t="shared" si="57" ref="O36:O38">E36</f>
        <v>1.3999999999999999</v>
      </c>
      <c r="P36" s="354">
        <f t="shared" si="58" ref="P36:T38">O36</f>
        <v>1.3999999999999999</v>
      </c>
      <c r="Q36" s="354">
        <f t="shared" si="58"/>
        <v>1.3999999999999999</v>
      </c>
      <c r="R36" s="354">
        <f t="shared" si="59" ref="R36">Q36</f>
        <v>1.3999999999999999</v>
      </c>
      <c r="S36" s="354">
        <f t="shared" si="58"/>
        <v>1.3999999999999999</v>
      </c>
      <c r="T36" s="354">
        <f t="shared" si="58"/>
        <v>1.3999999999999999</v>
      </c>
      <c r="U36" s="354">
        <f>S36</f>
        <v>1.3999999999999999</v>
      </c>
      <c r="V36" s="354">
        <f t="shared" si="53"/>
        <v>1.3999999999999999</v>
      </c>
      <c r="W36" s="354">
        <f t="shared" si="53"/>
        <v>1.3999999999999999</v>
      </c>
      <c r="X36" s="355"/>
      <c r="Y36" s="354">
        <f t="shared" si="54"/>
        <v>1.3999999999999999</v>
      </c>
      <c r="Z36" s="354">
        <f t="shared" si="54"/>
        <v>1.3999999999999999</v>
      </c>
      <c r="AA36" s="354">
        <f t="shared" si="54"/>
        <v>1.3999999999999999</v>
      </c>
      <c r="AB36" s="354">
        <f t="shared" si="54"/>
        <v>1.3999999999999999</v>
      </c>
      <c r="AC36" s="356">
        <f>AA36*(1+$D$34)</f>
        <v>1.3999999999999999</v>
      </c>
      <c r="AD36" s="356">
        <f t="shared" si="55"/>
        <v>1.3999999999999999</v>
      </c>
      <c r="AE36" s="356">
        <f>AC36*(1+$D$34)</f>
        <v>1.3999999999999999</v>
      </c>
      <c r="AF36" s="356">
        <f t="shared" si="56"/>
        <v>1.3999999999999999</v>
      </c>
      <c r="AG36" s="356">
        <f t="shared" si="56"/>
        <v>1.3999999999999999</v>
      </c>
      <c r="AH36" s="195"/>
      <c r="AI36" s="195"/>
      <c r="AJ36" s="195"/>
      <c r="AK36" s="195"/>
      <c r="AL36" s="195"/>
      <c r="AM36" s="195"/>
      <c r="AN36" s="195"/>
      <c r="AO36" s="195"/>
      <c r="AP36" s="195"/>
      <c r="AQ36" s="195"/>
      <c r="AR36" s="195"/>
      <c r="AS36" s="195"/>
      <c r="AT36" s="195"/>
      <c r="AU36" s="195"/>
      <c r="AV36" s="195"/>
      <c r="AW36" s="195"/>
      <c r="AX36" s="195"/>
      <c r="AY36" s="195"/>
    </row>
    <row r="37" spans="1:51" ht="15">
      <c r="A37" t="s">
        <v>16</v>
      </c>
      <c r="C37" s="23" t="str">
        <f>C32</f>
        <v>High Income</v>
      </c>
      <c r="D37" t="s">
        <v>85</v>
      </c>
      <c r="E37" s="42">
        <v>1.40</v>
      </c>
      <c r="F37" s="52">
        <f t="shared" si="50"/>
        <v>1.3999999999999999</v>
      </c>
      <c r="G37" s="52">
        <f t="shared" si="50"/>
        <v>1.3999999999999999</v>
      </c>
      <c r="H37" s="52">
        <f t="shared" si="50"/>
        <v>1.3999999999999999</v>
      </c>
      <c r="I37" s="52">
        <f t="shared" si="50"/>
        <v>1.3999999999999999</v>
      </c>
      <c r="J37" s="52">
        <f t="shared" si="50"/>
        <v>1.3999999999999999</v>
      </c>
      <c r="K37" s="52">
        <f>IF($D$4,AD37,T37)</f>
        <v>1.3999999999999999</v>
      </c>
      <c r="L37" s="52">
        <f>IF($D$4,AD37,T37)</f>
        <v>1.3999999999999999</v>
      </c>
      <c r="M37" s="52">
        <f>IF($D$4,AG37,W37)</f>
        <v>1.3999999999999999</v>
      </c>
      <c r="N37" s="37"/>
      <c r="O37" s="331">
        <f t="shared" si="57"/>
        <v>1.3999999999999999</v>
      </c>
      <c r="P37" s="354">
        <f t="shared" si="58"/>
        <v>1.3999999999999999</v>
      </c>
      <c r="Q37" s="354">
        <f t="shared" si="58"/>
        <v>1.3999999999999999</v>
      </c>
      <c r="R37" s="354">
        <f t="shared" si="60" ref="R37">Q37</f>
        <v>1.3999999999999999</v>
      </c>
      <c r="S37" s="354">
        <f t="shared" si="58"/>
        <v>1.3999999999999999</v>
      </c>
      <c r="T37" s="354">
        <f t="shared" si="58"/>
        <v>1.3999999999999999</v>
      </c>
      <c r="U37" s="354">
        <f>S37</f>
        <v>1.3999999999999999</v>
      </c>
      <c r="V37" s="354">
        <f t="shared" si="53"/>
        <v>1.3999999999999999</v>
      </c>
      <c r="W37" s="354">
        <f t="shared" si="53"/>
        <v>1.3999999999999999</v>
      </c>
      <c r="X37" s="355"/>
      <c r="Y37" s="354">
        <f t="shared" si="54"/>
        <v>1.3999999999999999</v>
      </c>
      <c r="Z37" s="354">
        <f t="shared" si="54"/>
        <v>1.3999999999999999</v>
      </c>
      <c r="AA37" s="354">
        <f t="shared" si="54"/>
        <v>1.3999999999999999</v>
      </c>
      <c r="AB37" s="354">
        <f t="shared" si="54"/>
        <v>1.3999999999999999</v>
      </c>
      <c r="AC37" s="356">
        <f>AA37*(1+$D$34)</f>
        <v>1.3999999999999999</v>
      </c>
      <c r="AD37" s="356">
        <f t="shared" si="55"/>
        <v>1.3999999999999999</v>
      </c>
      <c r="AE37" s="356">
        <f>AC37*(1+$D$34)</f>
        <v>1.3999999999999999</v>
      </c>
      <c r="AF37" s="356">
        <f t="shared" si="56"/>
        <v>1.3999999999999999</v>
      </c>
      <c r="AG37" s="356">
        <f t="shared" si="56"/>
        <v>1.3999999999999999</v>
      </c>
      <c r="AH37" s="195"/>
      <c r="AI37" s="195"/>
      <c r="AJ37" s="195"/>
      <c r="AK37" s="195"/>
      <c r="AL37" s="195"/>
      <c r="AM37" s="195"/>
      <c r="AN37" s="195"/>
      <c r="AO37" s="195"/>
      <c r="AP37" s="195"/>
      <c r="AQ37" s="195"/>
      <c r="AR37" s="195"/>
      <c r="AS37" s="195"/>
      <c r="AT37" s="195"/>
      <c r="AU37" s="195"/>
      <c r="AV37" s="195"/>
      <c r="AW37" s="195"/>
      <c r="AX37" s="195"/>
      <c r="AY37" s="195"/>
    </row>
    <row r="38" spans="1:33" ht="15">
      <c r="A38" t="s">
        <v>16</v>
      </c>
      <c r="C38" s="23" t="s">
        <v>183</v>
      </c>
      <c r="D38" t="s">
        <v>85</v>
      </c>
      <c r="E38" s="42">
        <v>1.40</v>
      </c>
      <c r="F38" s="52">
        <f t="shared" si="50"/>
        <v>1.3999999999999999</v>
      </c>
      <c r="G38" s="52">
        <f t="shared" si="50"/>
        <v>1.3999999999999999</v>
      </c>
      <c r="H38" s="52">
        <f t="shared" si="50"/>
        <v>1.3999999999999999</v>
      </c>
      <c r="I38" s="52">
        <f t="shared" si="50"/>
        <v>1.3999999999999999</v>
      </c>
      <c r="J38" s="52">
        <f t="shared" si="50"/>
        <v>1.3999999999999999</v>
      </c>
      <c r="K38" s="52">
        <f>IF($D$4,AD38,T38)</f>
        <v>1.3999999999999999</v>
      </c>
      <c r="L38" s="52">
        <f>IF($D$4,AD38,T38)</f>
        <v>1.3999999999999999</v>
      </c>
      <c r="M38" s="52">
        <f>IF($D$4,AG38,W38)</f>
        <v>1.3999999999999999</v>
      </c>
      <c r="N38" s="36"/>
      <c r="O38" s="331">
        <f t="shared" si="57"/>
        <v>1.3999999999999999</v>
      </c>
      <c r="P38" s="354">
        <f t="shared" si="58"/>
        <v>1.3999999999999999</v>
      </c>
      <c r="Q38" s="354">
        <f t="shared" si="58"/>
        <v>1.3999999999999999</v>
      </c>
      <c r="R38" s="354">
        <f t="shared" si="61" ref="R38">Q38</f>
        <v>1.3999999999999999</v>
      </c>
      <c r="S38" s="354">
        <f t="shared" si="58"/>
        <v>1.3999999999999999</v>
      </c>
      <c r="T38" s="354">
        <f t="shared" si="58"/>
        <v>1.3999999999999999</v>
      </c>
      <c r="U38" s="354">
        <f>S38</f>
        <v>1.3999999999999999</v>
      </c>
      <c r="V38" s="354">
        <f t="shared" si="53"/>
        <v>1.3999999999999999</v>
      </c>
      <c r="W38" s="354">
        <f t="shared" si="53"/>
        <v>1.3999999999999999</v>
      </c>
      <c r="X38" s="279"/>
      <c r="Y38" s="354">
        <f t="shared" si="54"/>
        <v>1.3999999999999999</v>
      </c>
      <c r="Z38" s="354">
        <f t="shared" si="54"/>
        <v>1.3999999999999999</v>
      </c>
      <c r="AA38" s="354">
        <f t="shared" si="54"/>
        <v>1.3999999999999999</v>
      </c>
      <c r="AB38" s="354">
        <f t="shared" si="54"/>
        <v>1.3999999999999999</v>
      </c>
      <c r="AC38" s="356">
        <f>AA38*(1+$D$34)</f>
        <v>1.3999999999999999</v>
      </c>
      <c r="AD38" s="356">
        <f t="shared" si="55"/>
        <v>1.3999999999999999</v>
      </c>
      <c r="AE38" s="356">
        <f>AC38*(1+$D$34)</f>
        <v>1.3999999999999999</v>
      </c>
      <c r="AF38" s="356">
        <f t="shared" si="56"/>
        <v>1.3999999999999999</v>
      </c>
      <c r="AG38" s="356">
        <f t="shared" si="56"/>
        <v>1.3999999999999999</v>
      </c>
    </row>
    <row r="39" spans="1:51" ht="15">
      <c r="A39" t="s">
        <v>16</v>
      </c>
      <c r="C39" s="23"/>
      <c r="J39"/>
      <c r="N39" s="37"/>
      <c r="O39" s="9">
        <v>1</v>
      </c>
      <c r="P39" s="9"/>
      <c r="Q39" s="9"/>
      <c r="R39" s="9"/>
      <c r="S39" s="9"/>
      <c r="X39" s="195"/>
      <c r="Y39" t="s">
        <v>188</v>
      </c>
      <c r="AH39" s="195"/>
      <c r="AI39" s="195"/>
      <c r="AJ39" s="195"/>
      <c r="AK39" s="195"/>
      <c r="AL39" s="195"/>
      <c r="AM39" s="195"/>
      <c r="AN39" s="195"/>
      <c r="AO39" s="195"/>
      <c r="AP39" s="195"/>
      <c r="AQ39" s="195"/>
      <c r="AR39" s="195"/>
      <c r="AS39" s="195"/>
      <c r="AT39" s="195"/>
      <c r="AU39" s="195"/>
      <c r="AV39" s="195"/>
      <c r="AW39" s="195"/>
      <c r="AX39" s="195"/>
      <c r="AY39" s="195"/>
    </row>
    <row r="40" spans="1:33" ht="15.75" thickBot="1">
      <c r="A40" t="s">
        <v>16</v>
      </c>
      <c r="B40" s="6" t="s">
        <v>178</v>
      </c>
      <c r="D40" s="6"/>
      <c r="E40" s="10">
        <f>E4</f>
        <v>2017</v>
      </c>
      <c r="F40" s="10">
        <f t="shared" si="62" ref="F40:H40">F4</f>
        <v>2019</v>
      </c>
      <c r="G40" s="10">
        <f t="shared" si="62"/>
        <v>2020</v>
      </c>
      <c r="H40" s="10">
        <f t="shared" si="62"/>
        <v>2021</v>
      </c>
      <c r="I40" s="10">
        <v>2030</v>
      </c>
      <c r="J40" s="10">
        <v>2040</v>
      </c>
      <c r="K40" s="10">
        <v>2050</v>
      </c>
      <c r="L40" s="10">
        <v>2050</v>
      </c>
      <c r="M40" s="10">
        <v>2050</v>
      </c>
      <c r="N40" s="244" t="s">
        <v>626</v>
      </c>
      <c r="O40" s="10">
        <f t="shared" si="63" ref="O40:W40">O34</f>
        <v>2017</v>
      </c>
      <c r="P40" s="10">
        <f t="shared" si="63"/>
        <v>2019</v>
      </c>
      <c r="Q40" s="10">
        <f t="shared" si="63"/>
        <v>2020</v>
      </c>
      <c r="R40" s="10">
        <f t="shared" si="63"/>
        <v>2021</v>
      </c>
      <c r="S40" s="10">
        <f t="shared" si="63"/>
        <v>2030</v>
      </c>
      <c r="T40" s="10">
        <f t="shared" si="63"/>
        <v>2040</v>
      </c>
      <c r="U40" s="10">
        <f t="shared" si="64" ref="U40:V40">U34</f>
        <v>2050</v>
      </c>
      <c r="V40" s="10">
        <f t="shared" si="64"/>
        <v>2050</v>
      </c>
      <c r="W40" s="10">
        <f t="shared" si="63"/>
        <v>2050</v>
      </c>
      <c r="Y40" s="10">
        <f t="shared" si="65" ref="Y40:AD40">E40</f>
        <v>2017</v>
      </c>
      <c r="Z40" s="10">
        <f t="shared" si="65"/>
        <v>2019</v>
      </c>
      <c r="AA40" s="10">
        <f t="shared" si="65"/>
        <v>2020</v>
      </c>
      <c r="AB40" s="10">
        <f t="shared" si="65"/>
        <v>2021</v>
      </c>
      <c r="AC40" s="10">
        <f t="shared" si="65"/>
        <v>2030</v>
      </c>
      <c r="AD40" s="10">
        <f t="shared" si="65"/>
        <v>2040</v>
      </c>
      <c r="AE40" s="10">
        <f>L40</f>
        <v>2050</v>
      </c>
      <c r="AF40" s="10">
        <f>L40</f>
        <v>2050</v>
      </c>
      <c r="AG40" s="10">
        <f>M40</f>
        <v>2050</v>
      </c>
    </row>
    <row r="41" spans="1:51" ht="15">
      <c r="A41" t="s">
        <v>16</v>
      </c>
      <c r="B41" s="167">
        <f>B25</f>
        <v>0.94999999999999996</v>
      </c>
      <c r="C41" s="23" t="str">
        <f>C35</f>
        <v>Low Income</v>
      </c>
      <c r="D41" s="31" t="s">
        <v>159</v>
      </c>
      <c r="E41" s="42">
        <v>7.3852190250507794</v>
      </c>
      <c r="F41" s="52">
        <f t="shared" si="66" ref="F41:J44">IF($D$4,Z41,P41)</f>
        <v>7.3852190250507794</v>
      </c>
      <c r="G41" s="52">
        <f t="shared" si="66"/>
        <v>7.3852190250507794</v>
      </c>
      <c r="H41" s="52">
        <f t="shared" si="66"/>
        <v>7.3852190250507794</v>
      </c>
      <c r="I41" s="52">
        <f t="shared" si="66"/>
        <v>7.3852190250507794</v>
      </c>
      <c r="J41" s="52">
        <f t="shared" si="66"/>
        <v>7.3852190250507794</v>
      </c>
      <c r="K41" s="52">
        <f>IF($D$4,AD41,T41)</f>
        <v>7.3852190250507794</v>
      </c>
      <c r="L41" s="52">
        <f>IF($D$4,AD41,T41)</f>
        <v>7.3852190250507794</v>
      </c>
      <c r="M41" s="52">
        <f>IF($D$4,AG41,W41)</f>
        <v>7.3852190250507794</v>
      </c>
      <c r="N41" s="245">
        <v>1</v>
      </c>
      <c r="O41" s="333">
        <f>E41*O$39</f>
        <v>7.3852190250507794</v>
      </c>
      <c r="P41">
        <f t="shared" si="67" ref="P41:T41">O41</f>
        <v>7.3852190250507794</v>
      </c>
      <c r="Q41" s="52">
        <f>P41*$N41</f>
        <v>7.3852190250507794</v>
      </c>
      <c r="R41" s="52">
        <f>P41</f>
        <v>7.3852190250507794</v>
      </c>
      <c r="S41" s="39">
        <f t="shared" si="67"/>
        <v>7.3852190250507794</v>
      </c>
      <c r="T41" s="39">
        <f t="shared" si="67"/>
        <v>7.3852190250507794</v>
      </c>
      <c r="U41" s="39">
        <f>S41</f>
        <v>7.3852190250507794</v>
      </c>
      <c r="V41" s="39">
        <f t="shared" si="68" ref="V41:W44">S41</f>
        <v>7.3852190250507794</v>
      </c>
      <c r="W41" s="39">
        <f t="shared" si="68"/>
        <v>7.3852190250507794</v>
      </c>
      <c r="Y41" s="52">
        <f t="shared" si="69" ref="Y41:AB44">O41</f>
        <v>7.3852190250507794</v>
      </c>
      <c r="Z41" s="52">
        <f t="shared" si="69"/>
        <v>7.3852190250507794</v>
      </c>
      <c r="AA41" s="52">
        <f t="shared" si="69"/>
        <v>7.3852190250507794</v>
      </c>
      <c r="AB41" s="52">
        <f t="shared" si="69"/>
        <v>7.3852190250507794</v>
      </c>
      <c r="AC41" s="60">
        <f t="shared" si="70" ref="AC41:AD43">AB41*$B41</f>
        <v>7.0159580737982399</v>
      </c>
      <c r="AD41" s="60">
        <f t="shared" si="70"/>
        <v>6.6651601701083276</v>
      </c>
      <c r="AE41" s="60">
        <f>AC41*$B41</f>
        <v>6.6651601701083276</v>
      </c>
      <c r="AF41" s="60">
        <f t="shared" si="71" ref="AF41:AG44">AC41*$B41</f>
        <v>6.6651601701083276</v>
      </c>
      <c r="AG41" s="60">
        <f t="shared" si="71"/>
        <v>6.331902161602911</v>
      </c>
      <c r="AH41" s="195"/>
      <c r="AI41" s="195"/>
      <c r="AJ41" s="195"/>
      <c r="AK41" s="195"/>
      <c r="AL41" s="195"/>
      <c r="AM41" s="195"/>
      <c r="AN41" s="195"/>
      <c r="AO41" s="195"/>
      <c r="AP41" s="195"/>
      <c r="AQ41" s="195"/>
      <c r="AR41" s="195"/>
      <c r="AS41" s="195"/>
      <c r="AT41" s="195"/>
      <c r="AU41" s="195"/>
      <c r="AV41" s="195"/>
      <c r="AW41" s="195"/>
      <c r="AX41" s="195"/>
      <c r="AY41" s="195"/>
    </row>
    <row r="42" spans="1:51" ht="15">
      <c r="A42" t="s">
        <v>16</v>
      </c>
      <c r="B42" s="167">
        <f t="shared" si="72" ref="B42:B43">B26</f>
        <v>0.94999999999999996</v>
      </c>
      <c r="C42" s="23" t="str">
        <f>C36</f>
        <v>Middle Income</v>
      </c>
      <c r="D42" s="31" t="s">
        <v>159</v>
      </c>
      <c r="E42" s="42">
        <v>12.3446275646806</v>
      </c>
      <c r="F42" s="52">
        <f t="shared" si="66"/>
        <v>12.3446275646806</v>
      </c>
      <c r="G42" s="52">
        <f t="shared" si="66"/>
        <v>12.3446275646806</v>
      </c>
      <c r="H42" s="52">
        <f t="shared" si="66"/>
        <v>12.3446275646806</v>
      </c>
      <c r="I42" s="52">
        <f t="shared" si="66"/>
        <v>12.3446275646806</v>
      </c>
      <c r="J42" s="52">
        <f t="shared" si="66"/>
        <v>12.3446275646806</v>
      </c>
      <c r="K42" s="52">
        <f>IF($D$4,AD42,T42)</f>
        <v>12.3446275646806</v>
      </c>
      <c r="L42" s="52">
        <f>IF($D$4,AD42,T42)</f>
        <v>12.3446275646806</v>
      </c>
      <c r="M42" s="52">
        <f>IF($D$4,AG42,W42)</f>
        <v>12.3446275646806</v>
      </c>
      <c r="N42" s="245">
        <v>1</v>
      </c>
      <c r="O42" s="333">
        <f>E42*O$39</f>
        <v>12.3446275646806</v>
      </c>
      <c r="P42">
        <f t="shared" si="73" ref="P42:T44">O42</f>
        <v>12.3446275646806</v>
      </c>
      <c r="Q42" s="52">
        <f t="shared" si="74" ref="Q42:Q44">P42*$N42</f>
        <v>12.3446275646806</v>
      </c>
      <c r="R42" s="52">
        <f t="shared" si="75" ref="R42:R44">P42</f>
        <v>12.3446275646806</v>
      </c>
      <c r="S42" s="161">
        <f>R42</f>
        <v>12.3446275646806</v>
      </c>
      <c r="T42" s="161">
        <f t="shared" si="73"/>
        <v>12.3446275646806</v>
      </c>
      <c r="U42" s="161">
        <f>S42</f>
        <v>12.3446275646806</v>
      </c>
      <c r="V42" s="161">
        <f t="shared" si="68"/>
        <v>12.3446275646806</v>
      </c>
      <c r="W42" s="161">
        <f t="shared" si="68"/>
        <v>12.3446275646806</v>
      </c>
      <c r="Y42" s="52">
        <f t="shared" si="69"/>
        <v>12.3446275646806</v>
      </c>
      <c r="Z42" s="52">
        <f t="shared" si="69"/>
        <v>12.3446275646806</v>
      </c>
      <c r="AA42" s="52">
        <f t="shared" si="69"/>
        <v>12.3446275646806</v>
      </c>
      <c r="AB42" s="52">
        <f t="shared" si="69"/>
        <v>12.3446275646806</v>
      </c>
      <c r="AC42" s="60">
        <f t="shared" si="70"/>
        <v>11.727396186446569</v>
      </c>
      <c r="AD42" s="60">
        <f t="shared" si="70"/>
        <v>11.141026377124239</v>
      </c>
      <c r="AE42" s="60">
        <f>AC42*$B42</f>
        <v>11.141026377124239</v>
      </c>
      <c r="AF42" s="60">
        <f t="shared" si="71"/>
        <v>11.141026377124239</v>
      </c>
      <c r="AG42" s="60">
        <f t="shared" si="71"/>
        <v>10.583975058268027</v>
      </c>
      <c r="AH42" s="195"/>
      <c r="AI42" s="195"/>
      <c r="AJ42" s="195"/>
      <c r="AK42" s="195"/>
      <c r="AL42" s="195"/>
      <c r="AM42" s="195"/>
      <c r="AN42" s="195"/>
      <c r="AO42" s="195"/>
      <c r="AP42" s="195"/>
      <c r="AQ42" s="195"/>
      <c r="AR42" s="195"/>
      <c r="AS42" s="195"/>
      <c r="AT42" s="195"/>
      <c r="AU42" s="195"/>
      <c r="AV42" s="195"/>
      <c r="AW42" s="195"/>
      <c r="AX42" s="195"/>
      <c r="AY42" s="195"/>
    </row>
    <row r="43" spans="1:51" ht="15">
      <c r="A43" t="s">
        <v>16</v>
      </c>
      <c r="B43" s="167">
        <f t="shared" si="72"/>
        <v>0.97499999999999998</v>
      </c>
      <c r="C43" s="23" t="str">
        <f>C37</f>
        <v>High Income</v>
      </c>
      <c r="D43" s="31" t="s">
        <v>159</v>
      </c>
      <c r="E43" s="42">
        <v>13.330035321564491</v>
      </c>
      <c r="F43" s="52">
        <f t="shared" si="66"/>
        <v>13.330035321564491</v>
      </c>
      <c r="G43" s="52">
        <f t="shared" si="66"/>
        <v>13.330035321564491</v>
      </c>
      <c r="H43" s="52">
        <f t="shared" si="66"/>
        <v>13.330035321564491</v>
      </c>
      <c r="I43" s="52">
        <f t="shared" si="66"/>
        <v>13.330035321564491</v>
      </c>
      <c r="J43" s="52">
        <f t="shared" si="66"/>
        <v>13.330035321564491</v>
      </c>
      <c r="K43" s="52">
        <f>IF($D$4,AD43,T43)</f>
        <v>13.330035321564491</v>
      </c>
      <c r="L43" s="52">
        <f>IF($D$4,AD43,T43)</f>
        <v>13.330035321564491</v>
      </c>
      <c r="M43" s="52">
        <f>IF($D$4,AG43,W43)</f>
        <v>13.330035321564491</v>
      </c>
      <c r="N43" s="245">
        <v>1</v>
      </c>
      <c r="O43" s="333">
        <f>E43*O$39</f>
        <v>13.330035321564491</v>
      </c>
      <c r="P43">
        <f t="shared" si="73"/>
        <v>13.330035321564491</v>
      </c>
      <c r="Q43" s="52">
        <f t="shared" si="74"/>
        <v>13.330035321564491</v>
      </c>
      <c r="R43" s="52">
        <f t="shared" si="75"/>
        <v>13.330035321564491</v>
      </c>
      <c r="S43" s="39">
        <f t="shared" si="73"/>
        <v>13.330035321564491</v>
      </c>
      <c r="T43" s="39">
        <f t="shared" si="73"/>
        <v>13.330035321564491</v>
      </c>
      <c r="U43" s="39">
        <f>S43</f>
        <v>13.330035321564491</v>
      </c>
      <c r="V43" s="39">
        <f t="shared" si="68"/>
        <v>13.330035321564491</v>
      </c>
      <c r="W43" s="39">
        <f t="shared" si="68"/>
        <v>13.330035321564491</v>
      </c>
      <c r="Y43" s="52">
        <f t="shared" si="69"/>
        <v>13.330035321564491</v>
      </c>
      <c r="Z43" s="52">
        <f t="shared" si="69"/>
        <v>13.330035321564491</v>
      </c>
      <c r="AA43" s="52">
        <f t="shared" si="69"/>
        <v>13.330035321564491</v>
      </c>
      <c r="AB43" s="52">
        <f t="shared" si="69"/>
        <v>13.330035321564491</v>
      </c>
      <c r="AC43" s="60">
        <f t="shared" si="70"/>
        <v>12.996784438525378</v>
      </c>
      <c r="AD43" s="60">
        <f t="shared" si="70"/>
        <v>12.671864827562242</v>
      </c>
      <c r="AE43" s="60">
        <f>AC43*$B43</f>
        <v>12.671864827562242</v>
      </c>
      <c r="AF43" s="60">
        <f t="shared" si="71"/>
        <v>12.671864827562242</v>
      </c>
      <c r="AG43" s="60">
        <f t="shared" si="71"/>
        <v>12.355068206873186</v>
      </c>
      <c r="AH43" s="195"/>
      <c r="AI43" s="195"/>
      <c r="AJ43" s="195"/>
      <c r="AK43" s="195"/>
      <c r="AL43" s="195"/>
      <c r="AM43" s="195"/>
      <c r="AN43" s="195"/>
      <c r="AO43" s="195"/>
      <c r="AP43" s="195"/>
      <c r="AQ43" s="195"/>
      <c r="AR43" s="195"/>
      <c r="AS43" s="195"/>
      <c r="AT43" s="195"/>
      <c r="AU43" s="195"/>
      <c r="AV43" s="195"/>
      <c r="AW43" s="195"/>
      <c r="AX43" s="195"/>
      <c r="AY43" s="195"/>
    </row>
    <row r="44" spans="1:51" ht="15">
      <c r="A44" t="s">
        <v>16</v>
      </c>
      <c r="B44" s="167">
        <f>B43</f>
        <v>0.97499999999999998</v>
      </c>
      <c r="C44" s="23" t="s">
        <v>183</v>
      </c>
      <c r="D44" s="31" t="s">
        <v>159</v>
      </c>
      <c r="E44" s="42">
        <v>13.50</v>
      </c>
      <c r="F44" s="52">
        <f t="shared" si="66"/>
        <v>13.5</v>
      </c>
      <c r="G44" s="52">
        <f t="shared" si="66"/>
        <v>13.5</v>
      </c>
      <c r="H44" s="52">
        <f t="shared" si="66"/>
        <v>13.5</v>
      </c>
      <c r="I44" s="52">
        <f t="shared" si="66"/>
        <v>13.5</v>
      </c>
      <c r="J44" s="52">
        <f t="shared" si="66"/>
        <v>13.5</v>
      </c>
      <c r="K44" s="52">
        <f>IF($D$4,AD44,T44)</f>
        <v>13.5</v>
      </c>
      <c r="L44" s="52">
        <f>IF($D$4,AD44,T44)</f>
        <v>13.5</v>
      </c>
      <c r="M44" s="52">
        <f>IF($D$4,AG44,W44)</f>
        <v>13.5</v>
      </c>
      <c r="N44" s="245">
        <v>1</v>
      </c>
      <c r="O44" s="255">
        <f>E44</f>
        <v>13.5</v>
      </c>
      <c r="P44">
        <f t="shared" si="73"/>
        <v>13.5</v>
      </c>
      <c r="Q44" s="52">
        <f t="shared" si="74"/>
        <v>13.5</v>
      </c>
      <c r="R44" s="52">
        <f t="shared" si="75"/>
        <v>13.5</v>
      </c>
      <c r="S44" s="39">
        <f>R44</f>
        <v>13.5</v>
      </c>
      <c r="T44" s="39">
        <f t="shared" si="73"/>
        <v>13.5</v>
      </c>
      <c r="U44" s="39">
        <f>S44</f>
        <v>13.5</v>
      </c>
      <c r="V44" s="39">
        <f t="shared" si="68"/>
        <v>13.5</v>
      </c>
      <c r="W44" s="39">
        <f t="shared" si="68"/>
        <v>13.5</v>
      </c>
      <c r="Y44" s="52">
        <f t="shared" si="69"/>
        <v>13.5</v>
      </c>
      <c r="Z44" s="52">
        <f t="shared" si="69"/>
        <v>13.5</v>
      </c>
      <c r="AA44" s="52">
        <f t="shared" si="69"/>
        <v>13.5</v>
      </c>
      <c r="AB44" s="52">
        <f t="shared" si="69"/>
        <v>13.5</v>
      </c>
      <c r="AC44" s="60">
        <f>AB44*$B44</f>
        <v>13.1625</v>
      </c>
      <c r="AD44" s="60">
        <f t="shared" si="76" ref="AD44">AC44*$B44</f>
        <v>12.833437499999999</v>
      </c>
      <c r="AE44" s="60">
        <f>AC44*$B44</f>
        <v>12.833437499999999</v>
      </c>
      <c r="AF44" s="60">
        <f t="shared" si="71"/>
        <v>12.833437499999999</v>
      </c>
      <c r="AG44" s="60">
        <f t="shared" si="71"/>
        <v>12.512601562499999</v>
      </c>
      <c r="AH44" s="195"/>
      <c r="AI44" s="195"/>
      <c r="AJ44" s="195"/>
      <c r="AK44" s="195"/>
      <c r="AL44" s="195"/>
      <c r="AM44" s="195"/>
      <c r="AN44" s="195"/>
      <c r="AO44" s="195"/>
      <c r="AP44" s="195"/>
      <c r="AQ44" s="195"/>
      <c r="AR44" s="195"/>
      <c r="AS44" s="195"/>
      <c r="AT44" s="195"/>
      <c r="AU44" s="195"/>
      <c r="AV44" s="195"/>
      <c r="AW44" s="195"/>
      <c r="AX44" s="195"/>
      <c r="AY44" s="195"/>
    </row>
    <row r="45" spans="1:51" ht="15">
      <c r="A45" t="s">
        <v>16</v>
      </c>
      <c r="C45" s="23" t="s">
        <v>6</v>
      </c>
      <c r="D45" s="31" t="s">
        <v>159</v>
      </c>
      <c r="E45" s="9">
        <f t="shared" si="77" ref="E45:J45">SUMPRODUCT(E41:E44,E54:E57)/SUM(E54:E57)</f>
        <v>12.901036769438678</v>
      </c>
      <c r="F45" s="9">
        <f t="shared" si="77"/>
        <v>12.901919445200708</v>
      </c>
      <c r="G45" s="9">
        <f t="shared" si="77"/>
        <v>12.84553690620824</v>
      </c>
      <c r="H45" s="9">
        <f t="shared" si="77"/>
        <v>12.883260217024397</v>
      </c>
      <c r="I45" s="9">
        <f t="shared" si="77"/>
        <v>12.964545779638284</v>
      </c>
      <c r="J45" s="9">
        <f t="shared" si="77"/>
        <v>13.050352298458709</v>
      </c>
      <c r="K45" s="9">
        <f>SUMPRODUCT(K41:K44,K54:K57)/SUM(K54:K57)</f>
        <v>13.050352298458709</v>
      </c>
      <c r="L45" s="9">
        <f>SUMPRODUCT(L41:L44,L54:L57)/SUM(L54:L57)</f>
        <v>13.050352298458709</v>
      </c>
      <c r="M45" s="9">
        <f>SUMPRODUCT(M41:M44,M54:M57)/SUM(M54:M57)</f>
        <v>13.112839318303445</v>
      </c>
      <c r="N45" s="37"/>
      <c r="X45" s="195"/>
      <c r="AA45" s="195"/>
      <c r="AC45" s="195"/>
      <c r="AD45" s="195"/>
      <c r="AE45" s="195"/>
      <c r="AF45" s="195"/>
      <c r="AG45" s="195"/>
      <c r="AH45" s="195"/>
      <c r="AI45" s="195"/>
      <c r="AJ45" s="195"/>
      <c r="AK45" s="195"/>
      <c r="AL45" s="195"/>
      <c r="AM45" s="195"/>
      <c r="AN45" s="195"/>
      <c r="AO45" s="195"/>
      <c r="AP45" s="195"/>
      <c r="AQ45" s="195"/>
      <c r="AR45" s="195"/>
      <c r="AS45" s="195"/>
      <c r="AT45" s="195"/>
      <c r="AU45" s="195"/>
      <c r="AV45" s="195"/>
      <c r="AW45" s="195"/>
      <c r="AX45" s="195"/>
      <c r="AY45" s="195"/>
    </row>
    <row r="46" spans="1:51" ht="15.75" thickBot="1">
      <c r="A46" t="s">
        <v>16</v>
      </c>
      <c r="C46" s="6" t="s">
        <v>149</v>
      </c>
      <c r="D46" s="6"/>
      <c r="E46" s="10"/>
      <c r="F46" s="10"/>
      <c r="G46" s="10"/>
      <c r="H46" s="10"/>
      <c r="I46" s="10"/>
      <c r="J46" s="10"/>
      <c r="K46" s="10"/>
      <c r="L46" s="10"/>
      <c r="M46" s="10"/>
      <c r="N46" s="37"/>
      <c r="O46" s="10"/>
      <c r="P46" s="10"/>
      <c r="Q46" s="10"/>
      <c r="R46" s="10"/>
      <c r="S46" s="10"/>
      <c r="T46" s="10"/>
      <c r="U46" s="10"/>
      <c r="V46" s="10"/>
      <c r="W46" s="10"/>
      <c r="AA46" s="10"/>
      <c r="AC46" s="10"/>
      <c r="AD46" s="10"/>
      <c r="AE46" s="10"/>
      <c r="AF46" s="10"/>
      <c r="AG46" s="10"/>
      <c r="AH46" s="195"/>
      <c r="AI46" s="195"/>
      <c r="AJ46" s="195"/>
      <c r="AK46" s="195"/>
      <c r="AL46" s="195"/>
      <c r="AM46" s="195"/>
      <c r="AN46" s="195"/>
      <c r="AO46" s="195"/>
      <c r="AP46" s="195"/>
      <c r="AQ46" s="195"/>
      <c r="AR46" s="195"/>
      <c r="AS46" s="195"/>
      <c r="AT46" s="195"/>
      <c r="AU46" s="195"/>
      <c r="AV46" s="195"/>
      <c r="AW46" s="195"/>
      <c r="AX46" s="195"/>
      <c r="AY46" s="195"/>
    </row>
    <row r="47" spans="1:51" ht="15">
      <c r="A47" t="s">
        <v>16</v>
      </c>
      <c r="C47" t="s">
        <v>13</v>
      </c>
      <c r="E47" s="42">
        <f>INDEX(Drivers!$H$28:$AK$28,1,MATCH(E40,Drivers!$H$5:$AK$5,0))</f>
        <v>4369.2882721535752</v>
      </c>
      <c r="F47" s="42">
        <f>INDEX(Drivers!$H$28:$AK$28,1,MATCH(F40,Drivers!$H$5:$AK$5,0))</f>
        <v>4454.71</v>
      </c>
      <c r="G47" s="42">
        <f>INDEX(Drivers!$H$28:$AK$28,1,MATCH(G40,Drivers!$H$5:$AK$5,0))</f>
        <v>4168.5599999999995</v>
      </c>
      <c r="H47" s="42">
        <f>INDEX(Drivers!$H$28:$AK$28,1,MATCH(H40,Drivers!$H$5:$AK$5,0))</f>
        <v>4383.5849658382722</v>
      </c>
      <c r="I47" s="42">
        <f>INDEX(Drivers!$H$28:$AK$28,1,MATCH(I40,Drivers!$H$5:$AK$5,0))</f>
        <v>5281.6350722846919</v>
      </c>
      <c r="J47" s="42">
        <f>INDEX(Drivers!$H$28:$AK$28,1,MATCH(J40,Drivers!$H$5:$AK$5,0))</f>
        <v>7330.2200952240746</v>
      </c>
      <c r="K47" s="42">
        <f>INDEX(Drivers!$H$28:$AK$28,1,MATCH(K40,Drivers!$H$5:$AK$5,0))</f>
        <v>9863.0643454910041</v>
      </c>
      <c r="L47" s="42">
        <f>INDEX(Drivers!$H$28:$AK$28,1,MATCH(L40,Drivers!$H$5:$AK$5,0))</f>
        <v>9863.0643454910041</v>
      </c>
      <c r="M47" s="42">
        <f>INDEX(Drivers!$H$28:$AK$28,1,MATCH(M40,Drivers!$H$5:$AK$5,0))</f>
        <v>9863.0643454910041</v>
      </c>
      <c r="N47" s="37"/>
      <c r="O47" s="9">
        <f>E47</f>
        <v>4369.2882721535752</v>
      </c>
      <c r="P47" s="9">
        <f t="shared" si="78" ref="P47:W47">F47</f>
        <v>4454.71</v>
      </c>
      <c r="Q47" s="9">
        <f t="shared" si="78"/>
        <v>4168.5599999999995</v>
      </c>
      <c r="R47" s="9">
        <f t="shared" si="78"/>
        <v>4383.5849658382722</v>
      </c>
      <c r="S47" s="9">
        <f t="shared" si="78"/>
        <v>5281.6350722846919</v>
      </c>
      <c r="T47" s="9">
        <f t="shared" si="78"/>
        <v>7330.2200952240746</v>
      </c>
      <c r="U47" s="9">
        <f t="shared" si="78"/>
        <v>9863.0643454910041</v>
      </c>
      <c r="V47" s="9">
        <f t="shared" si="78"/>
        <v>9863.0643454910041</v>
      </c>
      <c r="W47" s="9">
        <f t="shared" si="78"/>
        <v>9863.0643454910041</v>
      </c>
      <c r="X47" s="195"/>
      <c r="Y47" s="9">
        <f>E47</f>
        <v>4369.2882721535752</v>
      </c>
      <c r="Z47" s="9">
        <f t="shared" si="79" ref="Z47:AG47">F47</f>
        <v>4454.71</v>
      </c>
      <c r="AA47" s="9">
        <f t="shared" si="79"/>
        <v>4168.5599999999995</v>
      </c>
      <c r="AB47" s="9">
        <f t="shared" si="79"/>
        <v>4383.5849658382722</v>
      </c>
      <c r="AC47" s="9">
        <f t="shared" si="79"/>
        <v>5281.6350722846919</v>
      </c>
      <c r="AD47" s="9">
        <f t="shared" si="79"/>
        <v>7330.2200952240746</v>
      </c>
      <c r="AE47" s="9">
        <f t="shared" si="79"/>
        <v>9863.0643454910041</v>
      </c>
      <c r="AF47" s="9">
        <f t="shared" si="79"/>
        <v>9863.0643454910041</v>
      </c>
      <c r="AG47" s="9">
        <f t="shared" si="79"/>
        <v>9863.0643454910041</v>
      </c>
      <c r="AH47" s="195"/>
      <c r="AI47" s="195"/>
      <c r="AJ47" s="195"/>
      <c r="AK47" s="195"/>
      <c r="AL47" s="195"/>
      <c r="AM47" s="195"/>
      <c r="AN47" s="195"/>
      <c r="AO47" s="195"/>
      <c r="AP47" s="195"/>
      <c r="AQ47" s="195"/>
      <c r="AR47" s="195"/>
      <c r="AS47" s="195"/>
      <c r="AT47" s="195"/>
      <c r="AU47" s="195"/>
      <c r="AV47" s="195"/>
      <c r="AW47" s="195"/>
      <c r="AX47" s="195"/>
      <c r="AY47" s="195"/>
    </row>
    <row r="48" spans="1:51" ht="15">
      <c r="A48" t="s">
        <v>16</v>
      </c>
      <c r="C48" t="s">
        <v>151</v>
      </c>
      <c r="E48" s="42">
        <v>0.50</v>
      </c>
      <c r="F48" s="62">
        <f t="shared" si="80" ref="F48:J51">IF($D$4,Z48,P48)</f>
        <v>0.5</v>
      </c>
      <c r="G48" s="62">
        <f t="shared" si="80"/>
        <v>0.5</v>
      </c>
      <c r="H48" s="62">
        <f t="shared" si="80"/>
        <v>0.5</v>
      </c>
      <c r="I48" s="62">
        <f t="shared" si="80"/>
        <v>0.5</v>
      </c>
      <c r="J48" s="62">
        <f t="shared" si="80"/>
        <v>0.5</v>
      </c>
      <c r="K48" s="62">
        <f>IF($D$4,AD48,T48)</f>
        <v>0.5</v>
      </c>
      <c r="L48" s="62">
        <f>IF($D$4,AD48,T48)</f>
        <v>0.5</v>
      </c>
      <c r="M48" s="62">
        <f>IF($D$4,AG48,W48)</f>
        <v>0.5</v>
      </c>
      <c r="N48" s="37"/>
      <c r="O48" s="62">
        <f>E48</f>
        <v>0.5</v>
      </c>
      <c r="P48" s="62">
        <f>E48</f>
        <v>0.5</v>
      </c>
      <c r="Q48" s="62">
        <f>F48</f>
        <v>0.5</v>
      </c>
      <c r="R48" s="62">
        <f>G48</f>
        <v>0.5</v>
      </c>
      <c r="S48" s="39">
        <f>H48</f>
        <v>0.5</v>
      </c>
      <c r="T48" s="39">
        <f>I48</f>
        <v>0.5</v>
      </c>
      <c r="U48" s="39">
        <f>I48</f>
        <v>0.5</v>
      </c>
      <c r="V48" s="39">
        <f>I48</f>
        <v>0.5</v>
      </c>
      <c r="W48" s="39">
        <f>J48</f>
        <v>0.5</v>
      </c>
      <c r="X48" s="195"/>
      <c r="Y48" s="62">
        <f t="shared" si="81" ref="Y48:AB51">O48</f>
        <v>0.5</v>
      </c>
      <c r="Z48" s="62">
        <f t="shared" si="81"/>
        <v>0.5</v>
      </c>
      <c r="AA48" s="62">
        <f t="shared" si="81"/>
        <v>0.5</v>
      </c>
      <c r="AB48" s="62">
        <f t="shared" si="81"/>
        <v>0.5</v>
      </c>
      <c r="AC48" s="39">
        <f>AB48</f>
        <v>0.5</v>
      </c>
      <c r="AD48" s="39">
        <v>0.40</v>
      </c>
      <c r="AE48" s="39">
        <v>0.30</v>
      </c>
      <c r="AF48" s="39">
        <v>0.30</v>
      </c>
      <c r="AG48" s="39">
        <v>0.30</v>
      </c>
      <c r="AH48" s="195"/>
      <c r="AI48" s="195"/>
      <c r="AJ48" s="195"/>
      <c r="AK48" s="195"/>
      <c r="AL48" s="195"/>
      <c r="AM48" s="195"/>
      <c r="AN48" s="195"/>
      <c r="AO48" s="195"/>
      <c r="AP48" s="195"/>
      <c r="AQ48" s="195"/>
      <c r="AR48" s="195"/>
      <c r="AS48" s="195"/>
      <c r="AT48" s="195"/>
      <c r="AU48" s="195"/>
      <c r="AV48" s="195"/>
      <c r="AW48" s="195"/>
      <c r="AX48" s="195"/>
      <c r="AY48" s="195"/>
    </row>
    <row r="49" spans="1:51" ht="15">
      <c r="A49" t="s">
        <v>16</v>
      </c>
      <c r="C49" s="23" t="s">
        <v>150</v>
      </c>
      <c r="D49" t="s">
        <v>152</v>
      </c>
      <c r="E49" s="42">
        <v>0.82</v>
      </c>
      <c r="F49" s="62">
        <f t="shared" si="80"/>
        <v>0.82801570101021782</v>
      </c>
      <c r="G49" s="62">
        <f t="shared" si="80"/>
        <v>0.80142174844719194</v>
      </c>
      <c r="H49" s="62">
        <f t="shared" si="80"/>
        <v>0.82209143822998343</v>
      </c>
      <c r="I49" s="62">
        <f t="shared" si="80"/>
        <v>0.90630097327545578</v>
      </c>
      <c r="J49" s="62">
        <f t="shared" si="80"/>
        <v>1.0820642146502857</v>
      </c>
      <c r="K49" s="62">
        <f>IF($D$4,AD49,T49)</f>
        <v>1.0820642146502857</v>
      </c>
      <c r="L49" s="62">
        <f>IF($D$4,AD49,T49)</f>
        <v>1.0820642146502857</v>
      </c>
      <c r="M49" s="62">
        <f>IF($D$4,AG49,W49)</f>
        <v>1.2690094965717831</v>
      </c>
      <c r="N49" s="37"/>
      <c r="O49" s="22">
        <f>E49</f>
        <v>0.81999999999999995</v>
      </c>
      <c r="P49" s="22">
        <f>E49*(1+(P48*(P47/E47-1)))</f>
        <v>0.82801570101021782</v>
      </c>
      <c r="Q49" s="62">
        <f>F49*(1+(Q48*(Q47/F47-1)))</f>
        <v>0.80142174844719194</v>
      </c>
      <c r="R49" s="62">
        <f>G49*(1+(R48*(R47/G47-1)))</f>
        <v>0.82209143822998343</v>
      </c>
      <c r="S49" s="39">
        <f>H49*(1+(S48*(S47/H47-1)))</f>
        <v>0.90630097327545578</v>
      </c>
      <c r="T49" s="39">
        <f>I49*(1+(T48*(T47/I47-1)))</f>
        <v>1.0820642146502857</v>
      </c>
      <c r="U49" s="39">
        <f>I49*(1+(U48*(U47/I47-1)))</f>
        <v>1.2993756322090042</v>
      </c>
      <c r="V49" s="39">
        <f>I49*(1+(V48*(V47/I47-1)))</f>
        <v>1.2993756322090042</v>
      </c>
      <c r="W49" s="39">
        <f>J49*(1+(W48*(W47/J47-1)))</f>
        <v>1.2690094965717831</v>
      </c>
      <c r="X49" s="195"/>
      <c r="Y49" s="62">
        <f t="shared" si="81"/>
        <v>0.81999999999999995</v>
      </c>
      <c r="Z49" s="62">
        <f t="shared" si="81"/>
        <v>0.82801570101021782</v>
      </c>
      <c r="AA49" s="62">
        <f t="shared" si="81"/>
        <v>0.80142174844719194</v>
      </c>
      <c r="AB49" s="62">
        <f t="shared" si="81"/>
        <v>0.82209143822998343</v>
      </c>
      <c r="AC49" s="39">
        <f>AA49*(1+(AC48*(AC47/AA47-1)))</f>
        <v>0.90841823771247565</v>
      </c>
      <c r="AD49" s="39">
        <f>AC49*(1+(AD48*(AD47/AC47-1)))</f>
        <v>1.0493573197106387</v>
      </c>
      <c r="AE49" s="39">
        <f>AC49*(1+(AE48*(AE47/AC47-1)))</f>
        <v>1.1448140043421904</v>
      </c>
      <c r="AF49" s="39">
        <f>AC49*(1+(AF48*(AF47/AC47-1)))</f>
        <v>1.1448140043421904</v>
      </c>
      <c r="AG49" s="39">
        <f>AD49*(1+(AG48*(AG47/AD47-1)))</f>
        <v>1.1581340802653308</v>
      </c>
      <c r="AH49" s="195"/>
      <c r="AI49" s="195"/>
      <c r="AJ49" s="195"/>
      <c r="AK49" s="195"/>
      <c r="AL49" s="195"/>
      <c r="AM49" s="195"/>
      <c r="AN49" s="195"/>
      <c r="AO49" s="195"/>
      <c r="AP49" s="195"/>
      <c r="AQ49" s="195"/>
      <c r="AR49" s="195"/>
      <c r="AS49" s="195"/>
      <c r="AT49" s="195"/>
      <c r="AU49" s="195"/>
      <c r="AV49" s="195"/>
      <c r="AW49" s="195"/>
      <c r="AX49" s="195"/>
      <c r="AY49" s="195"/>
    </row>
    <row r="50" spans="1:51" ht="15">
      <c r="A50" t="s">
        <v>16</v>
      </c>
      <c r="C50" s="23" t="s">
        <v>160</v>
      </c>
      <c r="D50" t="s">
        <v>161</v>
      </c>
      <c r="E50" s="42">
        <v>6.8311858080285788</v>
      </c>
      <c r="F50" s="62">
        <f t="shared" si="80"/>
        <v>11.17821196363794</v>
      </c>
      <c r="G50" s="62">
        <f t="shared" si="80"/>
        <v>10.819193604037091</v>
      </c>
      <c r="H50" s="62">
        <f t="shared" si="80"/>
        <v>11.098234416104777</v>
      </c>
      <c r="I50" s="62">
        <f t="shared" si="80"/>
        <v>12.235063139218653</v>
      </c>
      <c r="J50" s="62">
        <f t="shared" si="80"/>
        <v>14.607866897778857</v>
      </c>
      <c r="K50" s="62">
        <f>IF($D$4,AD50,T50)</f>
        <v>14.607866897778857</v>
      </c>
      <c r="L50" s="62">
        <f>IF($D$4,AD50,T50)</f>
        <v>14.607866897778857</v>
      </c>
      <c r="M50" s="62">
        <f>IF($D$4,AG50,W50)</f>
        <v>17.131628203719071</v>
      </c>
      <c r="N50" s="37"/>
      <c r="O50" s="9">
        <f t="shared" si="82" ref="O50:W50">O49*O44</f>
        <v>11.069999999999999</v>
      </c>
      <c r="P50" s="9">
        <f t="shared" si="82"/>
        <v>11.17821196363794</v>
      </c>
      <c r="Q50" s="62">
        <f t="shared" si="82"/>
        <v>10.819193604037091</v>
      </c>
      <c r="R50" s="62">
        <f t="shared" si="82"/>
        <v>11.098234416104777</v>
      </c>
      <c r="S50" s="39">
        <f t="shared" si="82"/>
        <v>12.235063139218653</v>
      </c>
      <c r="T50" s="39">
        <f t="shared" si="82"/>
        <v>14.607866897778857</v>
      </c>
      <c r="U50" s="39">
        <f t="shared" si="83" ref="U50:V50">U49*U44</f>
        <v>17.541571034821558</v>
      </c>
      <c r="V50" s="39">
        <f t="shared" si="83"/>
        <v>17.541571034821558</v>
      </c>
      <c r="W50" s="39">
        <f t="shared" si="82"/>
        <v>17.131628203719071</v>
      </c>
      <c r="X50" s="195"/>
      <c r="Y50" s="62">
        <f t="shared" si="81"/>
        <v>11.069999999999999</v>
      </c>
      <c r="Z50" s="62">
        <f t="shared" si="81"/>
        <v>11.17821196363794</v>
      </c>
      <c r="AA50" s="62">
        <f t="shared" si="81"/>
        <v>10.819193604037091</v>
      </c>
      <c r="AB50" s="62">
        <f t="shared" si="81"/>
        <v>11.098234416104777</v>
      </c>
      <c r="AC50" s="39">
        <f>AC49*AC44</f>
        <v>11.957055053890461</v>
      </c>
      <c r="AD50" s="39">
        <f>AD49*AD44</f>
        <v>13.466861577673999</v>
      </c>
      <c r="AE50" s="39">
        <f>AE49*AE44</f>
        <v>14.691898973850227</v>
      </c>
      <c r="AF50" s="39">
        <f>AF49*AF44</f>
        <v>14.691898973850227</v>
      </c>
      <c r="AG50" s="39">
        <f>AG49*AG44</f>
        <v>14.491270302312477</v>
      </c>
      <c r="AH50" s="195"/>
      <c r="AI50" s="195"/>
      <c r="AJ50" s="195"/>
      <c r="AK50" s="195"/>
      <c r="AL50" s="195"/>
      <c r="AM50" s="195"/>
      <c r="AN50" s="195"/>
      <c r="AO50" s="195"/>
      <c r="AP50" s="195"/>
      <c r="AQ50" s="195"/>
      <c r="AR50" s="195"/>
      <c r="AS50" s="195"/>
      <c r="AT50" s="195"/>
      <c r="AU50" s="195"/>
      <c r="AV50" s="195"/>
      <c r="AW50" s="195"/>
      <c r="AX50" s="195"/>
      <c r="AY50" s="195"/>
    </row>
    <row r="51" spans="1:51" ht="15.75" thickBot="1">
      <c r="A51" t="s">
        <v>16</v>
      </c>
      <c r="C51" s="23" t="s">
        <v>162</v>
      </c>
      <c r="D51" t="s">
        <v>124</v>
      </c>
      <c r="E51" s="42">
        <v>9.5636601312400096</v>
      </c>
      <c r="F51" s="62">
        <f t="shared" si="80"/>
        <v>15.649496749093116</v>
      </c>
      <c r="G51" s="62">
        <f t="shared" si="80"/>
        <v>15.146871045651926</v>
      </c>
      <c r="H51" s="62">
        <f t="shared" si="80"/>
        <v>15.537528182546687</v>
      </c>
      <c r="I51" s="62">
        <f t="shared" si="80"/>
        <v>17.129088394906113</v>
      </c>
      <c r="J51" s="62">
        <f t="shared" si="80"/>
        <v>20.4510136568904</v>
      </c>
      <c r="K51" s="62">
        <f>IF($D$4,AD51,T51)</f>
        <v>20.4510136568904</v>
      </c>
      <c r="L51" s="62">
        <f>IF($D$4,AD51,T51)</f>
        <v>20.4510136568904</v>
      </c>
      <c r="M51" s="62">
        <f>IF($D$4,AG51,W51)</f>
        <v>23.984279485206699</v>
      </c>
      <c r="N51" s="37"/>
      <c r="O51" s="9">
        <f t="shared" si="84" ref="O51:W51">O50*O38</f>
        <v>15.497999999999998</v>
      </c>
      <c r="P51" s="9">
        <f t="shared" si="84"/>
        <v>15.649496749093116</v>
      </c>
      <c r="Q51" s="316">
        <f>Q50*Q38</f>
        <v>15.146871045651926</v>
      </c>
      <c r="R51" s="316">
        <f t="shared" si="84"/>
        <v>15.537528182546687</v>
      </c>
      <c r="S51" s="317">
        <f t="shared" si="84"/>
        <v>17.129088394906113</v>
      </c>
      <c r="T51" s="317">
        <f t="shared" si="84"/>
        <v>20.4510136568904</v>
      </c>
      <c r="U51" s="317">
        <f t="shared" si="85" ref="U51:V51">U50*U38</f>
        <v>24.55819944875018</v>
      </c>
      <c r="V51" s="317">
        <f t="shared" si="85"/>
        <v>24.55819944875018</v>
      </c>
      <c r="W51" s="317">
        <f t="shared" si="84"/>
        <v>23.984279485206699</v>
      </c>
      <c r="X51" s="195"/>
      <c r="Y51" s="316">
        <f t="shared" si="81"/>
        <v>15.497999999999998</v>
      </c>
      <c r="Z51" s="316">
        <f t="shared" si="81"/>
        <v>15.649496749093116</v>
      </c>
      <c r="AA51" s="316">
        <f t="shared" si="81"/>
        <v>15.146871045651926</v>
      </c>
      <c r="AB51" s="316">
        <f t="shared" si="81"/>
        <v>15.537528182546687</v>
      </c>
      <c r="AC51" s="317">
        <f>AC50*AC38</f>
        <v>16.739877075446643</v>
      </c>
      <c r="AD51" s="317">
        <f>AD50*AD38</f>
        <v>18.853606208743596</v>
      </c>
      <c r="AE51" s="317">
        <f>AE50*AE38</f>
        <v>20.568658563390319</v>
      </c>
      <c r="AF51" s="317">
        <f>AF50*AF38</f>
        <v>20.568658563390319</v>
      </c>
      <c r="AG51" s="317">
        <f>AG50*AG38</f>
        <v>20.287778423237466</v>
      </c>
      <c r="AH51" s="195"/>
      <c r="AI51" s="195"/>
      <c r="AJ51" s="195"/>
      <c r="AK51" s="195"/>
      <c r="AL51" s="195"/>
      <c r="AM51" s="195"/>
      <c r="AN51" s="195"/>
      <c r="AO51" s="195"/>
      <c r="AP51" s="195"/>
      <c r="AQ51" s="195"/>
      <c r="AR51" s="195"/>
      <c r="AS51" s="195"/>
      <c r="AT51" s="195"/>
      <c r="AU51" s="195"/>
      <c r="AV51" s="195"/>
      <c r="AW51" s="195"/>
      <c r="AX51" s="195"/>
      <c r="AY51" s="195"/>
    </row>
    <row r="52" spans="1:34" ht="15.75" thickTop="1">
      <c r="A52" t="s">
        <v>16</v>
      </c>
      <c r="C52" s="23"/>
      <c r="J52"/>
      <c r="N52" s="304"/>
      <c r="O52" s="325" t="s">
        <v>785</v>
      </c>
      <c r="P52" s="305"/>
      <c r="Q52" s="305"/>
      <c r="R52" s="305"/>
      <c r="S52" s="324" t="s">
        <v>792</v>
      </c>
      <c r="T52" s="305"/>
      <c r="U52" s="305"/>
      <c r="V52" s="305"/>
      <c r="W52" s="305"/>
      <c r="X52" s="305"/>
      <c r="Y52" s="305"/>
      <c r="Z52" s="305"/>
      <c r="AA52" s="305"/>
      <c r="AB52" s="305"/>
      <c r="AC52" s="305"/>
      <c r="AD52" s="305"/>
      <c r="AE52" s="305"/>
      <c r="AF52" s="305"/>
      <c r="AG52" s="305"/>
      <c r="AH52" s="306"/>
    </row>
    <row r="53" spans="1:34" ht="15.75" thickBot="1">
      <c r="A53" t="s">
        <v>16</v>
      </c>
      <c r="B53" s="6" t="s">
        <v>73</v>
      </c>
      <c r="D53" s="6"/>
      <c r="E53" s="10">
        <f t="shared" si="86" ref="E53:M53">E40</f>
        <v>2017</v>
      </c>
      <c r="F53" s="10">
        <f t="shared" si="86"/>
        <v>2019</v>
      </c>
      <c r="G53" s="10">
        <f t="shared" si="86"/>
        <v>2020</v>
      </c>
      <c r="H53" s="10">
        <f t="shared" si="86"/>
        <v>2021</v>
      </c>
      <c r="I53" s="10">
        <f t="shared" si="86"/>
        <v>2030</v>
      </c>
      <c r="J53" s="10">
        <f t="shared" si="86"/>
        <v>2040</v>
      </c>
      <c r="K53" s="10">
        <f t="shared" si="87" ref="K53:L53">K40</f>
        <v>2050</v>
      </c>
      <c r="L53" s="10">
        <f t="shared" si="87"/>
        <v>2050</v>
      </c>
      <c r="M53" s="10">
        <f t="shared" si="86"/>
        <v>2050</v>
      </c>
      <c r="N53" s="307"/>
      <c r="O53" s="10">
        <f t="shared" si="88" ref="O53:W53">O40</f>
        <v>2017</v>
      </c>
      <c r="P53" s="10">
        <f t="shared" si="88"/>
        <v>2019</v>
      </c>
      <c r="Q53" s="10">
        <f t="shared" si="88"/>
        <v>2020</v>
      </c>
      <c r="R53" s="10">
        <f t="shared" si="88"/>
        <v>2021</v>
      </c>
      <c r="S53" s="10">
        <f t="shared" si="88"/>
        <v>2030</v>
      </c>
      <c r="T53" s="10">
        <f t="shared" si="88"/>
        <v>2040</v>
      </c>
      <c r="U53" s="10">
        <f t="shared" si="89" ref="U53:V53">U40</f>
        <v>2050</v>
      </c>
      <c r="V53" s="10">
        <f t="shared" si="89"/>
        <v>2050</v>
      </c>
      <c r="W53" s="10">
        <f t="shared" si="88"/>
        <v>2050</v>
      </c>
      <c r="Y53" s="246">
        <f t="shared" si="90" ref="Y53:AG53">Y$12</f>
        <v>2017</v>
      </c>
      <c r="Z53" s="246">
        <f t="shared" si="90"/>
        <v>2019</v>
      </c>
      <c r="AA53" s="246">
        <f t="shared" si="90"/>
        <v>2020</v>
      </c>
      <c r="AB53" s="246">
        <f t="shared" si="90"/>
        <v>2021</v>
      </c>
      <c r="AC53" s="246">
        <f t="shared" si="90"/>
        <v>2030</v>
      </c>
      <c r="AD53" s="246">
        <f t="shared" si="90"/>
        <v>2040</v>
      </c>
      <c r="AE53" s="246">
        <f t="shared" si="90"/>
        <v>2050</v>
      </c>
      <c r="AF53" s="246">
        <f t="shared" si="90"/>
        <v>2060</v>
      </c>
      <c r="AG53" s="246">
        <f t="shared" si="90"/>
        <v>2070</v>
      </c>
      <c r="AH53" s="308"/>
    </row>
    <row r="54" spans="1:51" ht="15">
      <c r="A54" t="s">
        <v>16</v>
      </c>
      <c r="C54" s="23" t="str">
        <f>C30</f>
        <v>Low Income</v>
      </c>
      <c r="D54" t="s">
        <v>58</v>
      </c>
      <c r="E54" s="52">
        <f t="shared" si="91" ref="E54:J59">IF($D$4,Y54,O54)</f>
        <v>0.12877680945571371</v>
      </c>
      <c r="F54" s="52">
        <f t="shared" si="91"/>
        <v>0.12973355042768442</v>
      </c>
      <c r="G54" s="52">
        <f t="shared" si="91"/>
        <v>0.13499132813487882</v>
      </c>
      <c r="H54" s="52">
        <f t="shared" si="91"/>
        <v>0.14781299326866817</v>
      </c>
      <c r="I54" s="52">
        <f t="shared" si="91"/>
        <v>0.12467754413779995</v>
      </c>
      <c r="J54" s="52">
        <f t="shared" si="91"/>
        <v>0.093748819756893254</v>
      </c>
      <c r="K54" s="52">
        <f t="shared" si="92" ref="K54:K59">IF($D$4,AD54,T54)</f>
        <v>0.093748819756893254</v>
      </c>
      <c r="L54" s="52">
        <f t="shared" si="93" ref="L54:L59">IF($D$4,AD54,T54)</f>
        <v>0.093748819756893254</v>
      </c>
      <c r="M54" s="315">
        <f t="shared" si="94" ref="M54:M59">IF($D$4,AG54,W54)</f>
        <v>0.037727657770271442</v>
      </c>
      <c r="N54" s="319"/>
      <c r="O54" s="353">
        <f t="shared" si="95" ref="O54:Q56">O30*O25*O13</f>
        <v>0.12877680945571371</v>
      </c>
      <c r="P54" s="9">
        <f t="shared" si="95"/>
        <v>0.12973355042768442</v>
      </c>
      <c r="Q54" s="9">
        <f t="shared" si="95"/>
        <v>0.13499132813487882</v>
      </c>
      <c r="R54" s="9">
        <f>R30*R25*R13</f>
        <v>0.14781299326866817</v>
      </c>
      <c r="S54" s="346">
        <f t="shared" si="96" ref="S54:W54">S30*S25*S13</f>
        <v>0.12467754413779995</v>
      </c>
      <c r="T54" s="346">
        <f t="shared" si="96"/>
        <v>0.093748819756893254</v>
      </c>
      <c r="U54" s="346">
        <f t="shared" si="97" ref="U54:V54">U30*U25*U13</f>
        <v>0.071956306265091599</v>
      </c>
      <c r="V54" s="346">
        <f t="shared" si="97"/>
        <v>0.054713632629327345</v>
      </c>
      <c r="W54" s="346">
        <f t="shared" si="96"/>
        <v>0.037727657770271442</v>
      </c>
      <c r="X54" s="347"/>
      <c r="Y54" s="9">
        <f t="shared" si="98" ref="Y54:AB56">Y30*Y25*Y13</f>
        <v>0.12877680945571371</v>
      </c>
      <c r="Z54" s="9">
        <f t="shared" si="98"/>
        <v>0.12973355042768442</v>
      </c>
      <c r="AA54" s="9">
        <f t="shared" si="98"/>
        <v>0.13499132813487882</v>
      </c>
      <c r="AB54" s="9">
        <f t="shared" si="98"/>
        <v>0.14781299326866817</v>
      </c>
      <c r="AC54" s="346">
        <f t="shared" si="99" ref="AC54">AC30*AC25*AC13</f>
        <v>0.11844366693090995</v>
      </c>
      <c r="AD54" s="346">
        <f t="shared" si="100" ref="AD54:AG56">AD30*AD25*AD13</f>
        <v>0.089061378769048585</v>
      </c>
      <c r="AE54" s="346">
        <f t="shared" si="101" ref="AE54:AF54">AE30*AE25*AE13</f>
        <v>0.06494056640424517</v>
      </c>
      <c r="AF54" s="346">
        <f t="shared" si="101"/>
        <v>0.049379053447967926</v>
      </c>
      <c r="AG54" s="346">
        <f t="shared" si="100"/>
        <v>0.032346750580786475</v>
      </c>
      <c r="AH54" s="320"/>
      <c r="AI54" s="195"/>
      <c r="AJ54" s="195"/>
      <c r="AK54" s="195"/>
      <c r="AL54" s="195"/>
      <c r="AM54" s="195"/>
      <c r="AN54" s="195"/>
      <c r="AO54" s="195"/>
      <c r="AP54" s="195"/>
      <c r="AQ54" s="195"/>
      <c r="AR54" s="195"/>
      <c r="AS54" s="195"/>
      <c r="AT54" s="195"/>
      <c r="AU54" s="195"/>
      <c r="AV54" s="195"/>
      <c r="AW54" s="195"/>
      <c r="AX54" s="195"/>
      <c r="AY54" s="195"/>
    </row>
    <row r="55" spans="1:51" ht="15">
      <c r="A55" t="s">
        <v>16</v>
      </c>
      <c r="C55" s="23" t="str">
        <f>C31</f>
        <v>Middle Income</v>
      </c>
      <c r="D55" t="s">
        <v>58</v>
      </c>
      <c r="E55" s="52">
        <f t="shared" si="91"/>
        <v>2.7702164245855587</v>
      </c>
      <c r="F55" s="52">
        <f t="shared" si="91"/>
        <v>2.92184375996167</v>
      </c>
      <c r="G55" s="52">
        <f t="shared" si="91"/>
        <v>3.0704902512012651</v>
      </c>
      <c r="H55" s="52">
        <f t="shared" si="91"/>
        <v>2.7504486266706074</v>
      </c>
      <c r="I55" s="52">
        <f t="shared" si="91"/>
        <v>3.3565169730918853</v>
      </c>
      <c r="J55" s="52">
        <f t="shared" si="91"/>
        <v>3.916069679653754</v>
      </c>
      <c r="K55" s="52">
        <f t="shared" si="92"/>
        <v>3.916069679653754</v>
      </c>
      <c r="L55" s="52">
        <f t="shared" si="93"/>
        <v>3.916069679653754</v>
      </c>
      <c r="M55" s="315">
        <f t="shared" si="94"/>
        <v>5.1128846818515994</v>
      </c>
      <c r="N55" s="319"/>
      <c r="O55" s="255">
        <f t="shared" si="95"/>
        <v>2.7702164245855587</v>
      </c>
      <c r="P55" s="9">
        <f t="shared" si="95"/>
        <v>2.92184375996167</v>
      </c>
      <c r="Q55" s="9">
        <f>Q31*Q26*Q14</f>
        <v>3.0704902512012651</v>
      </c>
      <c r="R55" s="9">
        <f t="shared" si="102" ref="R55:W55">R31*R26*R14</f>
        <v>2.7504486266706074</v>
      </c>
      <c r="S55" s="346">
        <f t="shared" si="102"/>
        <v>3.3565169730918853</v>
      </c>
      <c r="T55" s="346">
        <f t="shared" si="102"/>
        <v>3.916069679653754</v>
      </c>
      <c r="U55" s="346">
        <f t="shared" si="103" ref="U55:V55">U31*U26*U14</f>
        <v>4.341639969365449</v>
      </c>
      <c r="V55" s="346">
        <f t="shared" si="103"/>
        <v>4.6978384991960453</v>
      </c>
      <c r="W55" s="346">
        <f t="shared" si="102"/>
        <v>5.1128846818515994</v>
      </c>
      <c r="X55" s="347"/>
      <c r="Y55" s="9">
        <f t="shared" si="98"/>
        <v>2.7702164245855587</v>
      </c>
      <c r="Z55" s="9">
        <f t="shared" si="98"/>
        <v>2.92184375996167</v>
      </c>
      <c r="AA55" s="9">
        <f t="shared" si="98"/>
        <v>3.0704902512012651</v>
      </c>
      <c r="AB55" s="9">
        <f t="shared" si="98"/>
        <v>2.7504486266706074</v>
      </c>
      <c r="AC55" s="346">
        <f t="shared" si="104" ref="AC55">AC31*AC26*AC14</f>
        <v>3.029256568215426</v>
      </c>
      <c r="AD55" s="346">
        <f t="shared" si="100"/>
        <v>3.3575402415931364</v>
      </c>
      <c r="AE55" s="346">
        <f t="shared" si="105" ref="AE55:AF55">AE31*AE26*AE14</f>
        <v>3.7224135687347015</v>
      </c>
      <c r="AF55" s="346">
        <f t="shared" si="105"/>
        <v>4.0278092832482084</v>
      </c>
      <c r="AG55" s="346">
        <f t="shared" si="100"/>
        <v>4.1644765288973886</v>
      </c>
      <c r="AH55" s="320"/>
      <c r="AI55" s="195"/>
      <c r="AJ55" s="195"/>
      <c r="AK55" s="195"/>
      <c r="AL55" s="195"/>
      <c r="AM55" s="195"/>
      <c r="AN55" s="195"/>
      <c r="AO55" s="195"/>
      <c r="AP55" s="195"/>
      <c r="AQ55" s="195"/>
      <c r="AR55" s="195"/>
      <c r="AS55" s="195"/>
      <c r="AT55" s="195"/>
      <c r="AU55" s="195"/>
      <c r="AV55" s="195"/>
      <c r="AW55" s="195"/>
      <c r="AX55" s="195"/>
      <c r="AY55" s="195"/>
    </row>
    <row r="56" spans="1:51" ht="15">
      <c r="A56" t="s">
        <v>16</v>
      </c>
      <c r="C56" s="23" t="str">
        <f>C32</f>
        <v>High Income</v>
      </c>
      <c r="D56" t="s">
        <v>58</v>
      </c>
      <c r="E56" s="52">
        <f t="shared" si="91"/>
        <v>4.1038214947082041</v>
      </c>
      <c r="F56" s="52">
        <f t="shared" si="91"/>
        <v>4.3184589686023154</v>
      </c>
      <c r="G56" s="52">
        <f t="shared" si="91"/>
        <v>3.6132870620523043</v>
      </c>
      <c r="H56" s="52">
        <f t="shared" si="91"/>
        <v>4.0001039701140124</v>
      </c>
      <c r="I56" s="52">
        <f t="shared" si="91"/>
        <v>6.2685790542889759</v>
      </c>
      <c r="J56" s="52">
        <f t="shared" si="91"/>
        <v>10.040720641731429</v>
      </c>
      <c r="K56" s="52">
        <f t="shared" si="92"/>
        <v>10.040720641731429</v>
      </c>
      <c r="L56" s="52">
        <f t="shared" si="93"/>
        <v>10.040720641731429</v>
      </c>
      <c r="M56" s="315">
        <f t="shared" si="94"/>
        <v>16.816871255298178</v>
      </c>
      <c r="N56" s="319"/>
      <c r="O56" s="255">
        <f t="shared" si="95"/>
        <v>4.1038214947082041</v>
      </c>
      <c r="P56" s="9">
        <f t="shared" si="95"/>
        <v>4.3184589686023154</v>
      </c>
      <c r="Q56" s="9">
        <f t="shared" si="95"/>
        <v>3.6132870620523043</v>
      </c>
      <c r="R56" s="9">
        <f t="shared" si="106" ref="R56:W56">R32*R27*R15</f>
        <v>4.0001039701140124</v>
      </c>
      <c r="S56" s="346">
        <f t="shared" si="106"/>
        <v>6.2685790542889759</v>
      </c>
      <c r="T56" s="346">
        <f t="shared" si="106"/>
        <v>10.040720641731429</v>
      </c>
      <c r="U56" s="346">
        <f t="shared" si="107" ref="U56:V56">U32*U27*U15</f>
        <v>14.776690899978169</v>
      </c>
      <c r="V56" s="346">
        <f t="shared" si="107"/>
        <v>16.327926164653956</v>
      </c>
      <c r="W56" s="346">
        <f t="shared" si="106"/>
        <v>16.816871255298178</v>
      </c>
      <c r="X56" s="347"/>
      <c r="Y56" s="9">
        <f t="shared" si="98"/>
        <v>4.1038214947082041</v>
      </c>
      <c r="Z56" s="9">
        <f t="shared" si="98"/>
        <v>4.3184589686023154</v>
      </c>
      <c r="AA56" s="9">
        <f t="shared" si="98"/>
        <v>3.6132870620523043</v>
      </c>
      <c r="AB56" s="9">
        <f t="shared" si="98"/>
        <v>4.0001039701140124</v>
      </c>
      <c r="AC56" s="346">
        <f t="shared" si="108" ref="AC56">AC32*AC27*AC15</f>
        <v>5.9590679634834567</v>
      </c>
      <c r="AD56" s="346">
        <f t="shared" si="100"/>
        <v>9.3063360585447903</v>
      </c>
      <c r="AE56" s="346">
        <f t="shared" si="109" ref="AE56:AF56">AE32*AE27*AE15</f>
        <v>13.69591449212195</v>
      </c>
      <c r="AF56" s="346">
        <f t="shared" si="109"/>
        <v>15.133691440017312</v>
      </c>
      <c r="AG56" s="346">
        <f t="shared" si="100"/>
        <v>15.197202911612607</v>
      </c>
      <c r="AH56" s="320"/>
      <c r="AI56" s="195"/>
      <c r="AJ56" s="195"/>
      <c r="AK56" s="195"/>
      <c r="AL56" s="195"/>
      <c r="AM56" s="195"/>
      <c r="AN56" s="195"/>
      <c r="AO56" s="195"/>
      <c r="AP56" s="195"/>
      <c r="AQ56" s="195"/>
      <c r="AR56" s="195"/>
      <c r="AS56" s="195"/>
      <c r="AT56" s="195"/>
      <c r="AU56" s="195"/>
      <c r="AV56" s="195"/>
      <c r="AW56" s="195"/>
      <c r="AX56" s="195"/>
      <c r="AY56" s="195"/>
    </row>
    <row r="57" spans="1:51" ht="15.75" thickBot="1">
      <c r="A57" t="s">
        <v>16</v>
      </c>
      <c r="C57" s="23" t="s">
        <v>153</v>
      </c>
      <c r="D57" t="s">
        <v>58</v>
      </c>
      <c r="E57" s="52">
        <f t="shared" si="91"/>
        <v>0.81999999999999995</v>
      </c>
      <c r="F57" s="52">
        <f t="shared" si="91"/>
        <v>0.82801570101021782</v>
      </c>
      <c r="G57" s="52">
        <f t="shared" si="91"/>
        <v>0.80142174844719194</v>
      </c>
      <c r="H57" s="52">
        <f t="shared" si="91"/>
        <v>0.82209143822998343</v>
      </c>
      <c r="I57" s="52">
        <f t="shared" si="91"/>
        <v>0.90630097327545578</v>
      </c>
      <c r="J57" s="52">
        <f t="shared" si="91"/>
        <v>1.0820642146502857</v>
      </c>
      <c r="K57" s="52">
        <f t="shared" si="92"/>
        <v>1.0820642146502857</v>
      </c>
      <c r="L57" s="52">
        <f t="shared" si="93"/>
        <v>1.0820642146502857</v>
      </c>
      <c r="M57" s="315">
        <f t="shared" si="94"/>
        <v>1.2690094965717831</v>
      </c>
      <c r="N57" s="321"/>
      <c r="O57" s="332">
        <f t="shared" si="110" ref="O57:Q57">O49</f>
        <v>0.81999999999999995</v>
      </c>
      <c r="P57" s="322">
        <f t="shared" si="110"/>
        <v>0.82801570101021782</v>
      </c>
      <c r="Q57" s="322">
        <f t="shared" si="110"/>
        <v>0.80142174844719194</v>
      </c>
      <c r="R57" s="322">
        <f>R49</f>
        <v>0.82209143822998343</v>
      </c>
      <c r="S57" s="348">
        <f t="shared" si="111" ref="S57:W57">S49</f>
        <v>0.90630097327545578</v>
      </c>
      <c r="T57" s="348">
        <f t="shared" si="111"/>
        <v>1.0820642146502857</v>
      </c>
      <c r="U57" s="348">
        <f t="shared" si="112" ref="U57:V57">U49</f>
        <v>1.2993756322090042</v>
      </c>
      <c r="V57" s="348">
        <f t="shared" si="112"/>
        <v>1.2993756322090042</v>
      </c>
      <c r="W57" s="348">
        <f t="shared" si="111"/>
        <v>1.2690094965717831</v>
      </c>
      <c r="X57" s="349" t="s">
        <v>793</v>
      </c>
      <c r="Y57" s="322">
        <f t="shared" si="113" ref="Y57:AB57">Y49</f>
        <v>0.81999999999999995</v>
      </c>
      <c r="Z57" s="322">
        <f t="shared" si="113"/>
        <v>0.82801570101021782</v>
      </c>
      <c r="AA57" s="322">
        <f t="shared" si="113"/>
        <v>0.80142174844719194</v>
      </c>
      <c r="AB57" s="322">
        <f t="shared" si="113"/>
        <v>0.82209143822998343</v>
      </c>
      <c r="AC57" s="348">
        <f t="shared" si="114" ref="AC57">AC49</f>
        <v>0.90841823771247565</v>
      </c>
      <c r="AD57" s="348">
        <f>AD49</f>
        <v>1.0493573197106387</v>
      </c>
      <c r="AE57" s="348">
        <f>AE49</f>
        <v>1.1448140043421904</v>
      </c>
      <c r="AF57" s="348">
        <f>AF49</f>
        <v>1.1448140043421904</v>
      </c>
      <c r="AG57" s="348">
        <f>AG49</f>
        <v>1.1581340802653308</v>
      </c>
      <c r="AH57" s="323"/>
      <c r="AI57" s="195"/>
      <c r="AJ57" s="195"/>
      <c r="AK57" s="195"/>
      <c r="AL57" s="195"/>
      <c r="AM57" s="195"/>
      <c r="AN57" s="195"/>
      <c r="AO57" s="195"/>
      <c r="AP57" s="195"/>
      <c r="AQ57" s="195"/>
      <c r="AR57" s="195"/>
      <c r="AS57" s="195"/>
      <c r="AT57" s="195"/>
      <c r="AU57" s="195"/>
      <c r="AV57" s="195"/>
      <c r="AW57" s="195"/>
      <c r="AX57" s="195"/>
      <c r="AY57" s="195"/>
    </row>
    <row r="58" spans="1:51" ht="15.75" thickTop="1">
      <c r="A58" t="s">
        <v>16</v>
      </c>
      <c r="C58" s="23" t="s">
        <v>55</v>
      </c>
      <c r="D58" t="s">
        <v>58</v>
      </c>
      <c r="E58" s="52">
        <f t="shared" si="91"/>
        <v>7.8228147287494769</v>
      </c>
      <c r="F58" s="52">
        <f t="shared" si="91"/>
        <v>8.1980519800018872</v>
      </c>
      <c r="G58" s="52">
        <f t="shared" si="91"/>
        <v>7.6201903898356402</v>
      </c>
      <c r="H58" s="52">
        <f t="shared" si="91"/>
        <v>7.7204570282832714</v>
      </c>
      <c r="I58" s="52">
        <f t="shared" si="91"/>
        <v>10.656074544794118</v>
      </c>
      <c r="J58" s="52">
        <f t="shared" si="91"/>
        <v>15.132603355792362</v>
      </c>
      <c r="K58" s="52">
        <f t="shared" si="92"/>
        <v>15.132603355792362</v>
      </c>
      <c r="L58" s="52">
        <f t="shared" si="93"/>
        <v>15.132603355792362</v>
      </c>
      <c r="M58" s="52">
        <f t="shared" si="94"/>
        <v>23.23649309149183</v>
      </c>
      <c r="N58" s="37"/>
      <c r="O58" s="9">
        <f t="shared" si="115" ref="O58:Q58">SUM(O54:O57)</f>
        <v>7.8228147287494769</v>
      </c>
      <c r="P58" s="9">
        <f t="shared" si="115"/>
        <v>8.1980519800018872</v>
      </c>
      <c r="Q58" s="9">
        <f t="shared" si="115"/>
        <v>7.6201903898356402</v>
      </c>
      <c r="R58" s="9">
        <f>SUM(R54:R57)</f>
        <v>7.7204570282832714</v>
      </c>
      <c r="S58" s="318">
        <f t="shared" si="116" ref="S58">SUM(S54:S57)</f>
        <v>10.656074544794118</v>
      </c>
      <c r="T58" s="318">
        <f t="shared" si="117" ref="T58">SUM(T54:T57)</f>
        <v>15.132603355792362</v>
      </c>
      <c r="U58" s="318">
        <f>SUM(U54:U57)</f>
        <v>20.489662807817712</v>
      </c>
      <c r="V58" s="318">
        <f>SUM(V54:V57)</f>
        <v>22.37985392868833</v>
      </c>
      <c r="W58" s="318">
        <f>SUM(W54:W57)</f>
        <v>23.23649309149183</v>
      </c>
      <c r="X58" s="195"/>
      <c r="Y58" s="9">
        <f t="shared" si="118" ref="Y58:AC58">SUM(Y54:Y57)</f>
        <v>7.8228147287494769</v>
      </c>
      <c r="Z58" s="9">
        <f t="shared" si="118"/>
        <v>8.1980519800018872</v>
      </c>
      <c r="AA58" s="9">
        <f t="shared" si="118"/>
        <v>7.6201903898356402</v>
      </c>
      <c r="AB58" s="9">
        <f t="shared" si="118"/>
        <v>7.7204570282832714</v>
      </c>
      <c r="AC58" s="318">
        <f t="shared" si="118"/>
        <v>10.015186436342269</v>
      </c>
      <c r="AD58" s="318">
        <f>SUM(AD54:AD57)</f>
        <v>13.802294998617613</v>
      </c>
      <c r="AE58" s="318">
        <f>SUM(AE54:AE57)</f>
        <v>18.628082631603089</v>
      </c>
      <c r="AF58" s="318">
        <f>SUM(AF54:AF57)</f>
        <v>20.355693781055681</v>
      </c>
      <c r="AG58" s="318">
        <f>SUM(AG54:AG57)</f>
        <v>20.552160271356112</v>
      </c>
      <c r="AH58" s="195"/>
      <c r="AI58" s="195"/>
      <c r="AJ58" s="195"/>
      <c r="AK58" s="195"/>
      <c r="AL58" s="195"/>
      <c r="AM58" s="195"/>
      <c r="AN58" s="195"/>
      <c r="AO58" s="195"/>
      <c r="AP58" s="195"/>
      <c r="AQ58" s="195"/>
      <c r="AR58" s="195"/>
      <c r="AS58" s="195"/>
      <c r="AT58" s="195"/>
      <c r="AU58" s="195"/>
      <c r="AV58" s="195"/>
      <c r="AW58" s="195"/>
      <c r="AX58" s="195"/>
      <c r="AY58" s="195"/>
    </row>
    <row r="59" spans="1:51" ht="15">
      <c r="A59" t="s">
        <v>16</v>
      </c>
      <c r="C59" s="23" t="s">
        <v>56</v>
      </c>
      <c r="D59" t="s">
        <v>57</v>
      </c>
      <c r="E59" s="52">
        <f t="shared" si="91"/>
        <v>7.2252699317964622</v>
      </c>
      <c r="F59" s="52">
        <f t="shared" si="91"/>
        <v>7.1193540934106165</v>
      </c>
      <c r="G59" s="52">
        <f t="shared" si="91"/>
        <v>7.6334348116433448</v>
      </c>
      <c r="H59" s="52">
        <f t="shared" si="91"/>
        <v>7.6928418592864727</v>
      </c>
      <c r="I59" s="52">
        <f t="shared" si="91"/>
        <v>6.0678327397388951</v>
      </c>
      <c r="J59" s="52">
        <f t="shared" si="91"/>
        <v>4.606870038215555</v>
      </c>
      <c r="K59" s="52">
        <f t="shared" si="92"/>
        <v>4.606870038215555</v>
      </c>
      <c r="L59" s="52">
        <f t="shared" si="93"/>
        <v>4.606870038215555</v>
      </c>
      <c r="M59" s="52">
        <f t="shared" si="94"/>
        <v>3.2923279213769003</v>
      </c>
      <c r="N59" s="37"/>
      <c r="O59" s="40">
        <f t="shared" si="119" ref="O59:T59">E16/O58</f>
        <v>7.2252699317964622</v>
      </c>
      <c r="P59" s="40">
        <f t="shared" si="119"/>
        <v>7.1193540934106165</v>
      </c>
      <c r="Q59" s="9">
        <f t="shared" si="119"/>
        <v>7.6334348116433448</v>
      </c>
      <c r="R59" s="9">
        <f t="shared" si="119"/>
        <v>7.6928418592864727</v>
      </c>
      <c r="S59" s="39">
        <f t="shared" si="119"/>
        <v>6.0678327397388951</v>
      </c>
      <c r="T59" s="39">
        <f t="shared" si="119"/>
        <v>4.606870038215555</v>
      </c>
      <c r="U59" s="39">
        <f>L16/U58</f>
        <v>3.6927497884997473</v>
      </c>
      <c r="V59" s="39">
        <f>L16/V58</f>
        <v>3.3808620128216615</v>
      </c>
      <c r="W59" s="39">
        <f>M16/W58</f>
        <v>3.2923279213769003</v>
      </c>
      <c r="X59" s="195"/>
      <c r="Y59" s="40">
        <f t="shared" si="120" ref="Y59:AC59">Y16/Y58</f>
        <v>7.2252699317964622</v>
      </c>
      <c r="Z59" s="40">
        <f t="shared" si="120"/>
        <v>7.1193540934106165</v>
      </c>
      <c r="AA59" s="40">
        <f t="shared" si="120"/>
        <v>7.6334348116433448</v>
      </c>
      <c r="AB59" s="40">
        <f t="shared" si="120"/>
        <v>7.6928418592864727</v>
      </c>
      <c r="AC59" s="39">
        <f t="shared" si="120"/>
        <v>6.4561232495253229</v>
      </c>
      <c r="AD59" s="39">
        <f>AD16/AD58</f>
        <v>5.0508945799942904</v>
      </c>
      <c r="AE59" s="39">
        <f>AE16/AE58</f>
        <v>3.9472528898521535</v>
      </c>
      <c r="AF59" s="39">
        <f>AF16/AF58</f>
        <v>3.7170532635157363</v>
      </c>
      <c r="AG59" s="39">
        <f>AG16/AG58</f>
        <v>3.7223413008618045</v>
      </c>
      <c r="AH59" s="195"/>
      <c r="AI59" s="195"/>
      <c r="AJ59" s="195"/>
      <c r="AK59" s="195"/>
      <c r="AL59" s="195"/>
      <c r="AM59" s="195"/>
      <c r="AN59" s="195"/>
      <c r="AO59" s="195"/>
      <c r="AP59" s="195"/>
      <c r="AQ59" s="195"/>
      <c r="AR59" s="195"/>
      <c r="AS59" s="195"/>
      <c r="AT59" s="195"/>
      <c r="AU59" s="195"/>
      <c r="AV59" s="195"/>
      <c r="AW59" s="195"/>
      <c r="AX59" s="195"/>
      <c r="AY59" s="195"/>
    </row>
    <row r="60" spans="1:33" ht="15">
      <c r="A60" t="s">
        <v>16</v>
      </c>
      <c r="C60" s="23" t="s">
        <v>154</v>
      </c>
      <c r="D60" t="s">
        <v>132</v>
      </c>
      <c r="E60" s="9">
        <f t="shared" si="121" ref="E60:M60">1000/E59</f>
        <v>138.40313364615901</v>
      </c>
      <c r="F60" s="9">
        <f t="shared" si="121"/>
        <v>140.46218054044525</v>
      </c>
      <c r="G60" s="9">
        <f t="shared" si="121"/>
        <v>131.00262524999772</v>
      </c>
      <c r="H60" s="9">
        <f t="shared" si="121"/>
        <v>129.99097320489469</v>
      </c>
      <c r="I60" s="9">
        <f t="shared" si="121"/>
        <v>164.80348798194311</v>
      </c>
      <c r="J60" s="9">
        <f t="shared" si="121"/>
        <v>217.06711752332052</v>
      </c>
      <c r="K60" s="9">
        <f t="shared" si="122" ref="K60:L60">1000/K59</f>
        <v>217.06711752332052</v>
      </c>
      <c r="L60" s="9">
        <f t="shared" si="122"/>
        <v>217.06711752332052</v>
      </c>
      <c r="M60" s="9">
        <f t="shared" si="121"/>
        <v>303.73645149593278</v>
      </c>
      <c r="N60" s="36"/>
      <c r="O60" s="9">
        <f t="shared" si="123" ref="O60:Q60">1000/O59</f>
        <v>138.40313364615901</v>
      </c>
      <c r="P60" s="9">
        <f t="shared" si="123"/>
        <v>140.46218054044525</v>
      </c>
      <c r="Q60" s="9">
        <f t="shared" si="123"/>
        <v>131.00262524999772</v>
      </c>
      <c r="R60" s="9">
        <f>1000/R59</f>
        <v>129.99097320489469</v>
      </c>
      <c r="S60" s="9">
        <f t="shared" si="124" ref="S60">1000/S59</f>
        <v>164.80348798194311</v>
      </c>
      <c r="T60" s="9">
        <f t="shared" si="125" ref="T60">1000/T59</f>
        <v>217.06711752332052</v>
      </c>
      <c r="U60" s="9">
        <f t="shared" si="126" ref="U60:W60">1000/U59</f>
        <v>270.80090915292419</v>
      </c>
      <c r="V60" s="9">
        <f t="shared" si="127" ref="V60">1000/V59</f>
        <v>295.78255374149438</v>
      </c>
      <c r="W60" s="9">
        <f t="shared" si="126"/>
        <v>303.73645149593278</v>
      </c>
      <c r="Y60" s="9">
        <f t="shared" si="128" ref="Y60:AC60">1000/Y59</f>
        <v>138.40313364615901</v>
      </c>
      <c r="Z60" s="9">
        <f t="shared" si="128"/>
        <v>140.46218054044525</v>
      </c>
      <c r="AA60" s="9">
        <f t="shared" si="128"/>
        <v>131.00262524999772</v>
      </c>
      <c r="AB60" s="9">
        <f t="shared" si="128"/>
        <v>129.99097320489469</v>
      </c>
      <c r="AC60" s="9">
        <f t="shared" si="128"/>
        <v>154.8917146328524</v>
      </c>
      <c r="AD60" s="9">
        <f>1000/AD59</f>
        <v>197.98473006362576</v>
      </c>
      <c r="AE60" s="9">
        <f>1000/AE59</f>
        <v>253.34074808605828</v>
      </c>
      <c r="AF60" s="9">
        <f>1000/AF59</f>
        <v>269.03031221407906</v>
      </c>
      <c r="AG60" s="9">
        <f>1000/AG59</f>
        <v>268.64812202160988</v>
      </c>
    </row>
    <row r="61" spans="1:33" ht="15">
      <c r="A61" t="s">
        <v>16</v>
      </c>
      <c r="C61" s="23" t="s">
        <v>155</v>
      </c>
      <c r="E61" s="68">
        <f>IF($D$4,AA61,Q61)</f>
        <v>0.10517083005120005</v>
      </c>
      <c r="F61" s="68">
        <f>IF($D$4,AC61,S61)</f>
        <v>0.085050172037151983</v>
      </c>
      <c r="G61" s="68">
        <f>IF($D$4,AD61,T61)</f>
        <v>0.071505489783164108</v>
      </c>
      <c r="H61" s="68">
        <f>IF($D$4,AG61,W61)</f>
        <v>0.054612780490376059</v>
      </c>
      <c r="I61" s="68">
        <f>IF($D$4,AC61,S61)</f>
        <v>0.085050172037151983</v>
      </c>
      <c r="J61" s="68">
        <f>IF($D$4,AD61,T61)</f>
        <v>0.071505489783164108</v>
      </c>
      <c r="K61" s="68">
        <f>IF($D$4,AD61,T61)</f>
        <v>0.071505489783164108</v>
      </c>
      <c r="L61" s="68">
        <f>IF($D$4,AD61,T61)</f>
        <v>0.071505489783164108</v>
      </c>
      <c r="M61" s="68">
        <f>IF($D$4,AG61,W61)</f>
        <v>0.054612780490376059</v>
      </c>
      <c r="N61" s="36"/>
      <c r="O61" s="68">
        <f t="shared" si="129" ref="O61:Q61">O57/O58</f>
        <v>0.10482160557713756</v>
      </c>
      <c r="P61" s="68">
        <f>P57/P58</f>
        <v>0.10100151877910235</v>
      </c>
      <c r="Q61" s="68">
        <f t="shared" si="129"/>
        <v>0.10517083005120005</v>
      </c>
      <c r="R61" s="68">
        <f>R57/R58</f>
        <v>0.10648222446136514</v>
      </c>
      <c r="S61" s="68">
        <f t="shared" si="130" ref="S61:W61">S57/S58</f>
        <v>0.085050172037151983</v>
      </c>
      <c r="T61" s="68">
        <f t="shared" si="130"/>
        <v>0.071505489783164108</v>
      </c>
      <c r="U61" s="68">
        <f t="shared" si="131" ref="U61:V61">U57/U58</f>
        <v>0.063416154984904632</v>
      </c>
      <c r="V61" s="68">
        <f t="shared" si="131"/>
        <v>0.058060058673723429</v>
      </c>
      <c r="W61" s="68">
        <f t="shared" si="130"/>
        <v>0.054612780490376059</v>
      </c>
      <c r="Y61" s="68">
        <f t="shared" si="132" ref="Y61:AB61">Y57/Y58</f>
        <v>0.10482160557713756</v>
      </c>
      <c r="Z61" s="68">
        <f t="shared" si="132"/>
        <v>0.10100151877910235</v>
      </c>
      <c r="AA61" s="68">
        <f t="shared" si="132"/>
        <v>0.10517083005120005</v>
      </c>
      <c r="AB61" s="68">
        <f t="shared" si="132"/>
        <v>0.10648222446136514</v>
      </c>
      <c r="AC61" s="68">
        <f t="shared" si="133" ref="AC61">AC57/AC58</f>
        <v>0.090704076602716427</v>
      </c>
      <c r="AD61" s="68">
        <f>AD57/AD58</f>
        <v>0.076027741749885691</v>
      </c>
      <c r="AE61" s="68">
        <f>AE57/AE58</f>
        <v>0.061456352056329183</v>
      </c>
      <c r="AF61" s="68">
        <f>AF57/AF58</f>
        <v>0.056240480754707951</v>
      </c>
      <c r="AG61" s="68">
        <f>AG57/AG58</f>
        <v>0.056350965785306843</v>
      </c>
    </row>
    <row r="62" spans="1:16" ht="15">
      <c r="A62" t="s">
        <v>16</v>
      </c>
      <c r="C62" s="23"/>
      <c r="E62" s="68"/>
      <c r="G62" s="68"/>
      <c r="I62" s="68"/>
      <c r="J62" s="68"/>
      <c r="K62" s="68"/>
      <c r="L62" s="68"/>
      <c r="M62" s="68"/>
      <c r="N62" s="36"/>
      <c r="O62">
        <v>7.7429715476704368</v>
      </c>
      <c r="P62" s="9">
        <f>O62-O58</f>
        <v>-0.079843181079040093</v>
      </c>
    </row>
    <row r="63" spans="1:33" ht="15.75" thickBot="1">
      <c r="A63" t="s">
        <v>16</v>
      </c>
      <c r="C63" s="6" t="s">
        <v>69</v>
      </c>
      <c r="E63" s="10">
        <f t="shared" si="134" ref="E63:M63">E53</f>
        <v>2017</v>
      </c>
      <c r="F63" s="10">
        <f t="shared" si="134"/>
        <v>2019</v>
      </c>
      <c r="G63" s="10">
        <f t="shared" si="134"/>
        <v>2020</v>
      </c>
      <c r="H63" s="10">
        <f t="shared" si="134"/>
        <v>2021</v>
      </c>
      <c r="I63" s="10">
        <f t="shared" si="134"/>
        <v>2030</v>
      </c>
      <c r="J63" s="10">
        <f t="shared" si="134"/>
        <v>2040</v>
      </c>
      <c r="K63" s="10">
        <f t="shared" si="135" ref="K63:L63">K53</f>
        <v>2050</v>
      </c>
      <c r="L63" s="10">
        <f t="shared" si="135"/>
        <v>2050</v>
      </c>
      <c r="M63" s="10">
        <f t="shared" si="134"/>
        <v>2050</v>
      </c>
      <c r="N63" s="36"/>
      <c r="O63" s="10">
        <f t="shared" si="136" ref="O63:W63">O53</f>
        <v>2017</v>
      </c>
      <c r="P63" s="10">
        <f t="shared" si="136"/>
        <v>2019</v>
      </c>
      <c r="Q63" s="10">
        <f t="shared" si="136"/>
        <v>2020</v>
      </c>
      <c r="R63" s="10">
        <f t="shared" si="136"/>
        <v>2021</v>
      </c>
      <c r="S63" s="10">
        <f t="shared" si="136"/>
        <v>2030</v>
      </c>
      <c r="T63" s="10">
        <f t="shared" si="136"/>
        <v>2040</v>
      </c>
      <c r="U63" s="10">
        <f t="shared" si="137" ref="U63:V63">U53</f>
        <v>2050</v>
      </c>
      <c r="V63" s="10">
        <f t="shared" si="137"/>
        <v>2050</v>
      </c>
      <c r="W63" s="10">
        <f t="shared" si="136"/>
        <v>2050</v>
      </c>
      <c r="Y63" s="246">
        <f t="shared" si="138" ref="Y63:AG63">Y$12</f>
        <v>2017</v>
      </c>
      <c r="Z63" s="246">
        <f t="shared" si="138"/>
        <v>2019</v>
      </c>
      <c r="AA63" s="246">
        <f t="shared" si="138"/>
        <v>2020</v>
      </c>
      <c r="AB63" s="246">
        <f t="shared" si="138"/>
        <v>2021</v>
      </c>
      <c r="AC63" s="246">
        <f t="shared" si="138"/>
        <v>2030</v>
      </c>
      <c r="AD63" s="246">
        <f t="shared" si="138"/>
        <v>2040</v>
      </c>
      <c r="AE63" s="246">
        <f t="shared" si="138"/>
        <v>2050</v>
      </c>
      <c r="AF63" s="246">
        <f t="shared" si="138"/>
        <v>2060</v>
      </c>
      <c r="AG63" s="246">
        <f t="shared" si="138"/>
        <v>2070</v>
      </c>
    </row>
    <row r="64" spans="1:33" ht="15">
      <c r="A64" t="s">
        <v>16</v>
      </c>
      <c r="C64" s="23" t="s">
        <v>156</v>
      </c>
      <c r="D64" t="s">
        <v>157</v>
      </c>
      <c r="E64" s="55">
        <v>330</v>
      </c>
      <c r="F64" s="52">
        <f>IF($D$4,Z64,P64)</f>
        <v>330</v>
      </c>
      <c r="G64" s="52">
        <f>IF($D$4,AA64,Q64)</f>
        <v>330</v>
      </c>
      <c r="H64" s="52">
        <f>IF($D$4,AB64,R64)</f>
        <v>330</v>
      </c>
      <c r="I64" s="52">
        <f>IF($D$4,AC64,S64)</f>
        <v>330</v>
      </c>
      <c r="J64" s="52">
        <f>IF($D$4,AD64,T64)</f>
        <v>330</v>
      </c>
      <c r="K64" s="52">
        <f>IF($D$4,AD64,T64)</f>
        <v>330</v>
      </c>
      <c r="L64" s="52">
        <f>IF($D$4,AD64,T64)</f>
        <v>330</v>
      </c>
      <c r="M64" s="52">
        <f>IF($D$4,AG64,W64)</f>
        <v>330</v>
      </c>
      <c r="N64" s="36"/>
      <c r="O64" s="63">
        <f>E64</f>
        <v>330</v>
      </c>
      <c r="P64" s="63">
        <f>O64</f>
        <v>330</v>
      </c>
      <c r="Q64" s="9">
        <f t="shared" si="139" ref="Q64:T64">P64</f>
        <v>330</v>
      </c>
      <c r="R64" s="9">
        <f t="shared" si="139"/>
        <v>330</v>
      </c>
      <c r="S64" s="51">
        <f t="shared" si="139"/>
        <v>330</v>
      </c>
      <c r="T64" s="51">
        <f t="shared" si="139"/>
        <v>330</v>
      </c>
      <c r="U64" s="51">
        <f>S64</f>
        <v>330</v>
      </c>
      <c r="V64" s="51">
        <f>S64</f>
        <v>330</v>
      </c>
      <c r="W64" s="51">
        <f>T64</f>
        <v>330</v>
      </c>
      <c r="Y64" s="63">
        <f>O64</f>
        <v>330</v>
      </c>
      <c r="Z64" s="63">
        <f>P64</f>
        <v>330</v>
      </c>
      <c r="AA64" s="63">
        <f>Q64</f>
        <v>330</v>
      </c>
      <c r="AB64" s="63">
        <f>R64</f>
        <v>330</v>
      </c>
      <c r="AC64" s="51">
        <f>AA64</f>
        <v>330</v>
      </c>
      <c r="AD64" s="51">
        <f>AC64</f>
        <v>330</v>
      </c>
      <c r="AE64" s="51">
        <f>AC64</f>
        <v>330</v>
      </c>
      <c r="AF64" s="51">
        <f>AC64</f>
        <v>330</v>
      </c>
      <c r="AG64" s="51">
        <f>AD64</f>
        <v>330</v>
      </c>
    </row>
    <row r="65" spans="1:16" ht="15">
      <c r="A65" t="s">
        <v>16</v>
      </c>
      <c r="C65" s="23"/>
      <c r="J65"/>
      <c r="N65" s="36"/>
      <c r="O65" s="11"/>
      <c r="P65" s="11"/>
    </row>
    <row r="66" spans="1:23" ht="15.75" thickBot="1">
      <c r="A66" t="s">
        <v>16</v>
      </c>
      <c r="C66" s="6" t="s">
        <v>166</v>
      </c>
      <c r="J66"/>
      <c r="N66" s="36"/>
      <c r="O66">
        <f t="shared" si="140" ref="O66:W66">O53</f>
        <v>2017</v>
      </c>
      <c r="P66">
        <f t="shared" si="140"/>
        <v>2019</v>
      </c>
      <c r="Q66">
        <f t="shared" si="140"/>
        <v>2020</v>
      </c>
      <c r="R66">
        <f t="shared" si="140"/>
        <v>2021</v>
      </c>
      <c r="S66">
        <f t="shared" si="140"/>
        <v>2030</v>
      </c>
      <c r="T66">
        <f t="shared" si="140"/>
        <v>2040</v>
      </c>
      <c r="U66">
        <f t="shared" si="141" ref="U66:V66">U53</f>
        <v>2050</v>
      </c>
      <c r="V66">
        <f t="shared" si="141"/>
        <v>2050</v>
      </c>
      <c r="W66">
        <f t="shared" si="140"/>
        <v>2050</v>
      </c>
    </row>
    <row r="67" spans="1:33" ht="15">
      <c r="A67" t="s">
        <v>16</v>
      </c>
      <c r="C67" s="23" t="s">
        <v>167</v>
      </c>
      <c r="D67" t="s">
        <v>158</v>
      </c>
      <c r="E67" s="173">
        <v>33.50</v>
      </c>
      <c r="F67" s="63">
        <f t="shared" si="142" ref="F67:J70">IF($D$4,Z67,P67)</f>
        <v>33.5</v>
      </c>
      <c r="G67" s="63">
        <f t="shared" si="142"/>
        <v>33.5</v>
      </c>
      <c r="H67" s="63">
        <f t="shared" si="142"/>
        <v>33.5</v>
      </c>
      <c r="I67" s="63">
        <f t="shared" si="142"/>
        <v>33.5</v>
      </c>
      <c r="J67" s="63">
        <f t="shared" si="142"/>
        <v>33.5</v>
      </c>
      <c r="K67" s="63">
        <f>IF($D$4,AD67,T67)</f>
        <v>33.5</v>
      </c>
      <c r="L67" s="63">
        <f>IF($D$4,AD67,T67)</f>
        <v>33.5</v>
      </c>
      <c r="M67" s="63">
        <f>IF($D$4,AG67,W67)</f>
        <v>33.5</v>
      </c>
      <c r="N67" s="36"/>
      <c r="O67" s="62">
        <f>E67</f>
        <v>33.5</v>
      </c>
      <c r="P67" s="63">
        <f t="shared" si="143" ref="P67:T67">O67</f>
        <v>33.5</v>
      </c>
      <c r="Q67" s="9">
        <f t="shared" si="143"/>
        <v>33.5</v>
      </c>
      <c r="R67" s="9">
        <f t="shared" si="143"/>
        <v>33.5</v>
      </c>
      <c r="S67" s="51">
        <f t="shared" si="143"/>
        <v>33.5</v>
      </c>
      <c r="T67" s="51">
        <f t="shared" si="143"/>
        <v>33.5</v>
      </c>
      <c r="U67" s="51">
        <f>S67</f>
        <v>33.5</v>
      </c>
      <c r="V67" s="51">
        <f t="shared" si="144" ref="V67:W70">S67</f>
        <v>33.5</v>
      </c>
      <c r="W67" s="51">
        <f t="shared" si="144"/>
        <v>33.5</v>
      </c>
      <c r="Y67" s="63">
        <f t="shared" si="145" ref="Y67:AB70">O67</f>
        <v>33.5</v>
      </c>
      <c r="Z67" s="63">
        <f t="shared" si="145"/>
        <v>33.5</v>
      </c>
      <c r="AA67" s="63">
        <f t="shared" si="145"/>
        <v>33.5</v>
      </c>
      <c r="AB67" s="63">
        <f t="shared" si="145"/>
        <v>33.5</v>
      </c>
      <c r="AC67" s="51">
        <f>AA67</f>
        <v>33.5</v>
      </c>
      <c r="AD67" s="51">
        <f>AC67</f>
        <v>33.5</v>
      </c>
      <c r="AE67" s="51">
        <f>AC67</f>
        <v>33.5</v>
      </c>
      <c r="AF67" s="51">
        <f>AC67</f>
        <v>33.5</v>
      </c>
      <c r="AG67" s="51">
        <f>AD67</f>
        <v>33.5</v>
      </c>
    </row>
    <row r="68" spans="1:33" ht="15">
      <c r="A68" t="s">
        <v>16</v>
      </c>
      <c r="C68" s="23" t="s">
        <v>54</v>
      </c>
      <c r="D68" t="s">
        <v>158</v>
      </c>
      <c r="E68" s="51">
        <f>E70*1.5</f>
        <v>32.25</v>
      </c>
      <c r="F68" s="63">
        <f t="shared" si="142"/>
        <v>32.25</v>
      </c>
      <c r="G68" s="63">
        <f t="shared" si="142"/>
        <v>32.25</v>
      </c>
      <c r="H68" s="63">
        <f t="shared" si="142"/>
        <v>32.25</v>
      </c>
      <c r="I68" s="63">
        <f t="shared" si="142"/>
        <v>32.25</v>
      </c>
      <c r="J68" s="63">
        <f t="shared" si="142"/>
        <v>32.25</v>
      </c>
      <c r="K68" s="63">
        <f>IF($D$4,AD68,T68)</f>
        <v>32.25</v>
      </c>
      <c r="L68" s="63">
        <f>IF($D$4,AD68,T68)</f>
        <v>32.25</v>
      </c>
      <c r="M68" s="63">
        <f>IF($D$4,AG68,W68)</f>
        <v>32.25</v>
      </c>
      <c r="N68" s="36"/>
      <c r="O68" s="63">
        <f>E68</f>
        <v>32.25</v>
      </c>
      <c r="P68" s="63">
        <f t="shared" si="146" ref="P68:T68">O68</f>
        <v>32.25</v>
      </c>
      <c r="Q68" s="9">
        <f t="shared" si="146"/>
        <v>32.25</v>
      </c>
      <c r="R68" s="9">
        <f t="shared" si="146"/>
        <v>32.25</v>
      </c>
      <c r="S68" s="51">
        <f t="shared" si="146"/>
        <v>32.25</v>
      </c>
      <c r="T68" s="51">
        <f t="shared" si="146"/>
        <v>32.25</v>
      </c>
      <c r="U68" s="51">
        <f>S68</f>
        <v>32.25</v>
      </c>
      <c r="V68" s="51">
        <f t="shared" si="144"/>
        <v>32.25</v>
      </c>
      <c r="W68" s="51">
        <f t="shared" si="144"/>
        <v>32.25</v>
      </c>
      <c r="Y68" s="63">
        <f t="shared" si="145"/>
        <v>32.25</v>
      </c>
      <c r="Z68" s="63">
        <f t="shared" si="145"/>
        <v>32.25</v>
      </c>
      <c r="AA68" s="63">
        <f t="shared" si="145"/>
        <v>32.25</v>
      </c>
      <c r="AB68" s="63">
        <f t="shared" si="145"/>
        <v>32.25</v>
      </c>
      <c r="AC68" s="51">
        <f>AC70*1.5</f>
        <v>28.349999999999998</v>
      </c>
      <c r="AD68" s="51">
        <f>AD70*1.5</f>
        <v>28.349999999999998</v>
      </c>
      <c r="AE68" s="51">
        <f>AE70*1.5</f>
        <v>28.349999999999998</v>
      </c>
      <c r="AF68" s="51">
        <f>AF70*1.5</f>
        <v>28.349999999999998</v>
      </c>
      <c r="AG68" s="51">
        <f>AG70*1.5</f>
        <v>28.349999999999998</v>
      </c>
    </row>
    <row r="69" spans="1:33" ht="15">
      <c r="A69" t="s">
        <v>16</v>
      </c>
      <c r="C69" s="23" t="s">
        <v>71</v>
      </c>
      <c r="D69" t="s">
        <v>158</v>
      </c>
      <c r="E69" s="51">
        <f>E70*2</f>
        <v>43</v>
      </c>
      <c r="F69" s="63">
        <f t="shared" si="142"/>
        <v>43</v>
      </c>
      <c r="G69" s="63">
        <f t="shared" si="142"/>
        <v>43</v>
      </c>
      <c r="H69" s="63">
        <f t="shared" si="142"/>
        <v>43</v>
      </c>
      <c r="I69" s="63">
        <f t="shared" si="142"/>
        <v>43</v>
      </c>
      <c r="J69" s="63">
        <f t="shared" si="142"/>
        <v>43</v>
      </c>
      <c r="K69" s="63">
        <f>IF($D$4,AD69,T69)</f>
        <v>43</v>
      </c>
      <c r="L69" s="63">
        <f>IF($D$4,AD69,T69)</f>
        <v>43</v>
      </c>
      <c r="M69" s="63">
        <f>IF($D$4,AG69,W69)</f>
        <v>43</v>
      </c>
      <c r="N69" s="36"/>
      <c r="O69" s="63">
        <f>E69</f>
        <v>43</v>
      </c>
      <c r="P69" s="63">
        <f t="shared" si="147" ref="P69:T69">O69</f>
        <v>43</v>
      </c>
      <c r="Q69" s="9">
        <f t="shared" si="147"/>
        <v>43</v>
      </c>
      <c r="R69" s="9">
        <f t="shared" si="147"/>
        <v>43</v>
      </c>
      <c r="S69" s="51">
        <f t="shared" si="147"/>
        <v>43</v>
      </c>
      <c r="T69" s="51">
        <f t="shared" si="147"/>
        <v>43</v>
      </c>
      <c r="U69" s="51">
        <f>S69</f>
        <v>43</v>
      </c>
      <c r="V69" s="51">
        <f t="shared" si="144"/>
        <v>43</v>
      </c>
      <c r="W69" s="51">
        <f t="shared" si="144"/>
        <v>43</v>
      </c>
      <c r="Y69" s="63">
        <f t="shared" si="145"/>
        <v>43</v>
      </c>
      <c r="Z69" s="63">
        <f t="shared" si="145"/>
        <v>43</v>
      </c>
      <c r="AA69" s="63">
        <f t="shared" si="145"/>
        <v>43</v>
      </c>
      <c r="AB69" s="63">
        <f t="shared" si="145"/>
        <v>43</v>
      </c>
      <c r="AC69" s="51">
        <f>AC70*2</f>
        <v>37.799999999999997</v>
      </c>
      <c r="AD69" s="51">
        <f>AD70*2</f>
        <v>37.799999999999997</v>
      </c>
      <c r="AE69" s="51">
        <f>AE70*2</f>
        <v>37.799999999999997</v>
      </c>
      <c r="AF69" s="51">
        <f>AF70*2</f>
        <v>37.799999999999997</v>
      </c>
      <c r="AG69" s="51">
        <f>AG70*2</f>
        <v>37.799999999999997</v>
      </c>
    </row>
    <row r="70" spans="1:33" ht="15">
      <c r="A70" t="s">
        <v>16</v>
      </c>
      <c r="C70" s="23" t="s">
        <v>168</v>
      </c>
      <c r="D70" t="s">
        <v>158</v>
      </c>
      <c r="E70" s="173">
        <v>21.50</v>
      </c>
      <c r="F70" s="63">
        <f t="shared" si="142"/>
        <v>18.899999999999999</v>
      </c>
      <c r="G70" s="63">
        <f t="shared" si="142"/>
        <v>18.899999999999999</v>
      </c>
      <c r="H70" s="63">
        <f t="shared" si="142"/>
        <v>18.899999999999999</v>
      </c>
      <c r="I70" s="63">
        <f t="shared" si="142"/>
        <v>18.899999999999999</v>
      </c>
      <c r="J70" s="63">
        <f t="shared" si="142"/>
        <v>18.899999999999999</v>
      </c>
      <c r="K70" s="63">
        <f>IF($D$4,AD70,T70)</f>
        <v>18.899999999999999</v>
      </c>
      <c r="L70" s="63">
        <f>IF($D$4,AD70,T70)</f>
        <v>18.899999999999999</v>
      </c>
      <c r="M70" s="63">
        <f>IF($D$4,AG70,W70)</f>
        <v>18.899999999999999</v>
      </c>
      <c r="N70" s="36"/>
      <c r="O70" s="261">
        <v>18.90</v>
      </c>
      <c r="P70" s="62">
        <f t="shared" si="148" ref="P70:T70">O70</f>
        <v>18.899999999999999</v>
      </c>
      <c r="Q70" s="9">
        <f t="shared" si="148"/>
        <v>18.899999999999999</v>
      </c>
      <c r="R70" s="9">
        <f t="shared" si="148"/>
        <v>18.899999999999999</v>
      </c>
      <c r="S70" s="260">
        <f t="shared" si="148"/>
        <v>18.899999999999999</v>
      </c>
      <c r="T70" s="260">
        <f t="shared" si="148"/>
        <v>18.899999999999999</v>
      </c>
      <c r="U70" s="260">
        <f>S70</f>
        <v>18.899999999999999</v>
      </c>
      <c r="V70" s="260">
        <f t="shared" si="144"/>
        <v>18.899999999999999</v>
      </c>
      <c r="W70" s="260">
        <f t="shared" si="144"/>
        <v>18.899999999999999</v>
      </c>
      <c r="Y70" s="62">
        <f t="shared" si="145"/>
        <v>18.899999999999999</v>
      </c>
      <c r="Z70" s="63">
        <f t="shared" si="145"/>
        <v>18.899999999999999</v>
      </c>
      <c r="AA70" s="63">
        <f t="shared" si="145"/>
        <v>18.899999999999999</v>
      </c>
      <c r="AB70" s="63">
        <f t="shared" si="145"/>
        <v>18.899999999999999</v>
      </c>
      <c r="AC70" s="51">
        <f>AA70</f>
        <v>18.899999999999999</v>
      </c>
      <c r="AD70" s="51">
        <f>AC70</f>
        <v>18.899999999999999</v>
      </c>
      <c r="AE70" s="51">
        <f>AC70</f>
        <v>18.899999999999999</v>
      </c>
      <c r="AF70" s="51">
        <f>AC70</f>
        <v>18.899999999999999</v>
      </c>
      <c r="AG70" s="51">
        <f>AD70</f>
        <v>18.899999999999999</v>
      </c>
    </row>
    <row r="71" spans="1:14" ht="15">
      <c r="A71" t="s">
        <v>16</v>
      </c>
      <c r="C71" s="221" t="s">
        <v>609</v>
      </c>
      <c r="J71"/>
      <c r="N71" s="36"/>
    </row>
    <row r="72" spans="1:23" ht="15.75" thickBot="1">
      <c r="A72" t="s">
        <v>16</v>
      </c>
      <c r="C72" s="6" t="s">
        <v>165</v>
      </c>
      <c r="J72"/>
      <c r="N72" s="36"/>
      <c r="O72" s="241">
        <f t="shared" si="149" ref="O72:W113">O$12</f>
        <v>2017</v>
      </c>
      <c r="P72" s="241">
        <f t="shared" si="149"/>
        <v>2019</v>
      </c>
      <c r="Q72" s="241">
        <f t="shared" si="149"/>
        <v>2020</v>
      </c>
      <c r="R72" s="241">
        <f t="shared" si="149"/>
        <v>2021</v>
      </c>
      <c r="S72" s="241">
        <f t="shared" si="149"/>
        <v>2030</v>
      </c>
      <c r="T72" s="241">
        <f t="shared" si="149"/>
        <v>2040</v>
      </c>
      <c r="U72" s="241">
        <f t="shared" si="149"/>
        <v>2050</v>
      </c>
      <c r="V72" s="241">
        <f t="shared" si="149"/>
        <v>2060</v>
      </c>
      <c r="W72" s="241">
        <f t="shared" si="149"/>
        <v>2070</v>
      </c>
    </row>
    <row r="73" spans="1:33" ht="15">
      <c r="A73" t="s">
        <v>16</v>
      </c>
      <c r="C73" s="23" t="s">
        <v>169</v>
      </c>
      <c r="E73" s="196">
        <v>0.55000000000000004</v>
      </c>
      <c r="F73" s="52">
        <f>IF($D$4,Z73,P73)</f>
        <v>0.55000000000000004</v>
      </c>
      <c r="G73" s="52">
        <f>IF($D$4,AA73,Q73)</f>
        <v>0.55000000000000004</v>
      </c>
      <c r="H73" s="52">
        <f>IF($D$4,AB73,R73)</f>
        <v>0.55000000000000004</v>
      </c>
      <c r="I73" s="52">
        <f>IF($D$4,AC73,S73)</f>
        <v>0.55000000000000004</v>
      </c>
      <c r="J73" s="52">
        <f>IF($D$4,AD73,T73)</f>
        <v>0.55000000000000004</v>
      </c>
      <c r="K73" s="52">
        <f>IF($D$4,AD73,T73)</f>
        <v>0.55000000000000004</v>
      </c>
      <c r="L73" s="52">
        <f>IF($D$4,AD73,T73)</f>
        <v>0.55000000000000004</v>
      </c>
      <c r="M73" s="52">
        <f>IF($D$4,AG73,W73)</f>
        <v>0.55000000000000004</v>
      </c>
      <c r="N73" s="36"/>
      <c r="O73" s="197">
        <f>E73</f>
        <v>0.55000000000000004</v>
      </c>
      <c r="P73" s="197">
        <f>E73</f>
        <v>0.55000000000000004</v>
      </c>
      <c r="Q73" s="9">
        <f>F73</f>
        <v>0.55000000000000004</v>
      </c>
      <c r="R73" s="9">
        <f>G73</f>
        <v>0.55000000000000004</v>
      </c>
      <c r="S73" s="30">
        <f>H73</f>
        <v>0.55000000000000004</v>
      </c>
      <c r="T73" s="30">
        <f>I73</f>
        <v>0.55000000000000004</v>
      </c>
      <c r="U73" s="30">
        <f>I73</f>
        <v>0.55000000000000004</v>
      </c>
      <c r="V73" s="30">
        <f>I73</f>
        <v>0.55000000000000004</v>
      </c>
      <c r="W73" s="30">
        <f>J73</f>
        <v>0.55000000000000004</v>
      </c>
      <c r="Y73" s="197">
        <f>O73</f>
        <v>0.55000000000000004</v>
      </c>
      <c r="Z73" s="197">
        <f>P73</f>
        <v>0.55000000000000004</v>
      </c>
      <c r="AA73" s="197">
        <f>Q73</f>
        <v>0.55000000000000004</v>
      </c>
      <c r="AB73" s="197">
        <f>R73</f>
        <v>0.55000000000000004</v>
      </c>
      <c r="AC73" s="30">
        <f>AA73</f>
        <v>0.55000000000000004</v>
      </c>
      <c r="AD73" s="30">
        <f>AC73</f>
        <v>0.55000000000000004</v>
      </c>
      <c r="AE73" s="30">
        <f>AC73</f>
        <v>0.55000000000000004</v>
      </c>
      <c r="AF73" s="30">
        <f>AC73</f>
        <v>0.55000000000000004</v>
      </c>
      <c r="AG73" s="30">
        <f>AD73</f>
        <v>0.55000000000000004</v>
      </c>
    </row>
    <row r="74" spans="1:25" ht="15">
      <c r="A74" t="s">
        <v>16</v>
      </c>
      <c r="C74" s="58" t="s">
        <v>180</v>
      </c>
      <c r="E74" s="10"/>
      <c r="G74" s="10"/>
      <c r="I74" s="10"/>
      <c r="J74" s="10"/>
      <c r="K74" s="10"/>
      <c r="L74" s="10"/>
      <c r="M74" s="10"/>
      <c r="N74" s="36"/>
      <c r="Y74" t="s">
        <v>189</v>
      </c>
    </row>
    <row r="75" spans="1:33" ht="15">
      <c r="A75" t="s">
        <v>16</v>
      </c>
      <c r="C75" s="34" t="str">
        <f>C54</f>
        <v>Low Income</v>
      </c>
      <c r="D75" t="s">
        <v>179</v>
      </c>
      <c r="E75" s="52">
        <f t="shared" si="150" ref="E75:J75">IF($D$4,Y75,O75)</f>
        <v>0.51510723782285484</v>
      </c>
      <c r="F75" s="52">
        <f t="shared" si="150"/>
        <v>0.51893420171073767</v>
      </c>
      <c r="G75" s="52">
        <f t="shared" si="150"/>
        <v>0.5399653125395153</v>
      </c>
      <c r="H75" s="52">
        <f t="shared" si="150"/>
        <v>0.5912519730746727</v>
      </c>
      <c r="I75" s="52">
        <f t="shared" si="150"/>
        <v>0.49871017655119981</v>
      </c>
      <c r="J75" s="52">
        <f t="shared" si="150"/>
        <v>0.37499527902757301</v>
      </c>
      <c r="K75" s="52">
        <f>IF($D$4,AD75,T75)</f>
        <v>0.37499527902757301</v>
      </c>
      <c r="L75" s="52">
        <f>IF($D$4,AD75,T75)</f>
        <v>0.37499527902757301</v>
      </c>
      <c r="M75" s="52">
        <f>IF($D$4,AG75,W75)</f>
        <v>0.15091063108108577</v>
      </c>
      <c r="N75" s="36"/>
      <c r="O75" s="9">
        <f t="shared" si="151" ref="O75:W75">O25*O13</f>
        <v>0.51510723782285484</v>
      </c>
      <c r="P75" s="9">
        <f>P25*P13</f>
        <v>0.51893420171073767</v>
      </c>
      <c r="Q75" s="9">
        <f t="shared" si="151"/>
        <v>0.5399653125395153</v>
      </c>
      <c r="R75" s="9">
        <f t="shared" si="151"/>
        <v>0.5912519730746727</v>
      </c>
      <c r="S75" s="9">
        <f t="shared" si="151"/>
        <v>0.49871017655119981</v>
      </c>
      <c r="T75" s="9">
        <f t="shared" si="151"/>
        <v>0.37499527902757301</v>
      </c>
      <c r="U75" s="9">
        <f t="shared" si="152" ref="U75:V75">U25*U13</f>
        <v>0.2878252250603664</v>
      </c>
      <c r="V75" s="9">
        <f t="shared" si="152"/>
        <v>0.21885453051730938</v>
      </c>
      <c r="W75" s="9">
        <f t="shared" si="151"/>
        <v>0.15091063108108577</v>
      </c>
      <c r="Y75" s="9">
        <f>O75</f>
        <v>0.51510723782285484</v>
      </c>
      <c r="Z75" s="9">
        <f>P75</f>
        <v>0.51893420171073767</v>
      </c>
      <c r="AA75" s="9">
        <f>Q75</f>
        <v>0.5399653125395153</v>
      </c>
      <c r="AB75" s="9">
        <f>R75</f>
        <v>0.5912519730746727</v>
      </c>
      <c r="AC75" s="9">
        <f>AC25*AC13</f>
        <v>0.49871017655119981</v>
      </c>
      <c r="AD75" s="9">
        <f>AD25*AD13</f>
        <v>0.37499527902757301</v>
      </c>
      <c r="AE75" s="9">
        <f>AE25*AE13</f>
        <v>0.2878252250603664</v>
      </c>
      <c r="AF75" s="9">
        <f>AF25*AF13</f>
        <v>0.21885453051730938</v>
      </c>
      <c r="AG75" s="9">
        <f>AG25*AG13</f>
        <v>0.15091063108108577</v>
      </c>
    </row>
    <row r="76" spans="1:33" ht="15">
      <c r="A76" t="s">
        <v>16</v>
      </c>
      <c r="C76" s="34"/>
      <c r="E76" s="9"/>
      <c r="G76" s="9"/>
      <c r="I76" s="9"/>
      <c r="J76" s="9"/>
      <c r="K76" s="9"/>
      <c r="L76" s="9"/>
      <c r="M76" s="9"/>
      <c r="N76" s="36"/>
      <c r="O76" s="246">
        <f t="shared" si="153" ref="O76:W76">O$12</f>
        <v>2017</v>
      </c>
      <c r="P76" s="246">
        <f t="shared" si="153"/>
        <v>2019</v>
      </c>
      <c r="Q76" s="246">
        <f t="shared" si="153"/>
        <v>2020</v>
      </c>
      <c r="R76" s="246">
        <f t="shared" si="153"/>
        <v>2021</v>
      </c>
      <c r="S76" s="246">
        <f t="shared" si="153"/>
        <v>2030</v>
      </c>
      <c r="T76" s="246">
        <f t="shared" si="153"/>
        <v>2040</v>
      </c>
      <c r="U76" s="246">
        <f t="shared" si="153"/>
        <v>2050</v>
      </c>
      <c r="V76" s="246">
        <f t="shared" si="153"/>
        <v>2060</v>
      </c>
      <c r="W76" s="246">
        <f t="shared" si="153"/>
        <v>2070</v>
      </c>
      <c r="Y76" s="246">
        <f t="shared" si="154" ref="Y76:AG76">Y$12</f>
        <v>2017</v>
      </c>
      <c r="Z76" s="246">
        <f t="shared" si="154"/>
        <v>2019</v>
      </c>
      <c r="AA76" s="246">
        <f t="shared" si="154"/>
        <v>2020</v>
      </c>
      <c r="AB76" s="246">
        <f t="shared" si="154"/>
        <v>2021</v>
      </c>
      <c r="AC76" s="246">
        <f t="shared" si="154"/>
        <v>2030</v>
      </c>
      <c r="AD76" s="246">
        <f t="shared" si="154"/>
        <v>2040</v>
      </c>
      <c r="AE76" s="246">
        <f t="shared" si="154"/>
        <v>2050</v>
      </c>
      <c r="AF76" s="246">
        <f t="shared" si="154"/>
        <v>2060</v>
      </c>
      <c r="AG76" s="246">
        <f t="shared" si="154"/>
        <v>2070</v>
      </c>
    </row>
    <row r="77" spans="1:51" ht="15">
      <c r="A77" t="s">
        <v>16</v>
      </c>
      <c r="C77" t="s">
        <v>72</v>
      </c>
      <c r="D77" t="s">
        <v>39</v>
      </c>
      <c r="E77" s="53">
        <f t="shared" si="155" ref="E77:J77">IF($D$4,Y77,O77)</f>
        <v>0.23381516587677725</v>
      </c>
      <c r="F77" s="53">
        <f t="shared" si="155"/>
        <v>0.23381516587677725</v>
      </c>
      <c r="G77" s="53">
        <f t="shared" si="155"/>
        <v>0.23381516587677725</v>
      </c>
      <c r="H77" s="53">
        <f t="shared" si="155"/>
        <v>0.23381516587677725</v>
      </c>
      <c r="I77" s="53">
        <f t="shared" si="155"/>
        <v>0.23381516587677725</v>
      </c>
      <c r="J77" s="53">
        <f t="shared" si="155"/>
        <v>0.23381516587677725</v>
      </c>
      <c r="K77" s="53">
        <f>IF($D$4,AD77,T77)</f>
        <v>0.23381516587677725</v>
      </c>
      <c r="L77" s="53">
        <f>IF($D$4,AD77,T77)</f>
        <v>0.23381516587677725</v>
      </c>
      <c r="M77" s="53">
        <f>IF($D$4,AG77,W77)</f>
        <v>0.23381516587677725</v>
      </c>
      <c r="N77" s="203"/>
      <c r="O77" s="53">
        <f t="shared" si="156" ref="O77:W77">O$41*1000*O$35*O$30/O$67/O$64</f>
        <v>0.23381516587677725</v>
      </c>
      <c r="P77" s="53">
        <f t="shared" si="156"/>
        <v>0.23381516587677725</v>
      </c>
      <c r="Q77" s="68">
        <f t="shared" si="156"/>
        <v>0.23381516587677725</v>
      </c>
      <c r="R77" s="68">
        <f t="shared" si="156"/>
        <v>0.23381516587677725</v>
      </c>
      <c r="S77" s="234">
        <f t="shared" si="156"/>
        <v>0.23381516587677725</v>
      </c>
      <c r="T77" s="234">
        <f t="shared" si="156"/>
        <v>0.23381516587677725</v>
      </c>
      <c r="U77" s="234">
        <f t="shared" si="156"/>
        <v>0.23381516587677725</v>
      </c>
      <c r="V77" s="234">
        <f t="shared" si="156"/>
        <v>0.23381516587677725</v>
      </c>
      <c r="W77" s="234">
        <f t="shared" si="156"/>
        <v>0.23381516587677725</v>
      </c>
      <c r="X77" s="50"/>
      <c r="Y77" s="53">
        <f t="shared" si="157" ref="Y77:Y90">O77</f>
        <v>0.23381516587677725</v>
      </c>
      <c r="Z77" s="53">
        <f t="shared" si="158" ref="Z77:Z90">P77</f>
        <v>0.23381516587677725</v>
      </c>
      <c r="AA77" s="53">
        <f t="shared" si="159" ref="AA77:AA90">Q77</f>
        <v>0.23381516587677725</v>
      </c>
      <c r="AB77" s="53">
        <f t="shared" si="160" ref="AB77:AB90">R77</f>
        <v>0.23381516587677725</v>
      </c>
      <c r="AC77" s="53">
        <f>AC$41*1000*AC$35*AC$30/AC$67/AC$64</f>
        <v>0.21101818720379142</v>
      </c>
      <c r="AD77" s="53">
        <f>AD$41*1000*AD$35*AD$30/AD$67/AD$64</f>
        <v>0.20046727784360185</v>
      </c>
      <c r="AE77" s="53">
        <f>AE$41*1000*AE$35*AE$30/AE$67/AE$64</f>
        <v>0.19044391395142174</v>
      </c>
      <c r="AF77" s="53">
        <f>AF$41*1000*AF$35*AF$30/AF$67/AF$64</f>
        <v>0.19044391395142174</v>
      </c>
      <c r="AG77" s="53">
        <f>AG$41*1000*AG$35*AG$30/AG$67/AG$64</f>
        <v>0.17187563234115816</v>
      </c>
      <c r="AH77" s="50"/>
      <c r="AI77" s="50"/>
      <c r="AJ77" s="50"/>
      <c r="AK77" s="50"/>
      <c r="AL77" s="50"/>
      <c r="AM77" s="50"/>
      <c r="AN77" s="50"/>
      <c r="AO77" s="50"/>
      <c r="AP77" s="50"/>
      <c r="AQ77" s="50"/>
      <c r="AR77" s="50"/>
      <c r="AS77" s="50"/>
      <c r="AT77" s="50"/>
      <c r="AU77" s="50"/>
      <c r="AV77" s="50"/>
      <c r="AW77" s="50"/>
      <c r="AX77" s="50"/>
      <c r="AY77" s="50"/>
    </row>
    <row r="78" spans="1:51" ht="15">
      <c r="A78" t="s">
        <v>16</v>
      </c>
      <c r="C78" t="s">
        <v>54</v>
      </c>
      <c r="D78" t="s">
        <v>39</v>
      </c>
      <c r="E78" s="237">
        <v>0.0050000000000000001</v>
      </c>
      <c r="F78" s="53">
        <f t="shared" si="161" ref="F78:J79">IF($D$4,Z78,P78)</f>
        <v>0.0050000000000000001</v>
      </c>
      <c r="G78" s="53">
        <f t="shared" si="161"/>
        <v>0.0050000000000000001</v>
      </c>
      <c r="H78" s="53">
        <f t="shared" si="161"/>
        <v>0.0050000000000000001</v>
      </c>
      <c r="I78" s="53">
        <f t="shared" si="161"/>
        <v>0.0050000000000000001</v>
      </c>
      <c r="J78" s="53">
        <f t="shared" si="161"/>
        <v>0.0050000000000000001</v>
      </c>
      <c r="K78" s="53">
        <f>IF($D$4,AD78,T78)</f>
        <v>0.0050000000000000001</v>
      </c>
      <c r="L78" s="53">
        <f>IF($D$4,AD78,T78)</f>
        <v>0.0050000000000000001</v>
      </c>
      <c r="M78" s="53">
        <f>IF($D$4,AG78,W78)</f>
        <v>0.0050000000000000001</v>
      </c>
      <c r="N78" s="203"/>
      <c r="O78" s="204">
        <f>E78</f>
        <v>0.0050000000000000001</v>
      </c>
      <c r="P78" s="204">
        <f>O78</f>
        <v>0.0050000000000000001</v>
      </c>
      <c r="Q78" s="50">
        <f>P78</f>
        <v>0.0050000000000000001</v>
      </c>
      <c r="R78" s="50">
        <f>Q78</f>
        <v>0.0050000000000000001</v>
      </c>
      <c r="S78" s="50">
        <f t="shared" si="162" ref="S78:W78">R78</f>
        <v>0.0050000000000000001</v>
      </c>
      <c r="T78" s="50">
        <f t="shared" si="162"/>
        <v>0.0050000000000000001</v>
      </c>
      <c r="U78" s="50">
        <f t="shared" si="162"/>
        <v>0.0050000000000000001</v>
      </c>
      <c r="V78" s="50">
        <f t="shared" si="162"/>
        <v>0.0050000000000000001</v>
      </c>
      <c r="W78" s="50">
        <f t="shared" si="162"/>
        <v>0.0050000000000000001</v>
      </c>
      <c r="X78" s="50"/>
      <c r="Y78" s="53">
        <f t="shared" si="157"/>
        <v>0.0050000000000000001</v>
      </c>
      <c r="Z78" s="53">
        <f t="shared" si="158"/>
        <v>0.0050000000000000001</v>
      </c>
      <c r="AA78" s="53">
        <f t="shared" si="159"/>
        <v>0.0050000000000000001</v>
      </c>
      <c r="AB78" s="121">
        <f t="shared" si="160"/>
        <v>0.0050000000000000001</v>
      </c>
      <c r="AC78" s="50">
        <f t="shared" si="163" ref="AC78:AG78">AB78</f>
        <v>0.0050000000000000001</v>
      </c>
      <c r="AD78" s="50">
        <f t="shared" si="163"/>
        <v>0.0050000000000000001</v>
      </c>
      <c r="AE78" s="50">
        <f t="shared" si="163"/>
        <v>0.0050000000000000001</v>
      </c>
      <c r="AF78" s="50">
        <f t="shared" si="163"/>
        <v>0.0050000000000000001</v>
      </c>
      <c r="AG78" s="50">
        <f t="shared" si="163"/>
        <v>0.0050000000000000001</v>
      </c>
      <c r="AH78" s="50"/>
      <c r="AI78" s="50"/>
      <c r="AJ78" s="50"/>
      <c r="AK78" s="50"/>
      <c r="AL78" s="50"/>
      <c r="AM78" s="50"/>
      <c r="AN78" s="50"/>
      <c r="AO78" s="50"/>
      <c r="AP78" s="50"/>
      <c r="AQ78" s="50"/>
      <c r="AR78" s="50"/>
      <c r="AS78" s="50"/>
      <c r="AT78" s="50"/>
      <c r="AU78" s="50"/>
      <c r="AV78" s="50"/>
      <c r="AW78" s="50"/>
      <c r="AX78" s="50"/>
      <c r="AY78" s="50"/>
    </row>
    <row r="79" spans="1:51" ht="15">
      <c r="A79" t="s">
        <v>16</v>
      </c>
      <c r="C79" t="s">
        <v>71</v>
      </c>
      <c r="D79" t="s">
        <v>39</v>
      </c>
      <c r="E79" s="237">
        <v>0</v>
      </c>
      <c r="F79" s="53">
        <f t="shared" si="161"/>
        <v>0.0050000000000000001</v>
      </c>
      <c r="G79" s="53">
        <f t="shared" si="161"/>
        <v>0.0050000000000000001</v>
      </c>
      <c r="H79" s="53">
        <f t="shared" si="161"/>
        <v>0.0050000000000000001</v>
      </c>
      <c r="I79" s="53">
        <f t="shared" si="161"/>
        <v>0.0050000000000000001</v>
      </c>
      <c r="J79" s="53">
        <f t="shared" si="161"/>
        <v>0.0050000000000000001</v>
      </c>
      <c r="K79" s="53">
        <f>IF($D$4,AD79,T79)</f>
        <v>0.0050000000000000001</v>
      </c>
      <c r="L79" s="53">
        <f>IF($D$4,AD79,T79)</f>
        <v>0.0050000000000000001</v>
      </c>
      <c r="M79" s="53">
        <f>IF($D$4,AG79,W79)</f>
        <v>0.0050000000000000001</v>
      </c>
      <c r="N79" s="203"/>
      <c r="O79" s="197">
        <f>E79</f>
        <v>0</v>
      </c>
      <c r="P79" s="197">
        <v>0.0050000000000000001</v>
      </c>
      <c r="Q79" s="68">
        <v>0.0050000000000000001</v>
      </c>
      <c r="R79" s="68">
        <v>0.0050000000000000001</v>
      </c>
      <c r="S79" s="235">
        <v>0.0050000000000000001</v>
      </c>
      <c r="T79" s="235">
        <v>0.0050000000000000001</v>
      </c>
      <c r="U79" s="235">
        <v>0.0050000000000000001</v>
      </c>
      <c r="V79" s="235">
        <v>0.0050000000000000001</v>
      </c>
      <c r="W79" s="235">
        <v>0.0050000000000000001</v>
      </c>
      <c r="X79" s="50"/>
      <c r="Y79" s="53">
        <f t="shared" si="157"/>
        <v>0</v>
      </c>
      <c r="Z79" s="53">
        <f t="shared" si="158"/>
        <v>0.0050000000000000001</v>
      </c>
      <c r="AA79" s="53">
        <f t="shared" si="159"/>
        <v>0.0050000000000000001</v>
      </c>
      <c r="AB79" s="53">
        <f t="shared" si="160"/>
        <v>0.0050000000000000001</v>
      </c>
      <c r="AC79" s="30">
        <v>0</v>
      </c>
      <c r="AD79" s="30">
        <v>0</v>
      </c>
      <c r="AE79" s="30">
        <v>0</v>
      </c>
      <c r="AF79" s="30">
        <v>0</v>
      </c>
      <c r="AG79" s="30">
        <v>0</v>
      </c>
      <c r="AH79" s="50"/>
      <c r="AI79" s="50"/>
      <c r="AJ79" s="50"/>
      <c r="AK79" s="50"/>
      <c r="AL79" s="50"/>
      <c r="AM79" s="50"/>
      <c r="AN79" s="50"/>
      <c r="AO79" s="50"/>
      <c r="AP79" s="50"/>
      <c r="AQ79" s="50"/>
      <c r="AR79" s="50"/>
      <c r="AS79" s="50"/>
      <c r="AT79" s="50"/>
      <c r="AU79" s="50"/>
      <c r="AV79" s="50"/>
      <c r="AW79" s="50"/>
      <c r="AX79" s="50"/>
      <c r="AY79" s="50"/>
    </row>
    <row r="80" spans="1:51" ht="15">
      <c r="A80" t="s">
        <v>16</v>
      </c>
      <c r="C80" t="s">
        <v>70</v>
      </c>
      <c r="D80" t="s">
        <v>39</v>
      </c>
      <c r="E80" s="29">
        <f t="shared" si="164" ref="E80:M80">1-SUM(E77:E79)</f>
        <v>0.7611848341232228</v>
      </c>
      <c r="F80" s="29">
        <f t="shared" si="164"/>
        <v>0.75618483412322268</v>
      </c>
      <c r="G80" s="29">
        <f t="shared" si="164"/>
        <v>0.75618483412322268</v>
      </c>
      <c r="H80" s="29">
        <f t="shared" si="164"/>
        <v>0.75618483412322268</v>
      </c>
      <c r="I80" s="29">
        <f t="shared" si="164"/>
        <v>0.75618483412322268</v>
      </c>
      <c r="J80" s="29">
        <f t="shared" si="164"/>
        <v>0.75618483412322268</v>
      </c>
      <c r="K80" s="29">
        <f t="shared" si="165" ref="K80:L80">1-SUM(K77:K79)</f>
        <v>0.75618483412322268</v>
      </c>
      <c r="L80" s="29">
        <f t="shared" si="165"/>
        <v>0.75618483412322268</v>
      </c>
      <c r="M80" s="29">
        <f t="shared" si="164"/>
        <v>0.75618483412322268</v>
      </c>
      <c r="N80" s="203"/>
      <c r="O80" s="29">
        <f t="shared" si="166" ref="O80:Q80">1-SUM(O77:O79)</f>
        <v>0.7611848341232228</v>
      </c>
      <c r="P80" s="29">
        <f t="shared" si="166"/>
        <v>0.75618483412322268</v>
      </c>
      <c r="Q80" s="29">
        <f t="shared" si="166"/>
        <v>0.75618483412322268</v>
      </c>
      <c r="R80" s="29">
        <f t="shared" si="167" ref="R80">1-SUM(R77:R79)</f>
        <v>0.75618483412322268</v>
      </c>
      <c r="S80" s="29">
        <f t="shared" si="168" ref="S80:T80">1-SUM(S77:S79)</f>
        <v>0.75618483412322268</v>
      </c>
      <c r="T80" s="29">
        <f t="shared" si="168"/>
        <v>0.75618483412322268</v>
      </c>
      <c r="U80" s="29">
        <f t="shared" si="169" ref="U80:W80">1-SUM(U77:U79)</f>
        <v>0.75618483412322268</v>
      </c>
      <c r="V80" s="29">
        <f t="shared" si="170" ref="V80">1-SUM(V77:V79)</f>
        <v>0.75618483412322268</v>
      </c>
      <c r="W80" s="29">
        <f t="shared" si="169"/>
        <v>0.75618483412322268</v>
      </c>
      <c r="X80" s="50"/>
      <c r="Y80" s="53">
        <f t="shared" si="157"/>
        <v>0.7611848341232228</v>
      </c>
      <c r="Z80" s="53">
        <f t="shared" si="158"/>
        <v>0.75618483412322268</v>
      </c>
      <c r="AA80" s="53">
        <f t="shared" si="159"/>
        <v>0.75618483412322268</v>
      </c>
      <c r="AB80" s="53">
        <f t="shared" si="160"/>
        <v>0.75618483412322268</v>
      </c>
      <c r="AC80" s="29">
        <f>1-SUM(AC77:AC79)</f>
        <v>0.7839818127962086</v>
      </c>
      <c r="AD80" s="29">
        <f>1-SUM(AD77:AD79)</f>
        <v>0.79453272215639814</v>
      </c>
      <c r="AE80" s="29">
        <f>1-SUM(AE77:AE79)</f>
        <v>0.80455608604857831</v>
      </c>
      <c r="AF80" s="29">
        <f>1-SUM(AF77:AF79)</f>
        <v>0.80455608604857831</v>
      </c>
      <c r="AG80" s="29">
        <f>1-SUM(AG77:AG79)</f>
        <v>0.82312436765884178</v>
      </c>
      <c r="AH80" s="50"/>
      <c r="AI80" s="50"/>
      <c r="AJ80" s="50"/>
      <c r="AK80" s="50"/>
      <c r="AL80" s="50"/>
      <c r="AM80" s="50"/>
      <c r="AN80" s="50"/>
      <c r="AO80" s="50"/>
      <c r="AP80" s="50"/>
      <c r="AQ80" s="50"/>
      <c r="AR80" s="50"/>
      <c r="AS80" s="50"/>
      <c r="AT80" s="50"/>
      <c r="AU80" s="50"/>
      <c r="AV80" s="50"/>
      <c r="AW80" s="50"/>
      <c r="AX80" s="50"/>
      <c r="AY80" s="50"/>
    </row>
    <row r="81" spans="1:33" ht="15">
      <c r="A81" t="s">
        <v>16</v>
      </c>
      <c r="C81" s="34" t="str">
        <f>C55</f>
        <v>Middle Income</v>
      </c>
      <c r="D81" t="s">
        <v>179</v>
      </c>
      <c r="E81" s="9">
        <f t="shared" si="171" ref="E81:J82">IF($D$4,Y81,O81)</f>
        <v>9.2340547486185294</v>
      </c>
      <c r="F81" s="9">
        <f t="shared" si="171"/>
        <v>9.7394791998722337</v>
      </c>
      <c r="G81" s="9">
        <f t="shared" si="171"/>
        <v>10.234967504004217</v>
      </c>
      <c r="H81" s="9">
        <f t="shared" si="171"/>
        <v>9.1681620889020241</v>
      </c>
      <c r="I81" s="9">
        <f t="shared" si="171"/>
        <v>11.188389910306284</v>
      </c>
      <c r="J81" s="9">
        <f t="shared" si="171"/>
        <v>13.053565598845847</v>
      </c>
      <c r="K81" s="9">
        <f>IF($D$4,AD81,T81)</f>
        <v>13.053565598845847</v>
      </c>
      <c r="L81" s="9">
        <f>IF($D$4,AD81,T81)</f>
        <v>13.053565598845847</v>
      </c>
      <c r="M81" s="9">
        <f>IF($D$4,AG81,W81)</f>
        <v>17.042948939505333</v>
      </c>
      <c r="N81" s="36"/>
      <c r="O81" s="9">
        <f t="shared" si="172" ref="O81:W81">O$26*O$14</f>
        <v>9.2340547486185294</v>
      </c>
      <c r="P81" s="9">
        <f t="shared" si="172"/>
        <v>9.7394791998722337</v>
      </c>
      <c r="Q81" s="9">
        <f t="shared" si="172"/>
        <v>10.234967504004217</v>
      </c>
      <c r="R81" s="9">
        <f t="shared" si="172"/>
        <v>9.1681620889020241</v>
      </c>
      <c r="S81" s="236">
        <f t="shared" si="172"/>
        <v>11.188389910306284</v>
      </c>
      <c r="T81" s="236">
        <f t="shared" si="172"/>
        <v>13.053565598845847</v>
      </c>
      <c r="U81" s="236">
        <f t="shared" si="172"/>
        <v>14.472133231218166</v>
      </c>
      <c r="V81" s="236">
        <f t="shared" si="172"/>
        <v>15.659461663986818</v>
      </c>
      <c r="W81" s="236">
        <f t="shared" si="172"/>
        <v>17.042948939505333</v>
      </c>
      <c r="Y81" s="53">
        <f t="shared" si="157"/>
        <v>9.2340547486185294</v>
      </c>
      <c r="Z81" s="53">
        <f t="shared" si="158"/>
        <v>9.7394791998722337</v>
      </c>
      <c r="AA81" s="53">
        <f t="shared" si="159"/>
        <v>10.234967504004217</v>
      </c>
      <c r="AB81" s="53">
        <f t="shared" si="160"/>
        <v>9.1681620889020241</v>
      </c>
      <c r="AC81" s="9">
        <f>AC$26*AC$14</f>
        <v>10.628970414790968</v>
      </c>
      <c r="AD81" s="9">
        <f>AD$26*AD$14</f>
        <v>11.780842952958375</v>
      </c>
      <c r="AE81" s="9">
        <f>AE$26*AE$14</f>
        <v>13.061100241174392</v>
      </c>
      <c r="AF81" s="9">
        <f>AF$26*AF$14</f>
        <v>14.1326641517481</v>
      </c>
      <c r="AG81" s="9">
        <f>AG$26*AG$14</f>
        <v>14.61219834700838</v>
      </c>
    </row>
    <row r="82" spans="1:51" ht="15">
      <c r="A82" t="s">
        <v>16</v>
      </c>
      <c r="C82" t="str">
        <f>C77</f>
        <v>Priv.veh.</v>
      </c>
      <c r="D82" t="s">
        <v>39</v>
      </c>
      <c r="E82" s="53">
        <f t="shared" si="171"/>
        <v>0.46899534845462248</v>
      </c>
      <c r="F82" s="53">
        <f t="shared" si="171"/>
        <v>0.46899534845462248</v>
      </c>
      <c r="G82" s="53">
        <f t="shared" si="171"/>
        <v>0.46899534845462248</v>
      </c>
      <c r="H82" s="53">
        <f t="shared" si="171"/>
        <v>0.46899534845462248</v>
      </c>
      <c r="I82" s="53">
        <f t="shared" si="171"/>
        <v>0.46899534845462248</v>
      </c>
      <c r="J82" s="53">
        <f t="shared" si="171"/>
        <v>0.46899534845462248</v>
      </c>
      <c r="K82" s="53">
        <f>IF($D$4,AD82,T82)</f>
        <v>0.46899534845462248</v>
      </c>
      <c r="L82" s="53">
        <f>IF($D$4,AD82,T82)</f>
        <v>0.46899534845462248</v>
      </c>
      <c r="M82" s="53">
        <f>IF($D$4,AG82,W82)</f>
        <v>0.46899534845462248</v>
      </c>
      <c r="N82" s="203"/>
      <c r="O82" s="53">
        <f t="shared" si="173" ref="O82:W82">O$42*1000*O$36*O$31/O$67/O$64</f>
        <v>0.46899534845462248</v>
      </c>
      <c r="P82" s="53">
        <f t="shared" si="173"/>
        <v>0.46899534845462248</v>
      </c>
      <c r="Q82" s="9">
        <f t="shared" si="173"/>
        <v>0.46899534845462248</v>
      </c>
      <c r="R82" s="9">
        <f t="shared" si="173"/>
        <v>0.46899534845462248</v>
      </c>
      <c r="S82" s="234">
        <f t="shared" si="173"/>
        <v>0.46899534845462248</v>
      </c>
      <c r="T82" s="234">
        <f t="shared" si="173"/>
        <v>0.46899534845462248</v>
      </c>
      <c r="U82" s="234">
        <f t="shared" si="173"/>
        <v>0.46899534845462248</v>
      </c>
      <c r="V82" s="234">
        <f t="shared" si="173"/>
        <v>0.46899534845462248</v>
      </c>
      <c r="W82" s="234">
        <f t="shared" si="173"/>
        <v>0.46899534845462248</v>
      </c>
      <c r="X82" s="50"/>
      <c r="Y82" s="53">
        <f t="shared" si="157"/>
        <v>0.46899534845462248</v>
      </c>
      <c r="Z82" s="53">
        <f t="shared" si="158"/>
        <v>0.46899534845462248</v>
      </c>
      <c r="AA82" s="53">
        <f t="shared" si="159"/>
        <v>0.46899534845462248</v>
      </c>
      <c r="AB82" s="53">
        <f t="shared" si="160"/>
        <v>0.46899534845462248</v>
      </c>
      <c r="AC82" s="53">
        <f>AC$42*1000*AC$36*AC$31/AC$67/AC$64</f>
        <v>0.42326830198029675</v>
      </c>
      <c r="AD82" s="53">
        <f>AD$42*1000*AD$36*AD$31/AD$67/AD$64</f>
        <v>0.40210488688128182</v>
      </c>
      <c r="AE82" s="53">
        <f>AE$42*1000*AE$36*AE$31/AE$67/AE$64</f>
        <v>0.40210488688128182</v>
      </c>
      <c r="AF82" s="53">
        <f>AF$42*1000*AF$36*AF$31/AF$67/AF$64</f>
        <v>0.40210488688128182</v>
      </c>
      <c r="AG82" s="53">
        <f>AG$42*1000*AG$36*AG$31/AG$67/AG$64</f>
        <v>0.3819996425372178</v>
      </c>
      <c r="AH82" s="50"/>
      <c r="AI82" s="50"/>
      <c r="AJ82" s="50"/>
      <c r="AK82" s="50"/>
      <c r="AL82" s="50"/>
      <c r="AM82" s="50"/>
      <c r="AN82" s="50"/>
      <c r="AO82" s="50"/>
      <c r="AP82" s="50"/>
      <c r="AQ82" s="50"/>
      <c r="AR82" s="50"/>
      <c r="AS82" s="50"/>
      <c r="AT82" s="50"/>
      <c r="AU82" s="50"/>
      <c r="AV82" s="50"/>
      <c r="AW82" s="50"/>
      <c r="AX82" s="50"/>
      <c r="AY82" s="50"/>
    </row>
    <row r="83" spans="1:51" ht="15">
      <c r="A83" t="s">
        <v>16</v>
      </c>
      <c r="C83" t="str">
        <f>C78</f>
        <v>BRT</v>
      </c>
      <c r="D83" t="s">
        <v>39</v>
      </c>
      <c r="E83" s="237">
        <v>0.01</v>
      </c>
      <c r="F83" s="53">
        <f t="shared" si="174" ref="F83:J84">IF($D$4,Z83,P83)</f>
        <v>0.01</v>
      </c>
      <c r="G83" s="53">
        <f t="shared" si="174"/>
        <v>0.01</v>
      </c>
      <c r="H83" s="53">
        <f t="shared" si="174"/>
        <v>0.01</v>
      </c>
      <c r="I83" s="53">
        <f t="shared" si="174"/>
        <v>0.01</v>
      </c>
      <c r="J83" s="53">
        <f t="shared" si="174"/>
        <v>0.01</v>
      </c>
      <c r="K83" s="53">
        <f>IF($D$4,AD83,T83)</f>
        <v>0.01</v>
      </c>
      <c r="L83" s="53">
        <f>IF($D$4,AD83,T83)</f>
        <v>0.01</v>
      </c>
      <c r="M83" s="53">
        <f>IF($D$4,AG83,W83)</f>
        <v>0.01</v>
      </c>
      <c r="N83" s="203"/>
      <c r="O83" s="204">
        <f>E83</f>
        <v>0.01</v>
      </c>
      <c r="P83" s="204">
        <f t="shared" si="175" ref="P83:T84">O83</f>
        <v>0.01</v>
      </c>
      <c r="Q83" s="68">
        <f>P83</f>
        <v>0.01</v>
      </c>
      <c r="R83" s="68">
        <f>Q83</f>
        <v>0.01</v>
      </c>
      <c r="S83" s="50">
        <f t="shared" si="176" ref="S83:W83">R83</f>
        <v>0.01</v>
      </c>
      <c r="T83" s="50">
        <f t="shared" si="176"/>
        <v>0.01</v>
      </c>
      <c r="U83" s="50">
        <f t="shared" si="176"/>
        <v>0.01</v>
      </c>
      <c r="V83" s="50">
        <f t="shared" si="176"/>
        <v>0.01</v>
      </c>
      <c r="W83" s="50">
        <f t="shared" si="176"/>
        <v>0.01</v>
      </c>
      <c r="X83" s="50"/>
      <c r="Y83" s="53">
        <f t="shared" si="157"/>
        <v>0.01</v>
      </c>
      <c r="Z83" s="53">
        <f t="shared" si="158"/>
        <v>0.01</v>
      </c>
      <c r="AA83" s="53">
        <f t="shared" si="159"/>
        <v>0.01</v>
      </c>
      <c r="AB83" s="53">
        <f t="shared" si="160"/>
        <v>0.01</v>
      </c>
      <c r="AC83" s="59">
        <f>S83</f>
        <v>0.01</v>
      </c>
      <c r="AD83" s="59">
        <f t="shared" si="177" ref="AD83">T83</f>
        <v>0.01</v>
      </c>
      <c r="AE83" s="59">
        <f t="shared" si="178" ref="AE83">U83</f>
        <v>0.01</v>
      </c>
      <c r="AF83" s="59">
        <f t="shared" si="179" ref="AF83">V83</f>
        <v>0.01</v>
      </c>
      <c r="AG83" s="59">
        <f t="shared" si="180" ref="AG83">W83</f>
        <v>0.01</v>
      </c>
      <c r="AH83" s="50"/>
      <c r="AI83" s="50"/>
      <c r="AJ83" s="50"/>
      <c r="AK83" s="50"/>
      <c r="AL83" s="50"/>
      <c r="AM83" s="50"/>
      <c r="AN83" s="50"/>
      <c r="AO83" s="50"/>
      <c r="AP83" s="50"/>
      <c r="AQ83" s="50"/>
      <c r="AR83" s="50"/>
      <c r="AS83" s="50"/>
      <c r="AT83" s="50"/>
      <c r="AU83" s="50"/>
      <c r="AV83" s="50"/>
      <c r="AW83" s="50"/>
      <c r="AX83" s="50"/>
      <c r="AY83" s="50"/>
    </row>
    <row r="84" spans="1:51" ht="15">
      <c r="A84" t="s">
        <v>16</v>
      </c>
      <c r="C84" t="str">
        <f>C79</f>
        <v>Gautrain</v>
      </c>
      <c r="D84" t="s">
        <v>39</v>
      </c>
      <c r="E84" s="237">
        <v>0.002</v>
      </c>
      <c r="F84" s="122">
        <f t="shared" si="174"/>
        <v>0.002</v>
      </c>
      <c r="G84" s="122">
        <f t="shared" si="174"/>
        <v>0.002</v>
      </c>
      <c r="H84" s="122">
        <f t="shared" si="174"/>
        <v>0.002</v>
      </c>
      <c r="I84" s="122">
        <f t="shared" si="174"/>
        <v>0.002</v>
      </c>
      <c r="J84" s="122">
        <f t="shared" si="174"/>
        <v>0.002</v>
      </c>
      <c r="K84" s="122">
        <f>IF($D$4,AD84,T84)</f>
        <v>0.002</v>
      </c>
      <c r="L84" s="122">
        <f>IF($D$4,AD84,T84)</f>
        <v>0.002</v>
      </c>
      <c r="M84" s="122">
        <f>IF($D$4,AG84,W84)</f>
        <v>0.002</v>
      </c>
      <c r="N84" s="203"/>
      <c r="O84" s="238">
        <f>E84</f>
        <v>0.002</v>
      </c>
      <c r="P84" s="238">
        <f t="shared" si="175"/>
        <v>0.002</v>
      </c>
      <c r="Q84" s="9">
        <f t="shared" si="175"/>
        <v>0.002</v>
      </c>
      <c r="R84" s="9">
        <f t="shared" si="175"/>
        <v>0.002</v>
      </c>
      <c r="S84" s="239">
        <f t="shared" si="175"/>
        <v>0.002</v>
      </c>
      <c r="T84" s="239">
        <f t="shared" si="175"/>
        <v>0.002</v>
      </c>
      <c r="U84" s="239">
        <f>S84</f>
        <v>0.002</v>
      </c>
      <c r="V84" s="239">
        <f>S84</f>
        <v>0.002</v>
      </c>
      <c r="W84" s="239">
        <f>T84</f>
        <v>0.002</v>
      </c>
      <c r="X84" s="50"/>
      <c r="Y84" s="53">
        <f t="shared" si="157"/>
        <v>0.002</v>
      </c>
      <c r="Z84" s="53">
        <f t="shared" si="158"/>
        <v>0.002</v>
      </c>
      <c r="AA84" s="53">
        <f t="shared" si="159"/>
        <v>0.002</v>
      </c>
      <c r="AB84" s="53">
        <f t="shared" si="160"/>
        <v>0.002</v>
      </c>
      <c r="AC84" s="61">
        <v>0.01</v>
      </c>
      <c r="AD84" s="61">
        <v>0.02</v>
      </c>
      <c r="AE84" s="61">
        <v>0.03</v>
      </c>
      <c r="AF84" s="61">
        <v>0.03</v>
      </c>
      <c r="AG84" s="61">
        <v>0.03</v>
      </c>
      <c r="AH84" s="50"/>
      <c r="AI84" s="50"/>
      <c r="AJ84" s="50"/>
      <c r="AK84" s="50"/>
      <c r="AL84" s="50"/>
      <c r="AM84" s="50"/>
      <c r="AN84" s="50"/>
      <c r="AO84" s="50"/>
      <c r="AP84" s="50"/>
      <c r="AQ84" s="50"/>
      <c r="AR84" s="50"/>
      <c r="AS84" s="50"/>
      <c r="AT84" s="50"/>
      <c r="AU84" s="50"/>
      <c r="AV84" s="50"/>
      <c r="AW84" s="50"/>
      <c r="AX84" s="50"/>
      <c r="AY84" s="50"/>
    </row>
    <row r="85" spans="1:51" ht="15">
      <c r="A85" t="s">
        <v>16</v>
      </c>
      <c r="C85" t="str">
        <f>C80</f>
        <v>Bus, minibus, metro rail</v>
      </c>
      <c r="D85" t="s">
        <v>39</v>
      </c>
      <c r="E85" s="29">
        <f t="shared" si="181" ref="E85:M85">1-SUM(E82:E84)</f>
        <v>0.51900465154537745</v>
      </c>
      <c r="F85" s="29">
        <f t="shared" si="181"/>
        <v>0.51900465154537745</v>
      </c>
      <c r="G85" s="29">
        <f t="shared" si="181"/>
        <v>0.51900465154537745</v>
      </c>
      <c r="H85" s="29">
        <f t="shared" si="181"/>
        <v>0.51900465154537745</v>
      </c>
      <c r="I85" s="29">
        <f t="shared" si="181"/>
        <v>0.51900465154537745</v>
      </c>
      <c r="J85" s="29">
        <f t="shared" si="181"/>
        <v>0.51900465154537745</v>
      </c>
      <c r="K85" s="29">
        <f t="shared" si="182" ref="K85:L85">1-SUM(K82:K84)</f>
        <v>0.51900465154537745</v>
      </c>
      <c r="L85" s="29">
        <f t="shared" si="182"/>
        <v>0.51900465154537745</v>
      </c>
      <c r="M85" s="29">
        <f t="shared" si="181"/>
        <v>0.51900465154537745</v>
      </c>
      <c r="N85" s="203"/>
      <c r="O85" s="29">
        <f t="shared" si="183" ref="O85:Q85">1-SUM(O82:O84)</f>
        <v>0.51900465154537745</v>
      </c>
      <c r="P85" s="29">
        <f t="shared" si="183"/>
        <v>0.51900465154537745</v>
      </c>
      <c r="Q85" s="29">
        <f t="shared" si="183"/>
        <v>0.51900465154537745</v>
      </c>
      <c r="R85" s="29">
        <f t="shared" si="184" ref="R85">1-SUM(R82:R84)</f>
        <v>0.51900465154537745</v>
      </c>
      <c r="S85" s="29">
        <f t="shared" si="185" ref="S85:T85">1-SUM(S82:S84)</f>
        <v>0.51900465154537745</v>
      </c>
      <c r="T85" s="29">
        <f t="shared" si="185"/>
        <v>0.51900465154537745</v>
      </c>
      <c r="U85" s="29">
        <f t="shared" si="186" ref="U85:W85">1-SUM(U82:U84)</f>
        <v>0.51900465154537745</v>
      </c>
      <c r="V85" s="29">
        <f t="shared" si="187" ref="V85">1-SUM(V82:V84)</f>
        <v>0.51900465154537745</v>
      </c>
      <c r="W85" s="29">
        <f t="shared" si="186"/>
        <v>0.51900465154537745</v>
      </c>
      <c r="X85" s="50"/>
      <c r="Y85" s="53">
        <f t="shared" si="157"/>
        <v>0.51900465154537745</v>
      </c>
      <c r="Z85" s="53">
        <f t="shared" si="158"/>
        <v>0.51900465154537745</v>
      </c>
      <c r="AA85" s="53">
        <f t="shared" si="159"/>
        <v>0.51900465154537745</v>
      </c>
      <c r="AB85" s="53">
        <f t="shared" si="160"/>
        <v>0.51900465154537745</v>
      </c>
      <c r="AC85" s="29">
        <f>1-SUM(AC82:AC84)</f>
        <v>0.55673169801970324</v>
      </c>
      <c r="AD85" s="29">
        <f>1-SUM(AD82:AD84)</f>
        <v>0.56789511311871821</v>
      </c>
      <c r="AE85" s="29">
        <f>1-SUM(AE82:AE84)</f>
        <v>0.5578951131187182</v>
      </c>
      <c r="AF85" s="29">
        <f>1-SUM(AF82:AF84)</f>
        <v>0.5578951131187182</v>
      </c>
      <c r="AG85" s="29">
        <f>1-SUM(AG82:AG84)</f>
        <v>0.57800035746278222</v>
      </c>
      <c r="AH85" s="50"/>
      <c r="AI85" s="50"/>
      <c r="AJ85" s="50"/>
      <c r="AK85" s="50"/>
      <c r="AL85" s="50"/>
      <c r="AM85" s="50"/>
      <c r="AN85" s="50"/>
      <c r="AO85" s="50"/>
      <c r="AP85" s="50"/>
      <c r="AQ85" s="50"/>
      <c r="AR85" s="50"/>
      <c r="AS85" s="50"/>
      <c r="AT85" s="50"/>
      <c r="AU85" s="50"/>
      <c r="AV85" s="50"/>
      <c r="AW85" s="50"/>
      <c r="AX85" s="50"/>
      <c r="AY85" s="50"/>
    </row>
    <row r="86" spans="1:33" ht="15">
      <c r="A86" t="s">
        <v>16</v>
      </c>
      <c r="C86" s="34" t="str">
        <f>C56</f>
        <v>High Income</v>
      </c>
      <c r="D86" t="s">
        <v>179</v>
      </c>
      <c r="E86" s="9">
        <f t="shared" si="188" ref="E86:J87">IF($D$4,Y86,O86)</f>
        <v>10.249512727937956</v>
      </c>
      <c r="F86" s="9">
        <f t="shared" si="188"/>
        <v>10.785581249292237</v>
      </c>
      <c r="G86" s="9">
        <f t="shared" si="188"/>
        <v>9.108764792700967</v>
      </c>
      <c r="H86" s="9">
        <f t="shared" si="188"/>
        <v>9.625344982900371</v>
      </c>
      <c r="I86" s="9">
        <f t="shared" si="188"/>
        <v>14.297256720341162</v>
      </c>
      <c r="J86" s="9">
        <f t="shared" si="188"/>
        <v>20.22797647337914</v>
      </c>
      <c r="K86" s="9">
        <f>IF($D$4,AD86,T86)</f>
        <v>20.22797647337914</v>
      </c>
      <c r="L86" s="9">
        <f>IF($D$4,AD86,T86)</f>
        <v>20.22797647337914</v>
      </c>
      <c r="M86" s="9">
        <f>IF($D$4,AG86,W86)</f>
        <v>28.266467488840405</v>
      </c>
      <c r="N86" s="36"/>
      <c r="O86" s="9">
        <f t="shared" si="189" ref="O86:W86">O$27*O$15</f>
        <v>10.249512727937956</v>
      </c>
      <c r="P86" s="9">
        <f t="shared" si="189"/>
        <v>10.785581249292237</v>
      </c>
      <c r="Q86" s="9">
        <f t="shared" si="189"/>
        <v>9.108764792700967</v>
      </c>
      <c r="R86" s="9">
        <f t="shared" si="189"/>
        <v>9.625344982900371</v>
      </c>
      <c r="S86" s="236">
        <f t="shared" si="189"/>
        <v>14.297256720341162</v>
      </c>
      <c r="T86" s="236">
        <f t="shared" si="189"/>
        <v>20.22797647337914</v>
      </c>
      <c r="U86" s="236">
        <f t="shared" si="189"/>
        <v>24.450862792293009</v>
      </c>
      <c r="V86" s="236">
        <f t="shared" si="189"/>
        <v>27.017678385303082</v>
      </c>
      <c r="W86" s="236">
        <f t="shared" si="189"/>
        <v>28.266467488840405</v>
      </c>
      <c r="Y86" s="53">
        <f t="shared" si="157"/>
        <v>10.249512727937956</v>
      </c>
      <c r="Z86" s="53">
        <f t="shared" si="158"/>
        <v>10.785581249292237</v>
      </c>
      <c r="AA86" s="53">
        <f t="shared" si="159"/>
        <v>9.108764792700967</v>
      </c>
      <c r="AB86" s="53">
        <f t="shared" si="160"/>
        <v>9.625344982900371</v>
      </c>
      <c r="AC86" s="9">
        <f>AC$27*AC$15</f>
        <v>13.939825302332633</v>
      </c>
      <c r="AD86" s="9">
        <f>AD$27*AD$15</f>
        <v>19.229220135006042</v>
      </c>
      <c r="AE86" s="9">
        <f>AE$27*AE$15</f>
        <v>23.243601441923538</v>
      </c>
      <c r="AF86" s="9">
        <f>AF$27*AF$15</f>
        <v>25.68368051502874</v>
      </c>
      <c r="AG86" s="9">
        <f>AG$27*AG$15</f>
        <v>26.199040390164438</v>
      </c>
    </row>
    <row r="87" spans="1:51" ht="15">
      <c r="A87" t="s">
        <v>16</v>
      </c>
      <c r="C87" t="str">
        <f>C82</f>
        <v>Priv.veh.</v>
      </c>
      <c r="D87" t="s">
        <v>39</v>
      </c>
      <c r="E87" s="53">
        <f t="shared" si="188"/>
        <v>0.67590526860622457</v>
      </c>
      <c r="F87" s="53">
        <f t="shared" si="188"/>
        <v>0.67590526860622457</v>
      </c>
      <c r="G87" s="53">
        <f t="shared" si="188"/>
        <v>0.66964336043507822</v>
      </c>
      <c r="H87" s="53">
        <f t="shared" si="188"/>
        <v>0.70154504975483012</v>
      </c>
      <c r="I87" s="53">
        <f t="shared" si="188"/>
        <v>0.74014529164556364</v>
      </c>
      <c r="J87" s="53">
        <f t="shared" si="188"/>
        <v>0.83794021367054072</v>
      </c>
      <c r="K87" s="53">
        <f>IF($D$4,AD87,T87)</f>
        <v>0.83794021367054072</v>
      </c>
      <c r="L87" s="53">
        <f>IF($D$4,AD87,T87)</f>
        <v>0.83794021367054072</v>
      </c>
      <c r="M87" s="53">
        <f>IF($D$4,AG87,W87)</f>
        <v>1.0043249481512182</v>
      </c>
      <c r="N87" s="203"/>
      <c r="O87" s="53">
        <f t="shared" si="190" ref="O87:T87">O$43*1000*O$37*O$32/O$67/O$64</f>
        <v>0.67590526860622457</v>
      </c>
      <c r="P87" s="53">
        <f t="shared" si="190"/>
        <v>0.67590526860622457</v>
      </c>
      <c r="Q87" s="9">
        <f t="shared" si="190"/>
        <v>0.66964336043507822</v>
      </c>
      <c r="R87" s="9">
        <f t="shared" si="190"/>
        <v>0.70154504975483012</v>
      </c>
      <c r="S87" s="234">
        <f t="shared" si="190"/>
        <v>0.74014529164556364</v>
      </c>
      <c r="T87" s="234">
        <f t="shared" si="190"/>
        <v>0.83794021367054072</v>
      </c>
      <c r="U87" s="234">
        <f>U$43*1000*U$37*U$32/U$67/U$64</f>
        <v>1.0201959360458281</v>
      </c>
      <c r="V87" s="234">
        <f>V$43*1000*V$37*V$32/V$67/V$64</f>
        <v>1.0201959360458281</v>
      </c>
      <c r="W87" s="234">
        <f>W$43*1000*W$37*W$32/W$67/W$64</f>
        <v>1.0043249481512182</v>
      </c>
      <c r="X87" s="50"/>
      <c r="Y87" s="53">
        <f t="shared" si="157"/>
        <v>0.67590526860622457</v>
      </c>
      <c r="Z87" s="53">
        <f t="shared" si="158"/>
        <v>0.67590526860622457</v>
      </c>
      <c r="AA87" s="53">
        <f t="shared" si="159"/>
        <v>0.66964336043507822</v>
      </c>
      <c r="AB87" s="53">
        <f t="shared" si="160"/>
        <v>0.70154504975483012</v>
      </c>
      <c r="AC87" s="53">
        <f>AC$43*1000*AC$37*AC$32/AC$67/AC$64</f>
        <v>0.70360061787056383</v>
      </c>
      <c r="AD87" s="53">
        <f>AD$43*1000*AD$37*AD$32/AD$67/AD$64</f>
        <v>0.77665274273004348</v>
      </c>
      <c r="AE87" s="53">
        <f>AE$43*1000*AE$37*AE$32/AE$67/AE$64</f>
        <v>0.94557816766097602</v>
      </c>
      <c r="AF87" s="53">
        <f>AF$43*1000*AF$37*AF$32/AF$67/AF$64</f>
        <v>0.94557816766097602</v>
      </c>
      <c r="AG87" s="53">
        <f>AG$43*1000*AG$37*AG$32/AG$67/AG$64</f>
        <v>0.9075962938968366</v>
      </c>
      <c r="AH87" s="50"/>
      <c r="AI87" s="50"/>
      <c r="AJ87" s="50"/>
      <c r="AK87" s="50"/>
      <c r="AL87" s="50"/>
      <c r="AM87" s="50"/>
      <c r="AN87" s="50"/>
      <c r="AO87" s="50"/>
      <c r="AP87" s="50"/>
      <c r="AQ87" s="50"/>
      <c r="AR87" s="50"/>
      <c r="AS87" s="50"/>
      <c r="AT87" s="50"/>
      <c r="AU87" s="50"/>
      <c r="AV87" s="50"/>
      <c r="AW87" s="50"/>
      <c r="AX87" s="50"/>
      <c r="AY87" s="50"/>
    </row>
    <row r="88" spans="1:51" ht="15">
      <c r="A88" t="s">
        <v>16</v>
      </c>
      <c r="C88" t="str">
        <f>C83</f>
        <v>BRT</v>
      </c>
      <c r="D88" t="s">
        <v>39</v>
      </c>
      <c r="E88" s="237">
        <v>0.01</v>
      </c>
      <c r="F88" s="53">
        <f t="shared" si="191" ref="F88:J89">IF($D$4,Z88,P88)</f>
        <v>0.01</v>
      </c>
      <c r="G88" s="53">
        <f t="shared" si="191"/>
        <v>0.01</v>
      </c>
      <c r="H88" s="53">
        <f t="shared" si="191"/>
        <v>0.01</v>
      </c>
      <c r="I88" s="53">
        <f t="shared" si="191"/>
        <v>0.01</v>
      </c>
      <c r="J88" s="53">
        <f t="shared" si="191"/>
        <v>0.01</v>
      </c>
      <c r="K88" s="53">
        <f>IF($D$4,AD88,T88)</f>
        <v>0.01</v>
      </c>
      <c r="L88" s="53">
        <f>IF($D$4,AD88,T88)</f>
        <v>0.01</v>
      </c>
      <c r="M88" s="53">
        <f>IF($D$4,AG88,W88)</f>
        <v>0.01</v>
      </c>
      <c r="N88" s="203"/>
      <c r="O88" s="204">
        <f>E88</f>
        <v>0.01</v>
      </c>
      <c r="P88" s="204">
        <v>0.01</v>
      </c>
      <c r="Q88" s="29">
        <v>0.01</v>
      </c>
      <c r="R88" s="68">
        <f>Q88</f>
        <v>0.01</v>
      </c>
      <c r="S88" s="50">
        <f t="shared" si="192" ref="S88:W88">R88</f>
        <v>0.01</v>
      </c>
      <c r="T88" s="50">
        <f t="shared" si="192"/>
        <v>0.01</v>
      </c>
      <c r="U88" s="50">
        <f t="shared" si="192"/>
        <v>0.01</v>
      </c>
      <c r="V88" s="50">
        <f t="shared" si="192"/>
        <v>0.01</v>
      </c>
      <c r="W88" s="50">
        <f t="shared" si="192"/>
        <v>0.01</v>
      </c>
      <c r="X88" s="50"/>
      <c r="Y88" s="121">
        <f t="shared" si="157"/>
        <v>0.01</v>
      </c>
      <c r="Z88" s="121">
        <f t="shared" si="158"/>
        <v>0.01</v>
      </c>
      <c r="AA88" s="121">
        <f t="shared" si="159"/>
        <v>0.01</v>
      </c>
      <c r="AB88" s="68">
        <f>AA88</f>
        <v>0.01</v>
      </c>
      <c r="AC88" s="50">
        <f t="shared" si="193" ref="AC88:AG88">AB88</f>
        <v>0.01</v>
      </c>
      <c r="AD88" s="50">
        <f t="shared" si="193"/>
        <v>0.01</v>
      </c>
      <c r="AE88" s="50">
        <f t="shared" si="193"/>
        <v>0.01</v>
      </c>
      <c r="AF88" s="50">
        <f t="shared" si="193"/>
        <v>0.01</v>
      </c>
      <c r="AG88" s="50">
        <f t="shared" si="193"/>
        <v>0.01</v>
      </c>
      <c r="AH88" s="50"/>
      <c r="AI88" s="50"/>
      <c r="AJ88" s="50"/>
      <c r="AK88" s="50"/>
      <c r="AL88" s="50"/>
      <c r="AM88" s="50"/>
      <c r="AN88" s="50"/>
      <c r="AO88" s="50"/>
      <c r="AP88" s="50"/>
      <c r="AQ88" s="50"/>
      <c r="AR88" s="50"/>
      <c r="AS88" s="50"/>
      <c r="AT88" s="50"/>
      <c r="AU88" s="50"/>
      <c r="AV88" s="50"/>
      <c r="AW88" s="50"/>
      <c r="AX88" s="50"/>
      <c r="AY88" s="50"/>
    </row>
    <row r="89" spans="1:51" ht="15">
      <c r="A89" t="s">
        <v>16</v>
      </c>
      <c r="C89" t="str">
        <f>C84</f>
        <v>Gautrain</v>
      </c>
      <c r="D89" t="s">
        <v>39</v>
      </c>
      <c r="E89" s="237">
        <v>0.0050000000000000001</v>
      </c>
      <c r="F89" s="53">
        <f t="shared" si="191"/>
        <v>0.0050000000000000001</v>
      </c>
      <c r="G89" s="53">
        <f t="shared" si="191"/>
        <v>0.0050000000000000001</v>
      </c>
      <c r="H89" s="53">
        <f t="shared" si="191"/>
        <v>0.0050000000000000001</v>
      </c>
      <c r="I89" s="53">
        <f t="shared" si="191"/>
        <v>0.0050000000000000001</v>
      </c>
      <c r="J89" s="53">
        <f t="shared" si="191"/>
        <v>0.0050000000000000001</v>
      </c>
      <c r="K89" s="53">
        <f>IF($D$4,AD89,T89)</f>
        <v>0.0050000000000000001</v>
      </c>
      <c r="L89" s="53">
        <f>IF($D$4,AD89,T89)</f>
        <v>0.0050000000000000001</v>
      </c>
      <c r="M89" s="53">
        <f>IF($D$4,AG89,W89)</f>
        <v>0.0050000000000000001</v>
      </c>
      <c r="N89" s="203"/>
      <c r="O89" s="204">
        <f>E89</f>
        <v>0.0050000000000000001</v>
      </c>
      <c r="P89" s="204">
        <v>0.0050000000000000001</v>
      </c>
      <c r="Q89" s="50">
        <v>0.0050000000000000001</v>
      </c>
      <c r="R89" s="50">
        <v>0.0050000000000000001</v>
      </c>
      <c r="S89" s="240">
        <v>0.0050000000000000001</v>
      </c>
      <c r="T89" s="240">
        <v>0.0050000000000000001</v>
      </c>
      <c r="U89" s="240">
        <v>0.0050000000000000001</v>
      </c>
      <c r="V89" s="240">
        <v>0.0050000000000000001</v>
      </c>
      <c r="W89" s="240">
        <v>0.0050000000000000001</v>
      </c>
      <c r="X89" s="50"/>
      <c r="Y89" s="121">
        <f t="shared" si="157"/>
        <v>0.0050000000000000001</v>
      </c>
      <c r="Z89" s="121">
        <f t="shared" si="158"/>
        <v>0.0050000000000000001</v>
      </c>
      <c r="AA89" s="121">
        <f>Q89</f>
        <v>0.0050000000000000001</v>
      </c>
      <c r="AB89" s="121">
        <f t="shared" si="160"/>
        <v>0.0050000000000000001</v>
      </c>
      <c r="AC89" s="61">
        <v>0.01</v>
      </c>
      <c r="AD89" s="61">
        <v>0.01</v>
      </c>
      <c r="AE89" s="61">
        <v>0.014999999999999999</v>
      </c>
      <c r="AF89" s="61">
        <v>0.02</v>
      </c>
      <c r="AG89" s="61">
        <v>0.02</v>
      </c>
      <c r="AH89" s="50"/>
      <c r="AI89" s="50"/>
      <c r="AJ89" s="50"/>
      <c r="AK89" s="50"/>
      <c r="AL89" s="50"/>
      <c r="AM89" s="50"/>
      <c r="AN89" s="50"/>
      <c r="AO89" s="50"/>
      <c r="AP89" s="50"/>
      <c r="AQ89" s="50"/>
      <c r="AR89" s="50"/>
      <c r="AS89" s="50"/>
      <c r="AT89" s="50"/>
      <c r="AU89" s="50"/>
      <c r="AV89" s="50"/>
      <c r="AW89" s="50"/>
      <c r="AX89" s="50"/>
      <c r="AY89" s="50"/>
    </row>
    <row r="90" spans="1:51" ht="15">
      <c r="A90" t="s">
        <v>16</v>
      </c>
      <c r="C90" t="str">
        <f>C85</f>
        <v>Bus, minibus, metro rail</v>
      </c>
      <c r="D90" t="s">
        <v>39</v>
      </c>
      <c r="E90" s="29">
        <f t="shared" si="194" ref="E90:M90">1-SUM(E87:E89)</f>
        <v>0.30909473139377541</v>
      </c>
      <c r="F90" s="29">
        <f t="shared" si="194"/>
        <v>0.30909473139377541</v>
      </c>
      <c r="G90" s="29">
        <f t="shared" si="194"/>
        <v>0.31535663956492177</v>
      </c>
      <c r="H90" s="29">
        <f t="shared" si="194"/>
        <v>0.28345495024516987</v>
      </c>
      <c r="I90" s="29">
        <f t="shared" si="194"/>
        <v>0.24485470835443635</v>
      </c>
      <c r="J90" s="29">
        <f t="shared" si="194"/>
        <v>0.14705978632945926</v>
      </c>
      <c r="K90" s="29">
        <f t="shared" si="195" ref="K90:L90">1-SUM(K87:K89)</f>
        <v>0.14705978632945926</v>
      </c>
      <c r="L90" s="29">
        <f t="shared" si="195"/>
        <v>0.14705978632945926</v>
      </c>
      <c r="M90" s="29">
        <f t="shared" si="194"/>
        <v>-0.019324948151218102</v>
      </c>
      <c r="N90" s="203"/>
      <c r="O90" s="29">
        <f t="shared" si="196" ref="O90:W90">1-SUM(O87:O89)</f>
        <v>0.30909473139377541</v>
      </c>
      <c r="P90" s="29">
        <f t="shared" si="196"/>
        <v>0.30909473139377541</v>
      </c>
      <c r="Q90" s="29">
        <f t="shared" si="196"/>
        <v>0.31535663956492177</v>
      </c>
      <c r="R90" s="29">
        <f t="shared" si="196"/>
        <v>0.28345495024516987</v>
      </c>
      <c r="S90" s="29">
        <f t="shared" si="196"/>
        <v>0.24485470835443635</v>
      </c>
      <c r="T90" s="29">
        <f t="shared" si="196"/>
        <v>0.14705978632945926</v>
      </c>
      <c r="U90" s="29">
        <f t="shared" si="197" ref="U90:V90">1-SUM(U87:U89)</f>
        <v>-0.035195936045828047</v>
      </c>
      <c r="V90" s="29">
        <f t="shared" si="197"/>
        <v>-0.035195936045828047</v>
      </c>
      <c r="W90" s="29">
        <f t="shared" si="196"/>
        <v>-0.019324948151218102</v>
      </c>
      <c r="X90" s="50"/>
      <c r="Y90" s="53">
        <f t="shared" si="157"/>
        <v>0.30909473139377541</v>
      </c>
      <c r="Z90" s="53">
        <f t="shared" si="158"/>
        <v>0.30909473139377541</v>
      </c>
      <c r="AA90" s="53">
        <f t="shared" si="159"/>
        <v>0.31535663956492177</v>
      </c>
      <c r="AB90" s="53">
        <f t="shared" si="160"/>
        <v>0.28345495024516987</v>
      </c>
      <c r="AC90" s="29">
        <f>1-SUM(AC87:AC89)</f>
        <v>0.27639938212943616</v>
      </c>
      <c r="AD90" s="29">
        <f>1-SUM(AD87:AD89)</f>
        <v>0.20334725726995651</v>
      </c>
      <c r="AE90" s="29">
        <f>1-SUM(AE87:AE89)</f>
        <v>0.029421832339023957</v>
      </c>
      <c r="AF90" s="29">
        <f>1-SUM(AF87:AF89)</f>
        <v>0.024421832339023952</v>
      </c>
      <c r="AG90" s="29">
        <f>1-SUM(AG87:AG89)</f>
        <v>0.06240370610316337</v>
      </c>
      <c r="AH90" s="50"/>
      <c r="AI90" s="50"/>
      <c r="AJ90" s="50"/>
      <c r="AK90" s="50"/>
      <c r="AL90" s="50"/>
      <c r="AM90" s="50"/>
      <c r="AN90" s="50"/>
      <c r="AO90" s="50"/>
      <c r="AP90" s="50"/>
      <c r="AQ90" s="50"/>
      <c r="AR90" s="50"/>
      <c r="AS90" s="50"/>
      <c r="AT90" s="50"/>
      <c r="AU90" s="50"/>
      <c r="AV90" s="50"/>
      <c r="AW90" s="50"/>
      <c r="AX90" s="50"/>
      <c r="AY90" s="50"/>
    </row>
    <row r="91" spans="1:33" ht="15">
      <c r="A91" t="s">
        <v>16</v>
      </c>
      <c r="C91" s="23"/>
      <c r="E91" s="68"/>
      <c r="G91" s="68"/>
      <c r="I91" s="68"/>
      <c r="J91" s="68"/>
      <c r="K91" s="68"/>
      <c r="L91" s="68"/>
      <c r="M91" s="68"/>
      <c r="N91" s="36"/>
      <c r="Q91" s="68"/>
      <c r="S91" s="68"/>
      <c r="T91" s="68"/>
      <c r="U91" s="68"/>
      <c r="V91" s="68"/>
      <c r="W91" s="68"/>
      <c r="AA91" s="68"/>
      <c r="AC91" s="68"/>
      <c r="AD91" s="68"/>
      <c r="AE91" s="68"/>
      <c r="AF91" s="68"/>
      <c r="AG91" s="68"/>
    </row>
    <row r="92" spans="1:33" ht="15">
      <c r="A92" t="s">
        <v>16</v>
      </c>
      <c r="C92" s="58" t="s">
        <v>181</v>
      </c>
      <c r="E92" s="10"/>
      <c r="G92" s="10"/>
      <c r="I92" s="10"/>
      <c r="J92" s="10"/>
      <c r="K92" s="10"/>
      <c r="L92" s="10"/>
      <c r="M92" s="10"/>
      <c r="N92" s="36"/>
      <c r="Q92" s="10"/>
      <c r="S92" s="10"/>
      <c r="T92" s="10"/>
      <c r="U92" s="10"/>
      <c r="V92" s="10"/>
      <c r="W92" s="10"/>
      <c r="AA92" s="10"/>
      <c r="AC92" s="10"/>
      <c r="AD92" s="10"/>
      <c r="AE92" s="10"/>
      <c r="AF92" s="10"/>
      <c r="AG92" s="10"/>
    </row>
    <row r="93" spans="1:33" ht="15">
      <c r="A93" t="s">
        <v>16</v>
      </c>
      <c r="C93" s="34" t="str">
        <f>C75</f>
        <v>Low Income</v>
      </c>
      <c r="D93" t="s">
        <v>179</v>
      </c>
      <c r="E93" s="9">
        <f t="shared" si="198" ref="E93:J93">IF($D$4,Y93,O93)</f>
        <v>25.240254653319884</v>
      </c>
      <c r="F93" s="9">
        <f t="shared" si="198"/>
        <v>25.427775883826147</v>
      </c>
      <c r="G93" s="9">
        <f t="shared" si="198"/>
        <v>26.458300314436251</v>
      </c>
      <c r="H93" s="9">
        <f t="shared" si="198"/>
        <v>28.971346680658961</v>
      </c>
      <c r="I93" s="9">
        <f t="shared" si="198"/>
        <v>24.43679865100879</v>
      </c>
      <c r="J93" s="9">
        <f t="shared" si="198"/>
        <v>18.374768672351077</v>
      </c>
      <c r="K93" s="9">
        <f>IF($D$4,AD93,T93)</f>
        <v>18.374768672351077</v>
      </c>
      <c r="L93" s="9">
        <f>IF($D$4,AD93,T93)</f>
        <v>18.374768672351077</v>
      </c>
      <c r="M93" s="9">
        <f>IF($D$4,AG93,W93)</f>
        <v>7.3946209229732025</v>
      </c>
      <c r="N93" s="36"/>
      <c r="O93" s="9">
        <f>(1-O$25)*O$13</f>
        <v>25.240254653319884</v>
      </c>
      <c r="P93" s="9">
        <f t="shared" si="199" ref="P93:W93">(1-P$25)*P$13</f>
        <v>25.427775883826147</v>
      </c>
      <c r="Q93" s="9">
        <f t="shared" si="199"/>
        <v>26.458300314436251</v>
      </c>
      <c r="R93" s="9">
        <f t="shared" si="199"/>
        <v>28.971346680658961</v>
      </c>
      <c r="S93" s="9">
        <f t="shared" si="199"/>
        <v>24.43679865100879</v>
      </c>
      <c r="T93" s="9">
        <f t="shared" si="199"/>
        <v>18.374768672351077</v>
      </c>
      <c r="U93" s="9">
        <f t="shared" si="199"/>
        <v>14.103436027957953</v>
      </c>
      <c r="V93" s="9">
        <f t="shared" si="199"/>
        <v>10.723871995348158</v>
      </c>
      <c r="W93" s="9">
        <f t="shared" si="199"/>
        <v>7.3946209229732025</v>
      </c>
      <c r="Y93" s="9">
        <f t="shared" si="200" ref="Y93:Y103">O93</f>
        <v>25.240254653319884</v>
      </c>
      <c r="Z93" s="9">
        <f t="shared" si="201" ref="Z93:Z103">P93</f>
        <v>25.427775883826147</v>
      </c>
      <c r="AA93" s="9">
        <f t="shared" si="202" ref="AA93:AA103">Q93</f>
        <v>26.458300314436251</v>
      </c>
      <c r="AB93" s="9">
        <f t="shared" si="203" ref="AB93:AB103">R93</f>
        <v>28.971346680658961</v>
      </c>
      <c r="AC93" s="9">
        <f>(1-AC$25)*AC$13</f>
        <v>24.43679865100879</v>
      </c>
      <c r="AD93" s="9">
        <f>(1-AD$25)*AD$13</f>
        <v>18.374768672351077</v>
      </c>
      <c r="AE93" s="9">
        <f>(1-AE$25)*AE$13</f>
        <v>14.103436027957953</v>
      </c>
      <c r="AF93" s="9">
        <f>(1-AF$25)*AF$13</f>
        <v>10.723871995348158</v>
      </c>
      <c r="AG93" s="9">
        <f>(1-AG$25)*AG$13</f>
        <v>7.3946209229732025</v>
      </c>
    </row>
    <row r="94" spans="1:51" ht="15">
      <c r="A94" t="s">
        <v>16</v>
      </c>
      <c r="C94" t="s">
        <v>54</v>
      </c>
      <c r="D94" t="s">
        <v>39</v>
      </c>
      <c r="E94" s="237">
        <v>0.0050000000000000001</v>
      </c>
      <c r="F94" s="53">
        <f t="shared" si="204" ref="F94:J95">IF($D$4,Z94,P94)</f>
        <v>0.01</v>
      </c>
      <c r="G94" s="53">
        <f t="shared" si="204"/>
        <v>0.01</v>
      </c>
      <c r="H94" s="53">
        <f t="shared" si="204"/>
        <v>0.01</v>
      </c>
      <c r="I94" s="53">
        <f t="shared" si="204"/>
        <v>0.01</v>
      </c>
      <c r="J94" s="53">
        <f t="shared" si="204"/>
        <v>0.01</v>
      </c>
      <c r="K94" s="53">
        <f>IF($D$4,AD94,T94)</f>
        <v>0.01</v>
      </c>
      <c r="L94" s="53">
        <f>IF($D$4,AD94,T94)</f>
        <v>0.01</v>
      </c>
      <c r="M94" s="53">
        <f>IF($D$4,AG94,W94)</f>
        <v>0.01</v>
      </c>
      <c r="N94" s="203"/>
      <c r="O94" s="197">
        <f>E94</f>
        <v>0.0050000000000000001</v>
      </c>
      <c r="P94" s="197">
        <v>0.01</v>
      </c>
      <c r="Q94" s="197">
        <f>P94</f>
        <v>0.01</v>
      </c>
      <c r="R94" s="68">
        <f>Q94</f>
        <v>0.01</v>
      </c>
      <c r="S94" s="50">
        <f t="shared" si="205" ref="S94:W94">R94</f>
        <v>0.01</v>
      </c>
      <c r="T94" s="50">
        <f t="shared" si="205"/>
        <v>0.01</v>
      </c>
      <c r="U94" s="50">
        <f t="shared" si="205"/>
        <v>0.01</v>
      </c>
      <c r="V94" s="50">
        <f t="shared" si="205"/>
        <v>0.01</v>
      </c>
      <c r="W94" s="50">
        <f t="shared" si="205"/>
        <v>0.01</v>
      </c>
      <c r="X94" s="50"/>
      <c r="Y94" s="9">
        <f t="shared" si="200"/>
        <v>0.0050000000000000001</v>
      </c>
      <c r="Z94" s="9">
        <f t="shared" si="201"/>
        <v>0.01</v>
      </c>
      <c r="AA94" s="9">
        <f t="shared" si="202"/>
        <v>0.01</v>
      </c>
      <c r="AB94" s="68">
        <f>AA94</f>
        <v>0.01</v>
      </c>
      <c r="AC94" s="50">
        <f t="shared" si="206" ref="AC94:AG94">AB94</f>
        <v>0.01</v>
      </c>
      <c r="AD94" s="50">
        <f t="shared" si="206"/>
        <v>0.01</v>
      </c>
      <c r="AE94" s="50">
        <f t="shared" si="206"/>
        <v>0.01</v>
      </c>
      <c r="AF94" s="50">
        <f t="shared" si="206"/>
        <v>0.01</v>
      </c>
      <c r="AG94" s="50">
        <f t="shared" si="206"/>
        <v>0.01</v>
      </c>
      <c r="AH94" s="50"/>
      <c r="AI94" s="50"/>
      <c r="AJ94" s="50"/>
      <c r="AK94" s="50"/>
      <c r="AL94" s="50"/>
      <c r="AM94" s="50"/>
      <c r="AN94" s="50"/>
      <c r="AO94" s="50"/>
      <c r="AP94" s="50"/>
      <c r="AQ94" s="50"/>
      <c r="AR94" s="50"/>
      <c r="AS94" s="50"/>
      <c r="AT94" s="50"/>
      <c r="AU94" s="50"/>
      <c r="AV94" s="50"/>
      <c r="AW94" s="50"/>
      <c r="AX94" s="50"/>
      <c r="AY94" s="50"/>
    </row>
    <row r="95" spans="1:51" ht="15">
      <c r="A95" t="s">
        <v>16</v>
      </c>
      <c r="C95" t="s">
        <v>71</v>
      </c>
      <c r="D95" t="s">
        <v>39</v>
      </c>
      <c r="E95" s="237">
        <v>0</v>
      </c>
      <c r="F95" s="53">
        <f t="shared" si="204"/>
        <v>0</v>
      </c>
      <c r="G95" s="53">
        <f t="shared" si="204"/>
        <v>0</v>
      </c>
      <c r="H95" s="53">
        <f t="shared" si="204"/>
        <v>0</v>
      </c>
      <c r="I95" s="53">
        <f t="shared" si="204"/>
        <v>0</v>
      </c>
      <c r="J95" s="53">
        <f t="shared" si="204"/>
        <v>0</v>
      </c>
      <c r="K95" s="53">
        <f>IF($D$4,AD95,T95)</f>
        <v>0</v>
      </c>
      <c r="L95" s="53">
        <f>IF($D$4,AD95,T95)</f>
        <v>0</v>
      </c>
      <c r="M95" s="53">
        <f>IF($D$4,AG95,W95)</f>
        <v>0</v>
      </c>
      <c r="N95" s="203"/>
      <c r="O95" s="197">
        <f>E95</f>
        <v>0</v>
      </c>
      <c r="P95" s="197">
        <f>O95</f>
        <v>0</v>
      </c>
      <c r="Q95" s="197">
        <f>P95</f>
        <v>0</v>
      </c>
      <c r="R95" s="197">
        <f t="shared" si="207" ref="R95:T95">Q95</f>
        <v>0</v>
      </c>
      <c r="S95" s="30">
        <f t="shared" si="207"/>
        <v>0</v>
      </c>
      <c r="T95" s="30">
        <f t="shared" si="207"/>
        <v>0</v>
      </c>
      <c r="U95" s="30">
        <f>S95</f>
        <v>0</v>
      </c>
      <c r="V95" s="30">
        <f>S95</f>
        <v>0</v>
      </c>
      <c r="W95" s="30">
        <f>T95</f>
        <v>0</v>
      </c>
      <c r="X95" s="50"/>
      <c r="Y95" s="9">
        <f t="shared" si="200"/>
        <v>0</v>
      </c>
      <c r="Z95" s="9">
        <f t="shared" si="201"/>
        <v>0</v>
      </c>
      <c r="AA95" s="9">
        <f t="shared" si="202"/>
        <v>0</v>
      </c>
      <c r="AB95" s="9">
        <f t="shared" si="203"/>
        <v>0</v>
      </c>
      <c r="AC95" s="30">
        <v>0</v>
      </c>
      <c r="AD95" s="30">
        <v>0</v>
      </c>
      <c r="AE95" s="30">
        <v>0</v>
      </c>
      <c r="AF95" s="30">
        <v>0</v>
      </c>
      <c r="AG95" s="30">
        <v>0</v>
      </c>
      <c r="AH95" s="50"/>
      <c r="AI95" s="50"/>
      <c r="AJ95" s="50"/>
      <c r="AK95" s="50"/>
      <c r="AL95" s="50"/>
      <c r="AM95" s="50"/>
      <c r="AN95" s="50"/>
      <c r="AO95" s="50"/>
      <c r="AP95" s="50"/>
      <c r="AQ95" s="50"/>
      <c r="AR95" s="50"/>
      <c r="AS95" s="50"/>
      <c r="AT95" s="50"/>
      <c r="AU95" s="50"/>
      <c r="AV95" s="50"/>
      <c r="AW95" s="50"/>
      <c r="AX95" s="50"/>
      <c r="AY95" s="50"/>
    </row>
    <row r="96" spans="1:51" ht="15">
      <c r="A96" t="s">
        <v>16</v>
      </c>
      <c r="C96" t="s">
        <v>70</v>
      </c>
      <c r="D96" t="s">
        <v>39</v>
      </c>
      <c r="E96" s="29">
        <f t="shared" si="208" ref="E96:M96">1-SUM(E94:E95)</f>
        <v>0.995</v>
      </c>
      <c r="F96" s="29">
        <f t="shared" si="208"/>
        <v>0.98999999999999999</v>
      </c>
      <c r="G96" s="29">
        <f t="shared" si="208"/>
        <v>0.98999999999999999</v>
      </c>
      <c r="H96" s="29">
        <f t="shared" si="208"/>
        <v>0.98999999999999999</v>
      </c>
      <c r="I96" s="29">
        <f t="shared" si="208"/>
        <v>0.98999999999999999</v>
      </c>
      <c r="J96" s="29">
        <f t="shared" si="208"/>
        <v>0.98999999999999999</v>
      </c>
      <c r="K96" s="29">
        <f t="shared" si="209" ref="K96:L96">1-SUM(K94:K95)</f>
        <v>0.98999999999999999</v>
      </c>
      <c r="L96" s="29">
        <f t="shared" si="209"/>
        <v>0.98999999999999999</v>
      </c>
      <c r="M96" s="29">
        <f t="shared" si="208"/>
        <v>0.98999999999999999</v>
      </c>
      <c r="N96" s="203"/>
      <c r="O96" s="29">
        <f t="shared" si="210" ref="O96:W96">1-SUM(O94:O95)</f>
        <v>0.995</v>
      </c>
      <c r="P96" s="29">
        <f t="shared" si="210"/>
        <v>0.98999999999999999</v>
      </c>
      <c r="Q96" s="29">
        <f t="shared" si="210"/>
        <v>0.98999999999999999</v>
      </c>
      <c r="R96" s="29">
        <f t="shared" si="210"/>
        <v>0.98999999999999999</v>
      </c>
      <c r="S96" s="29">
        <f t="shared" si="210"/>
        <v>0.98999999999999999</v>
      </c>
      <c r="T96" s="29">
        <f t="shared" si="210"/>
        <v>0.98999999999999999</v>
      </c>
      <c r="U96" s="29">
        <f t="shared" si="211" ref="U96:V96">1-SUM(U94:U95)</f>
        <v>0.98999999999999999</v>
      </c>
      <c r="V96" s="29">
        <f t="shared" si="211"/>
        <v>0.98999999999999999</v>
      </c>
      <c r="W96" s="29">
        <f t="shared" si="210"/>
        <v>0.98999999999999999</v>
      </c>
      <c r="X96" s="50"/>
      <c r="Y96" s="9">
        <f t="shared" si="200"/>
        <v>0.995</v>
      </c>
      <c r="Z96" s="9">
        <f t="shared" si="201"/>
        <v>0.98999999999999999</v>
      </c>
      <c r="AA96" s="9">
        <f t="shared" si="202"/>
        <v>0.98999999999999999</v>
      </c>
      <c r="AB96" s="9">
        <f t="shared" si="203"/>
        <v>0.98999999999999999</v>
      </c>
      <c r="AC96" s="29">
        <f>1-SUM(AC94:AC95)</f>
        <v>0.98999999999999999</v>
      </c>
      <c r="AD96" s="29">
        <f>1-SUM(AD94:AD95)</f>
        <v>0.98999999999999999</v>
      </c>
      <c r="AE96" s="29">
        <f>1-SUM(AE94:AE95)</f>
        <v>0.98999999999999999</v>
      </c>
      <c r="AF96" s="29">
        <f>1-SUM(AF94:AF95)</f>
        <v>0.98999999999999999</v>
      </c>
      <c r="AG96" s="29">
        <f>1-SUM(AG94:AG95)</f>
        <v>0.98999999999999999</v>
      </c>
      <c r="AH96" s="50"/>
      <c r="AI96" s="50"/>
      <c r="AJ96" s="50"/>
      <c r="AK96" s="50"/>
      <c r="AL96" s="50"/>
      <c r="AM96" s="50"/>
      <c r="AN96" s="50"/>
      <c r="AO96" s="50"/>
      <c r="AP96" s="50"/>
      <c r="AQ96" s="50"/>
      <c r="AR96" s="50"/>
      <c r="AS96" s="50"/>
      <c r="AT96" s="50"/>
      <c r="AU96" s="50"/>
      <c r="AV96" s="50"/>
      <c r="AW96" s="50"/>
      <c r="AX96" s="50"/>
      <c r="AY96" s="50"/>
    </row>
    <row r="97" spans="1:33" ht="15">
      <c r="A97" t="s">
        <v>16</v>
      </c>
      <c r="C97" s="34" t="str">
        <f>C81</f>
        <v>Middle Income</v>
      </c>
      <c r="D97" t="s">
        <v>179</v>
      </c>
      <c r="E97" s="9">
        <f t="shared" si="212" ref="E97:J97">IF($D$4,Y97,O97)</f>
        <v>8.1886900600956771</v>
      </c>
      <c r="F97" s="9">
        <f t="shared" si="212"/>
        <v>8.636896648943301</v>
      </c>
      <c r="G97" s="9">
        <f t="shared" si="212"/>
        <v>9.0762919375131723</v>
      </c>
      <c r="H97" s="9">
        <f t="shared" si="212"/>
        <v>8.1302569467621719</v>
      </c>
      <c r="I97" s="9">
        <f t="shared" si="212"/>
        <v>9.9217797317810437</v>
      </c>
      <c r="J97" s="9">
        <f t="shared" si="212"/>
        <v>11.575803455580278</v>
      </c>
      <c r="K97" s="9">
        <f>IF($D$4,AD97,T97)</f>
        <v>11.575803455580278</v>
      </c>
      <c r="L97" s="9">
        <f>IF($D$4,AD97,T97)</f>
        <v>11.575803455580278</v>
      </c>
      <c r="M97" s="9">
        <f>IF($D$4,AG97,W97)</f>
        <v>15.113558493523595</v>
      </c>
      <c r="N97" s="36"/>
      <c r="O97" s="9">
        <f t="shared" si="213" ref="O97:W97">(1-O$26)*O$14</f>
        <v>8.1886900600956771</v>
      </c>
      <c r="P97" s="9">
        <f t="shared" si="213"/>
        <v>8.636896648943301</v>
      </c>
      <c r="Q97" s="9">
        <f t="shared" si="213"/>
        <v>9.0762919375131723</v>
      </c>
      <c r="R97" s="9">
        <f t="shared" si="213"/>
        <v>8.1302569467621719</v>
      </c>
      <c r="S97" s="9">
        <f t="shared" si="213"/>
        <v>9.9217797317810437</v>
      </c>
      <c r="T97" s="9">
        <f t="shared" si="213"/>
        <v>11.575803455580278</v>
      </c>
      <c r="U97" s="9">
        <f t="shared" si="213"/>
        <v>12.833778525797239</v>
      </c>
      <c r="V97" s="9">
        <f t="shared" si="213"/>
        <v>13.886692419007176</v>
      </c>
      <c r="W97" s="9">
        <f t="shared" si="213"/>
        <v>15.113558493523595</v>
      </c>
      <c r="Y97" s="9">
        <f t="shared" si="200"/>
        <v>8.1886900600956771</v>
      </c>
      <c r="Z97" s="9">
        <f t="shared" si="201"/>
        <v>8.636896648943301</v>
      </c>
      <c r="AA97" s="9">
        <f t="shared" si="202"/>
        <v>9.0762919375131723</v>
      </c>
      <c r="AB97" s="9">
        <f t="shared" si="203"/>
        <v>8.1302569467621719</v>
      </c>
      <c r="AC97" s="9">
        <f>(1-AC$26)*AC$14</f>
        <v>10.48119922729636</v>
      </c>
      <c r="AD97" s="9">
        <f>(1-AD$26)*AD$14</f>
        <v>12.848526101467751</v>
      </c>
      <c r="AE97" s="9">
        <f>(1-AE$26)*AE$14</f>
        <v>14.244811515841015</v>
      </c>
      <c r="AF97" s="9">
        <f>(1-AF$26)*AF$14</f>
        <v>15.413489931245895</v>
      </c>
      <c r="AG97" s="9">
        <f>(1-AG$26)*AG$14</f>
        <v>17.544309086020547</v>
      </c>
    </row>
    <row r="98" spans="1:51" ht="15">
      <c r="A98" t="s">
        <v>16</v>
      </c>
      <c r="C98" t="str">
        <f>C94</f>
        <v>BRT</v>
      </c>
      <c r="D98" t="s">
        <v>39</v>
      </c>
      <c r="E98" s="237">
        <v>0.0050000000000000001</v>
      </c>
      <c r="F98" s="53">
        <f t="shared" si="214" ref="F98:J99">IF($D$4,Z98,P98)</f>
        <v>0.01</v>
      </c>
      <c r="G98" s="53">
        <f t="shared" si="214"/>
        <v>0.01</v>
      </c>
      <c r="H98" s="53">
        <f t="shared" si="214"/>
        <v>0.01</v>
      </c>
      <c r="I98" s="53">
        <f t="shared" si="214"/>
        <v>0.01</v>
      </c>
      <c r="J98" s="53">
        <f t="shared" si="214"/>
        <v>0.01</v>
      </c>
      <c r="K98" s="53">
        <f>IF($D$4,AD98,T98)</f>
        <v>0.01</v>
      </c>
      <c r="L98" s="53">
        <f>IF($D$4,AD98,T98)</f>
        <v>0.01</v>
      </c>
      <c r="M98" s="53">
        <f>IF($D$4,AG98,W98)</f>
        <v>0.01</v>
      </c>
      <c r="N98" s="203"/>
      <c r="O98" s="197">
        <f>E98</f>
        <v>0.0050000000000000001</v>
      </c>
      <c r="P98" s="197">
        <v>0.01</v>
      </c>
      <c r="Q98" s="197">
        <f>P98</f>
        <v>0.01</v>
      </c>
      <c r="R98" s="68">
        <f>Q98</f>
        <v>0.01</v>
      </c>
      <c r="S98" s="50">
        <f t="shared" si="215" ref="S98:W98">R98</f>
        <v>0.01</v>
      </c>
      <c r="T98" s="50">
        <f t="shared" si="215"/>
        <v>0.01</v>
      </c>
      <c r="U98" s="50">
        <f t="shared" si="215"/>
        <v>0.01</v>
      </c>
      <c r="V98" s="50">
        <f t="shared" si="215"/>
        <v>0.01</v>
      </c>
      <c r="W98" s="50">
        <f t="shared" si="215"/>
        <v>0.01</v>
      </c>
      <c r="X98" s="50"/>
      <c r="Y98" s="9">
        <f t="shared" si="200"/>
        <v>0.0050000000000000001</v>
      </c>
      <c r="Z98" s="9">
        <f t="shared" si="201"/>
        <v>0.01</v>
      </c>
      <c r="AA98" s="9">
        <f t="shared" si="202"/>
        <v>0.01</v>
      </c>
      <c r="AB98" s="68">
        <f>AA98</f>
        <v>0.01</v>
      </c>
      <c r="AC98" s="50">
        <f t="shared" si="216" ref="AC98:AG98">AB98</f>
        <v>0.01</v>
      </c>
      <c r="AD98" s="50">
        <f t="shared" si="216"/>
        <v>0.01</v>
      </c>
      <c r="AE98" s="50">
        <f t="shared" si="216"/>
        <v>0.01</v>
      </c>
      <c r="AF98" s="50">
        <f t="shared" si="216"/>
        <v>0.01</v>
      </c>
      <c r="AG98" s="50">
        <f t="shared" si="216"/>
        <v>0.01</v>
      </c>
      <c r="AH98" s="50"/>
      <c r="AI98" s="50"/>
      <c r="AJ98" s="50"/>
      <c r="AK98" s="50"/>
      <c r="AL98" s="50"/>
      <c r="AM98" s="50"/>
      <c r="AN98" s="50"/>
      <c r="AO98" s="50"/>
      <c r="AP98" s="50"/>
      <c r="AQ98" s="50"/>
      <c r="AR98" s="50"/>
      <c r="AS98" s="50"/>
      <c r="AT98" s="50"/>
      <c r="AU98" s="50"/>
      <c r="AV98" s="50"/>
      <c r="AW98" s="50"/>
      <c r="AX98" s="50"/>
      <c r="AY98" s="50"/>
    </row>
    <row r="99" spans="1:51" ht="15">
      <c r="A99" t="s">
        <v>16</v>
      </c>
      <c r="C99" t="str">
        <f>C95</f>
        <v>Gautrain</v>
      </c>
      <c r="D99" t="s">
        <v>39</v>
      </c>
      <c r="E99" s="237">
        <v>0.002</v>
      </c>
      <c r="F99" s="53">
        <f t="shared" si="214"/>
        <v>0.002</v>
      </c>
      <c r="G99" s="53">
        <f t="shared" si="214"/>
        <v>0.002</v>
      </c>
      <c r="H99" s="53">
        <f t="shared" si="214"/>
        <v>0.002</v>
      </c>
      <c r="I99" s="53">
        <f t="shared" si="214"/>
        <v>0.002</v>
      </c>
      <c r="J99" s="53">
        <f t="shared" si="214"/>
        <v>0.002</v>
      </c>
      <c r="K99" s="53">
        <f>IF($D$4,AD99,T99)</f>
        <v>0.002</v>
      </c>
      <c r="L99" s="53">
        <f>IF($D$4,AD99,T99)</f>
        <v>0.002</v>
      </c>
      <c r="M99" s="53">
        <f>IF($D$4,AG99,W99)</f>
        <v>0.002</v>
      </c>
      <c r="N99" s="203"/>
      <c r="O99" s="197">
        <f>E99</f>
        <v>0.002</v>
      </c>
      <c r="P99" s="197">
        <f>O99</f>
        <v>0.002</v>
      </c>
      <c r="Q99" s="197">
        <f>P99</f>
        <v>0.002</v>
      </c>
      <c r="R99" s="197">
        <f t="shared" si="217" ref="R99:T99">Q99</f>
        <v>0.002</v>
      </c>
      <c r="S99" s="41">
        <f t="shared" si="217"/>
        <v>0.002</v>
      </c>
      <c r="T99" s="41">
        <f t="shared" si="217"/>
        <v>0.002</v>
      </c>
      <c r="U99" s="41">
        <f>S99</f>
        <v>0.002</v>
      </c>
      <c r="V99" s="41">
        <f>S99</f>
        <v>0.002</v>
      </c>
      <c r="W99" s="41">
        <f>T99</f>
        <v>0.002</v>
      </c>
      <c r="X99" s="50"/>
      <c r="Y99" s="9">
        <f t="shared" si="200"/>
        <v>0.002</v>
      </c>
      <c r="Z99" s="9">
        <f t="shared" si="201"/>
        <v>0.002</v>
      </c>
      <c r="AA99" s="9">
        <f t="shared" si="202"/>
        <v>0.002</v>
      </c>
      <c r="AB99" s="9">
        <f t="shared" si="203"/>
        <v>0.002</v>
      </c>
      <c r="AC99" s="61">
        <v>0.002</v>
      </c>
      <c r="AD99" s="61">
        <v>0.0030000000000000001</v>
      </c>
      <c r="AE99" s="61">
        <v>0.0040000000000000001</v>
      </c>
      <c r="AF99" s="61">
        <v>0.0050000000000000001</v>
      </c>
      <c r="AG99" s="61">
        <v>0.01</v>
      </c>
      <c r="AH99" s="50"/>
      <c r="AI99" s="50"/>
      <c r="AJ99" s="50"/>
      <c r="AK99" s="50"/>
      <c r="AL99" s="50"/>
      <c r="AM99" s="50"/>
      <c r="AN99" s="50"/>
      <c r="AO99" s="50"/>
      <c r="AP99" s="50"/>
      <c r="AQ99" s="50"/>
      <c r="AR99" s="50"/>
      <c r="AS99" s="50"/>
      <c r="AT99" s="50"/>
      <c r="AU99" s="50"/>
      <c r="AV99" s="50"/>
      <c r="AW99" s="50"/>
      <c r="AX99" s="50"/>
      <c r="AY99" s="50"/>
    </row>
    <row r="100" spans="1:51" ht="15">
      <c r="A100" t="s">
        <v>16</v>
      </c>
      <c r="C100" t="str">
        <f>C96</f>
        <v>Bus, minibus, metro rail</v>
      </c>
      <c r="D100" t="s">
        <v>39</v>
      </c>
      <c r="E100" s="29">
        <f t="shared" si="218" ref="E100:M100">1-SUM(E98:E99)</f>
        <v>0.99299999999999999</v>
      </c>
      <c r="F100" s="29">
        <f t="shared" si="218"/>
        <v>0.98799999999999999</v>
      </c>
      <c r="G100" s="29">
        <f t="shared" si="218"/>
        <v>0.98799999999999999</v>
      </c>
      <c r="H100" s="29">
        <f t="shared" si="218"/>
        <v>0.98799999999999999</v>
      </c>
      <c r="I100" s="29">
        <f t="shared" si="218"/>
        <v>0.98799999999999999</v>
      </c>
      <c r="J100" s="29">
        <f t="shared" si="218"/>
        <v>0.98799999999999999</v>
      </c>
      <c r="K100" s="29">
        <f t="shared" si="219" ref="K100:L100">1-SUM(K98:K99)</f>
        <v>0.98799999999999999</v>
      </c>
      <c r="L100" s="29">
        <f t="shared" si="219"/>
        <v>0.98799999999999999</v>
      </c>
      <c r="M100" s="29">
        <f t="shared" si="218"/>
        <v>0.98799999999999999</v>
      </c>
      <c r="N100" s="203"/>
      <c r="O100" s="29">
        <f t="shared" si="220" ref="O100:W100">1-SUM(O98:O99)</f>
        <v>0.99299999999999999</v>
      </c>
      <c r="P100" s="29">
        <f t="shared" si="220"/>
        <v>0.98799999999999999</v>
      </c>
      <c r="Q100" s="29">
        <f t="shared" si="220"/>
        <v>0.98799999999999999</v>
      </c>
      <c r="R100" s="29">
        <f t="shared" si="220"/>
        <v>0.98799999999999999</v>
      </c>
      <c r="S100" s="29">
        <f t="shared" si="220"/>
        <v>0.98799999999999999</v>
      </c>
      <c r="T100" s="29">
        <f t="shared" si="220"/>
        <v>0.98799999999999999</v>
      </c>
      <c r="U100" s="29">
        <f t="shared" si="221" ref="U100:V100">1-SUM(U98:U99)</f>
        <v>0.98799999999999999</v>
      </c>
      <c r="V100" s="29">
        <f t="shared" si="221"/>
        <v>0.98799999999999999</v>
      </c>
      <c r="W100" s="29">
        <f t="shared" si="220"/>
        <v>0.98799999999999999</v>
      </c>
      <c r="X100" s="50"/>
      <c r="Y100" s="9">
        <f t="shared" si="200"/>
        <v>0.99299999999999999</v>
      </c>
      <c r="Z100" s="9">
        <f t="shared" si="201"/>
        <v>0.98799999999999999</v>
      </c>
      <c r="AA100" s="9">
        <f t="shared" si="202"/>
        <v>0.98799999999999999</v>
      </c>
      <c r="AB100" s="9">
        <f t="shared" si="203"/>
        <v>0.98799999999999999</v>
      </c>
      <c r="AC100" s="29">
        <f>1-SUM(AC98:AC99)</f>
        <v>0.98799999999999999</v>
      </c>
      <c r="AD100" s="29">
        <f>1-SUM(AD98:AD99)</f>
        <v>0.98699999999999999</v>
      </c>
      <c r="AE100" s="29">
        <f>1-SUM(AE98:AE99)</f>
        <v>0.98599999999999999</v>
      </c>
      <c r="AF100" s="29">
        <f>1-SUM(AF98:AF99)</f>
        <v>0.98499999999999999</v>
      </c>
      <c r="AG100" s="29">
        <f>1-SUM(AG98:AG99)</f>
        <v>0.97999999999999998</v>
      </c>
      <c r="AH100" s="50"/>
      <c r="AI100" s="50"/>
      <c r="AJ100" s="50"/>
      <c r="AK100" s="50"/>
      <c r="AL100" s="50"/>
      <c r="AM100" s="50"/>
      <c r="AN100" s="50"/>
      <c r="AO100" s="50"/>
      <c r="AP100" s="50"/>
      <c r="AQ100" s="50"/>
      <c r="AR100" s="50"/>
      <c r="AS100" s="50"/>
      <c r="AT100" s="50"/>
      <c r="AU100" s="50"/>
      <c r="AV100" s="50"/>
      <c r="AW100" s="50"/>
      <c r="AX100" s="50"/>
      <c r="AY100" s="50"/>
    </row>
    <row r="101" spans="1:33" ht="15">
      <c r="A101" t="s">
        <v>16</v>
      </c>
      <c r="C101" s="34" t="str">
        <f>C86</f>
        <v>High Income</v>
      </c>
      <c r="D101" t="s">
        <v>179</v>
      </c>
      <c r="E101" s="9">
        <f t="shared" si="222" ref="E101:J101">IF($D$4,Y101,O101)</f>
        <v>3.0943286138531914</v>
      </c>
      <c r="F101" s="9">
        <f t="shared" si="222"/>
        <v>3.2561677381747867</v>
      </c>
      <c r="G101" s="9">
        <f t="shared" si="222"/>
        <v>2.7499367319273165</v>
      </c>
      <c r="H101" s="9">
        <f t="shared" si="222"/>
        <v>2.9058923277018018</v>
      </c>
      <c r="I101" s="9">
        <f t="shared" si="222"/>
        <v>4.3163428100115135</v>
      </c>
      <c r="J101" s="9">
        <f t="shared" si="222"/>
        <v>6.1068275208160836</v>
      </c>
      <c r="K101" s="9">
        <f>IF($D$4,AD101,T101)</f>
        <v>6.1068275208160836</v>
      </c>
      <c r="L101" s="9">
        <f>IF($D$4,AD101,T101)</f>
        <v>6.1068275208160836</v>
      </c>
      <c r="M101" s="9">
        <f>IF($D$4,AG101,W101)</f>
        <v>8.5336485240763817</v>
      </c>
      <c r="N101" s="36"/>
      <c r="O101" s="9">
        <f t="shared" si="223" ref="O101:W101">(1-O$27)*O$15</f>
        <v>3.0943286138531914</v>
      </c>
      <c r="P101" s="9">
        <f t="shared" si="223"/>
        <v>3.2561677381747867</v>
      </c>
      <c r="Q101" s="9">
        <f t="shared" si="223"/>
        <v>2.7499367319273165</v>
      </c>
      <c r="R101" s="9">
        <f t="shared" si="223"/>
        <v>2.9058923277018018</v>
      </c>
      <c r="S101" s="9">
        <f t="shared" si="223"/>
        <v>4.3163428100115135</v>
      </c>
      <c r="T101" s="9">
        <f t="shared" si="223"/>
        <v>6.1068275208160836</v>
      </c>
      <c r="U101" s="9">
        <f t="shared" si="223"/>
        <v>7.3817171976732618</v>
      </c>
      <c r="V101" s="9">
        <f t="shared" si="223"/>
        <v>8.1566390058374569</v>
      </c>
      <c r="W101" s="9">
        <f t="shared" si="223"/>
        <v>8.5336485240763817</v>
      </c>
      <c r="Y101" s="9">
        <f t="shared" si="200"/>
        <v>3.0943286138531914</v>
      </c>
      <c r="Z101" s="9">
        <f t="shared" si="201"/>
        <v>3.2561677381747867</v>
      </c>
      <c r="AA101" s="9">
        <f t="shared" si="202"/>
        <v>2.7499367319273165</v>
      </c>
      <c r="AB101" s="9">
        <f t="shared" si="203"/>
        <v>2.9058923277018018</v>
      </c>
      <c r="AC101" s="9">
        <f>(1-AC$27)*AC$15</f>
        <v>4.6737742280200436</v>
      </c>
      <c r="AD101" s="9">
        <f>(1-AD$27)*AD$15</f>
        <v>7.1055838591891805</v>
      </c>
      <c r="AE101" s="9">
        <f>(1-AE$27)*AE$15</f>
        <v>8.5889785480427321</v>
      </c>
      <c r="AF101" s="9">
        <f>(1-AF$27)*AF$15</f>
        <v>9.4906368761118003</v>
      </c>
      <c r="AG101" s="9">
        <f>(1-AG$27)*AG$15</f>
        <v>10.601075622752353</v>
      </c>
    </row>
    <row r="102" spans="1:51" ht="15">
      <c r="A102" t="s">
        <v>16</v>
      </c>
      <c r="C102" t="str">
        <f>C98</f>
        <v>BRT</v>
      </c>
      <c r="D102" t="s">
        <v>39</v>
      </c>
      <c r="E102" s="237">
        <v>0.0050000000000000001</v>
      </c>
      <c r="F102" s="53">
        <f t="shared" si="224" ref="F102:J103">IF($D$4,Z102,P102)</f>
        <v>0.01</v>
      </c>
      <c r="G102" s="53">
        <f t="shared" si="224"/>
        <v>0.01</v>
      </c>
      <c r="H102" s="53">
        <f t="shared" si="224"/>
        <v>0.01</v>
      </c>
      <c r="I102" s="53">
        <f t="shared" si="224"/>
        <v>0.01</v>
      </c>
      <c r="J102" s="53">
        <f t="shared" si="224"/>
        <v>0.01</v>
      </c>
      <c r="K102" s="53">
        <f>IF($D$4,AD102,T102)</f>
        <v>0.01</v>
      </c>
      <c r="L102" s="53">
        <f>IF($D$4,AD102,T102)</f>
        <v>0.01</v>
      </c>
      <c r="M102" s="53">
        <f>IF($D$4,AG102,W102)</f>
        <v>0.01</v>
      </c>
      <c r="N102" s="203"/>
      <c r="O102" s="197">
        <f>E102</f>
        <v>0.0050000000000000001</v>
      </c>
      <c r="P102" s="197">
        <v>0.01</v>
      </c>
      <c r="Q102" s="197">
        <f>P102</f>
        <v>0.01</v>
      </c>
      <c r="R102" s="68">
        <f>Q102</f>
        <v>0.01</v>
      </c>
      <c r="S102" s="50">
        <f t="shared" si="225" ref="S102:W102">R102</f>
        <v>0.01</v>
      </c>
      <c r="T102" s="50">
        <f t="shared" si="225"/>
        <v>0.01</v>
      </c>
      <c r="U102" s="50">
        <f t="shared" si="225"/>
        <v>0.01</v>
      </c>
      <c r="V102" s="50">
        <f t="shared" si="225"/>
        <v>0.01</v>
      </c>
      <c r="W102" s="50">
        <f t="shared" si="225"/>
        <v>0.01</v>
      </c>
      <c r="X102" s="50"/>
      <c r="Y102" s="9">
        <f t="shared" si="200"/>
        <v>0.0050000000000000001</v>
      </c>
      <c r="Z102" s="9">
        <f t="shared" si="201"/>
        <v>0.01</v>
      </c>
      <c r="AA102" s="9">
        <f t="shared" si="202"/>
        <v>0.01</v>
      </c>
      <c r="AB102" s="68">
        <f>AA102</f>
        <v>0.01</v>
      </c>
      <c r="AC102" s="50">
        <f t="shared" si="226" ref="AC102:AG102">AB102</f>
        <v>0.01</v>
      </c>
      <c r="AD102" s="50">
        <f t="shared" si="226"/>
        <v>0.01</v>
      </c>
      <c r="AE102" s="50">
        <f t="shared" si="226"/>
        <v>0.01</v>
      </c>
      <c r="AF102" s="50">
        <f t="shared" si="226"/>
        <v>0.01</v>
      </c>
      <c r="AG102" s="50">
        <f t="shared" si="226"/>
        <v>0.01</v>
      </c>
      <c r="AH102" s="50"/>
      <c r="AI102" s="50"/>
      <c r="AJ102" s="50"/>
      <c r="AK102" s="50"/>
      <c r="AL102" s="50"/>
      <c r="AM102" s="50"/>
      <c r="AN102" s="50"/>
      <c r="AO102" s="50"/>
      <c r="AP102" s="50"/>
      <c r="AQ102" s="50"/>
      <c r="AR102" s="50"/>
      <c r="AS102" s="50"/>
      <c r="AT102" s="50"/>
      <c r="AU102" s="50"/>
      <c r="AV102" s="50"/>
      <c r="AW102" s="50"/>
      <c r="AX102" s="50"/>
      <c r="AY102" s="50"/>
    </row>
    <row r="103" spans="1:51" ht="15">
      <c r="A103" t="s">
        <v>16</v>
      </c>
      <c r="C103" t="str">
        <f>C99</f>
        <v>Gautrain</v>
      </c>
      <c r="D103" t="s">
        <v>39</v>
      </c>
      <c r="E103" s="237">
        <v>0.0050000000000000001</v>
      </c>
      <c r="F103" s="121">
        <f t="shared" si="224"/>
        <v>0.0050000000000000001</v>
      </c>
      <c r="G103" s="121">
        <f t="shared" si="224"/>
        <v>0.0050000000000000001</v>
      </c>
      <c r="H103" s="121">
        <f t="shared" si="224"/>
        <v>0.0050000000000000001</v>
      </c>
      <c r="I103" s="121">
        <f t="shared" si="224"/>
        <v>0.0050000000000000001</v>
      </c>
      <c r="J103" s="121">
        <f t="shared" si="224"/>
        <v>0.0050000000000000001</v>
      </c>
      <c r="K103" s="121">
        <f>IF($D$4,AD103,T103)</f>
        <v>0.0050000000000000001</v>
      </c>
      <c r="L103" s="121">
        <f>IF($D$4,AD103,T103)</f>
        <v>0.0050000000000000001</v>
      </c>
      <c r="M103" s="121">
        <f>IF($D$4,AG103,W103)</f>
        <v>0.0050000000000000001</v>
      </c>
      <c r="N103" s="203"/>
      <c r="O103" s="204">
        <f>E103</f>
        <v>0.0050000000000000001</v>
      </c>
      <c r="P103" s="204">
        <f>O103</f>
        <v>0.0050000000000000001</v>
      </c>
      <c r="Q103" s="197">
        <v>0.0050000000000000001</v>
      </c>
      <c r="R103" s="197">
        <f>AVERAGE(Q103,S103)</f>
        <v>0.0050000000000000001</v>
      </c>
      <c r="S103" s="41">
        <f>Q103</f>
        <v>0.0050000000000000001</v>
      </c>
      <c r="T103" s="41">
        <f>S103</f>
        <v>0.0050000000000000001</v>
      </c>
      <c r="U103" s="41">
        <f>S103</f>
        <v>0.0050000000000000001</v>
      </c>
      <c r="V103" s="41">
        <f>S103</f>
        <v>0.0050000000000000001</v>
      </c>
      <c r="W103" s="41">
        <f>T103</f>
        <v>0.0050000000000000001</v>
      </c>
      <c r="X103" s="50"/>
      <c r="Y103" s="9">
        <f t="shared" si="200"/>
        <v>0.0050000000000000001</v>
      </c>
      <c r="Z103" s="9">
        <f t="shared" si="201"/>
        <v>0.0050000000000000001</v>
      </c>
      <c r="AA103" s="9">
        <f t="shared" si="202"/>
        <v>0.0050000000000000001</v>
      </c>
      <c r="AB103" s="9">
        <f t="shared" si="203"/>
        <v>0.0050000000000000001</v>
      </c>
      <c r="AC103" s="61">
        <v>0.0030000000000000001</v>
      </c>
      <c r="AD103" s="61">
        <v>0.0040000000000000001</v>
      </c>
      <c r="AE103" s="61">
        <v>0.0050000000000000001</v>
      </c>
      <c r="AF103" s="61">
        <v>0.0074999999999999997</v>
      </c>
      <c r="AG103" s="61">
        <v>0.01</v>
      </c>
      <c r="AH103" s="50"/>
      <c r="AI103" s="50"/>
      <c r="AJ103" s="50"/>
      <c r="AK103" s="50"/>
      <c r="AL103" s="50"/>
      <c r="AM103" s="50"/>
      <c r="AN103" s="50"/>
      <c r="AO103" s="50"/>
      <c r="AP103" s="50"/>
      <c r="AQ103" s="50"/>
      <c r="AR103" s="50"/>
      <c r="AS103" s="50"/>
      <c r="AT103" s="50"/>
      <c r="AU103" s="50"/>
      <c r="AV103" s="50"/>
      <c r="AW103" s="50"/>
      <c r="AX103" s="50"/>
      <c r="AY103" s="50"/>
    </row>
    <row r="104" spans="1:51" ht="15">
      <c r="A104" t="s">
        <v>16</v>
      </c>
      <c r="C104" t="str">
        <f>C100</f>
        <v>Bus, minibus, metro rail</v>
      </c>
      <c r="D104" t="s">
        <v>39</v>
      </c>
      <c r="E104" s="29">
        <f t="shared" si="227" ref="E104:M104">1-SUM(E102:E103)</f>
        <v>0.98999999999999999</v>
      </c>
      <c r="F104" s="29">
        <f t="shared" si="227"/>
        <v>0.98499999999999999</v>
      </c>
      <c r="G104" s="29">
        <f t="shared" si="227"/>
        <v>0.98499999999999999</v>
      </c>
      <c r="H104" s="29">
        <f t="shared" si="227"/>
        <v>0.98499999999999999</v>
      </c>
      <c r="I104" s="29">
        <f t="shared" si="227"/>
        <v>0.98499999999999999</v>
      </c>
      <c r="J104" s="29">
        <f t="shared" si="227"/>
        <v>0.98499999999999999</v>
      </c>
      <c r="K104" s="29">
        <f t="shared" si="228" ref="K104:L104">1-SUM(K102:K103)</f>
        <v>0.98499999999999999</v>
      </c>
      <c r="L104" s="29">
        <f t="shared" si="228"/>
        <v>0.98499999999999999</v>
      </c>
      <c r="M104" s="29">
        <f t="shared" si="227"/>
        <v>0.98499999999999999</v>
      </c>
      <c r="N104" s="203"/>
      <c r="O104" s="29">
        <f t="shared" si="229" ref="O104:W104">1-SUM(O102:O103)</f>
        <v>0.98999999999999999</v>
      </c>
      <c r="P104" s="29">
        <f t="shared" si="229"/>
        <v>0.98499999999999999</v>
      </c>
      <c r="Q104" s="29">
        <f t="shared" si="229"/>
        <v>0.98499999999999999</v>
      </c>
      <c r="R104" s="29">
        <f t="shared" si="229"/>
        <v>0.98499999999999999</v>
      </c>
      <c r="S104" s="29">
        <f t="shared" si="229"/>
        <v>0.98499999999999999</v>
      </c>
      <c r="T104" s="29">
        <f t="shared" si="229"/>
        <v>0.98499999999999999</v>
      </c>
      <c r="U104" s="29">
        <f t="shared" si="230" ref="U104:V104">1-SUM(U102:U103)</f>
        <v>0.98499999999999999</v>
      </c>
      <c r="V104" s="29">
        <f t="shared" si="230"/>
        <v>0.98499999999999999</v>
      </c>
      <c r="W104" s="29">
        <f t="shared" si="229"/>
        <v>0.98499999999999999</v>
      </c>
      <c r="X104" s="50"/>
      <c r="Y104" s="29">
        <f t="shared" si="231" ref="Y104:AB104">1-SUM(Y102:Y103)</f>
        <v>0.98999999999999999</v>
      </c>
      <c r="Z104" s="29">
        <f t="shared" si="231"/>
        <v>0.98499999999999999</v>
      </c>
      <c r="AA104" s="29">
        <f t="shared" si="231"/>
        <v>0.98499999999999999</v>
      </c>
      <c r="AB104" s="29">
        <f t="shared" si="231"/>
        <v>0.98499999999999999</v>
      </c>
      <c r="AC104" s="29">
        <f>1-SUM(AC102:AC103)</f>
        <v>0.98699999999999999</v>
      </c>
      <c r="AD104" s="29">
        <f>1-SUM(AD102:AD103)</f>
        <v>0.98599999999999999</v>
      </c>
      <c r="AE104" s="29">
        <f>1-SUM(AE102:AE103)</f>
        <v>0.98499999999999999</v>
      </c>
      <c r="AF104" s="29">
        <f>1-SUM(AF102:AF103)</f>
        <v>0.98250000000000004</v>
      </c>
      <c r="AG104" s="29">
        <f>1-SUM(AG102:AG103)</f>
        <v>0.97999999999999998</v>
      </c>
      <c r="AH104" s="50"/>
      <c r="AI104" s="50"/>
      <c r="AJ104" s="50"/>
      <c r="AK104" s="50"/>
      <c r="AL104" s="50"/>
      <c r="AM104" s="50"/>
      <c r="AN104" s="50"/>
      <c r="AO104" s="50"/>
      <c r="AP104" s="50"/>
      <c r="AQ104" s="50"/>
      <c r="AR104" s="50"/>
      <c r="AS104" s="50"/>
      <c r="AT104" s="50"/>
      <c r="AU104" s="50"/>
      <c r="AV104" s="50"/>
      <c r="AW104" s="50"/>
      <c r="AX104" s="50"/>
      <c r="AY104" s="50"/>
    </row>
    <row r="105" spans="1:14" ht="15">
      <c r="A105" t="s">
        <v>16</v>
      </c>
      <c r="C105" s="23"/>
      <c r="E105" s="68"/>
      <c r="G105" s="68"/>
      <c r="I105" s="68"/>
      <c r="J105" s="68"/>
      <c r="K105" s="68"/>
      <c r="L105" s="68"/>
      <c r="M105" s="68"/>
      <c r="N105" s="36"/>
    </row>
    <row r="106" spans="1:14" ht="15.75" thickBot="1">
      <c r="A106" t="s">
        <v>16</v>
      </c>
      <c r="C106" s="6" t="s">
        <v>182</v>
      </c>
      <c r="E106" s="68"/>
      <c r="G106" s="68"/>
      <c r="I106" s="68"/>
      <c r="J106" s="68"/>
      <c r="K106" s="68"/>
      <c r="L106" s="68"/>
      <c r="M106" s="68"/>
      <c r="N106" s="36"/>
    </row>
    <row r="107" spans="1:33" ht="15">
      <c r="A107" t="s">
        <v>16</v>
      </c>
      <c r="C107" s="23" t="str">
        <f>C54</f>
        <v>Low Income</v>
      </c>
      <c r="D107" t="s">
        <v>161</v>
      </c>
      <c r="E107" s="9">
        <f t="shared" si="232" ref="E107:J111">IF($D$4,Y107,O107)</f>
        <v>0.95104494317767596</v>
      </c>
      <c r="F107" s="9">
        <f t="shared" si="232"/>
        <v>0.95811068480591965</v>
      </c>
      <c r="G107" s="9">
        <f t="shared" si="232"/>
        <v>0.99694052475857964</v>
      </c>
      <c r="H107" s="9">
        <f t="shared" si="232"/>
        <v>1.0916313300374709</v>
      </c>
      <c r="I107" s="9">
        <f t="shared" si="232"/>
        <v>0.92077097096308846</v>
      </c>
      <c r="J107" s="9">
        <f t="shared" si="232"/>
        <v>0.6923555672446644</v>
      </c>
      <c r="K107" s="9">
        <f>IF($D$4,AD107,T107)</f>
        <v>0.6923555672446644</v>
      </c>
      <c r="L107" s="9">
        <f>IF($D$4,AD107,T107)</f>
        <v>0.6923555672446644</v>
      </c>
      <c r="M107" s="9">
        <f>IF($D$4,AG107,W107)</f>
        <v>0.27862701593561351</v>
      </c>
      <c r="N107" s="36"/>
      <c r="O107" s="9">
        <f t="shared" si="233" ref="O107:W109">O25*O13*O30*O41</f>
        <v>0.95104494317767596</v>
      </c>
      <c r="P107" s="9">
        <f t="shared" si="233"/>
        <v>0.95811068480591965</v>
      </c>
      <c r="Q107" s="9">
        <f t="shared" si="233"/>
        <v>0.99694052475857964</v>
      </c>
      <c r="R107" s="9">
        <f t="shared" si="233"/>
        <v>1.0916313300374709</v>
      </c>
      <c r="S107" s="247">
        <f t="shared" si="233"/>
        <v>0.92077097096308846</v>
      </c>
      <c r="T107" s="247">
        <f t="shared" si="233"/>
        <v>0.6923555672446644</v>
      </c>
      <c r="U107" s="247">
        <f t="shared" si="234" ref="U107:V107">U25*U13*U30*U41</f>
        <v>0.53141308200133508</v>
      </c>
      <c r="V107" s="247">
        <f t="shared" si="234"/>
        <v>0.4040721606237474</v>
      </c>
      <c r="W107" s="247">
        <f t="shared" si="233"/>
        <v>0.27862701593561351</v>
      </c>
      <c r="Y107" s="9">
        <f t="shared" si="235" ref="Y107:AB111">O107</f>
        <v>0.95104494317767596</v>
      </c>
      <c r="Z107" s="9">
        <f t="shared" si="235"/>
        <v>0.95811068480591965</v>
      </c>
      <c r="AA107" s="9">
        <f t="shared" si="235"/>
        <v>0.99694052475857964</v>
      </c>
      <c r="AB107" s="9">
        <f t="shared" si="235"/>
        <v>1.0916313300374709</v>
      </c>
      <c r="AC107" s="247">
        <f t="shared" si="236" ref="AC107:AG109">AC25*AC13*AC30*AC41</f>
        <v>0.83099580129418726</v>
      </c>
      <c r="AD107" s="247">
        <f t="shared" si="236"/>
        <v>0.59360835446639404</v>
      </c>
      <c r="AE107" s="247">
        <f t="shared" si="237" ref="AE107:AF107">AE25*AE13*AE30*AE41</f>
        <v>0.4328392766218499</v>
      </c>
      <c r="AF107" s="247">
        <f t="shared" si="237"/>
        <v>0.32911930027904612</v>
      </c>
      <c r="AG107" s="247">
        <f t="shared" si="236"/>
        <v>0.2048164599233121</v>
      </c>
    </row>
    <row r="108" spans="1:33" ht="15">
      <c r="A108" t="s">
        <v>16</v>
      </c>
      <c r="C108" s="23" t="str">
        <f>C55</f>
        <v>Middle Income</v>
      </c>
      <c r="D108" t="s">
        <v>161</v>
      </c>
      <c r="E108" s="9">
        <f t="shared" si="232"/>
        <v>34.197290035069827</v>
      </c>
      <c r="F108" s="9">
        <f t="shared" si="232"/>
        <v>36.069073018912839</v>
      </c>
      <c r="G108" s="9">
        <f t="shared" si="232"/>
        <v>37.904058592062199</v>
      </c>
      <c r="H108" s="9">
        <f t="shared" si="232"/>
        <v>33.953263932035874</v>
      </c>
      <c r="I108" s="9">
        <f t="shared" si="232"/>
        <v>41.434951947348381</v>
      </c>
      <c r="J108" s="9">
        <f t="shared" si="232"/>
        <v>48.342421712663658</v>
      </c>
      <c r="K108" s="9">
        <f>IF($D$4,AD108,T108)</f>
        <v>48.342421712663658</v>
      </c>
      <c r="L108" s="9">
        <f>IF($D$4,AD108,T108)</f>
        <v>48.342421712663658</v>
      </c>
      <c r="M108" s="9">
        <f>IF($D$4,AG108,W108)</f>
        <v>63.116657178618453</v>
      </c>
      <c r="N108" s="36"/>
      <c r="O108" s="9">
        <f t="shared" si="233"/>
        <v>34.197290035069827</v>
      </c>
      <c r="P108" s="9">
        <f t="shared" si="233"/>
        <v>36.069073018912839</v>
      </c>
      <c r="Q108" s="9">
        <f t="shared" si="233"/>
        <v>37.904058592062199</v>
      </c>
      <c r="R108" s="9">
        <f t="shared" si="233"/>
        <v>33.953263932035874</v>
      </c>
      <c r="S108" s="247">
        <f t="shared" si="233"/>
        <v>41.434951947348381</v>
      </c>
      <c r="T108" s="247">
        <f t="shared" si="233"/>
        <v>48.342421712663658</v>
      </c>
      <c r="U108" s="247">
        <f t="shared" si="238" ref="U108:V108">U26*U14*U31*U42</f>
        <v>53.595928441747766</v>
      </c>
      <c r="V108" s="247">
        <f t="shared" si="238"/>
        <v>57.993066631593244</v>
      </c>
      <c r="W108" s="247">
        <f t="shared" si="233"/>
        <v>63.116657178618453</v>
      </c>
      <c r="Y108" s="9">
        <f t="shared" si="235"/>
        <v>34.197290035069827</v>
      </c>
      <c r="Z108" s="9">
        <f t="shared" si="235"/>
        <v>36.069073018912839</v>
      </c>
      <c r="AA108" s="9">
        <f t="shared" si="235"/>
        <v>37.904058592062199</v>
      </c>
      <c r="AB108" s="9">
        <f t="shared" si="235"/>
        <v>33.953263932035874</v>
      </c>
      <c r="AC108" s="247">
        <f t="shared" si="236"/>
        <v>35.5252919258578</v>
      </c>
      <c r="AD108" s="247">
        <f t="shared" si="236"/>
        <v>37.406444393845227</v>
      </c>
      <c r="AE108" s="247">
        <f t="shared" si="239" ref="AE108:AF108">AE26*AE14*AE31*AE42</f>
        <v>41.471507755838481</v>
      </c>
      <c r="AF108" s="247">
        <f t="shared" si="239"/>
        <v>44.873929466694165</v>
      </c>
      <c r="AG108" s="247">
        <f t="shared" si="236"/>
        <v>44.076715712592559</v>
      </c>
    </row>
    <row r="109" spans="1:33" ht="15">
      <c r="A109" t="s">
        <v>16</v>
      </c>
      <c r="C109" s="23" t="str">
        <f>C56</f>
        <v>High Income</v>
      </c>
      <c r="D109" t="s">
        <v>161</v>
      </c>
      <c r="E109" s="9">
        <f t="shared" si="232"/>
        <v>54.704085477855955</v>
      </c>
      <c r="F109" s="9">
        <f t="shared" si="232"/>
        <v>57.565210586195825</v>
      </c>
      <c r="G109" s="9">
        <f t="shared" si="232"/>
        <v>48.165244164109204</v>
      </c>
      <c r="H109" s="9">
        <f t="shared" si="232"/>
        <v>53.321527211550141</v>
      </c>
      <c r="I109" s="9">
        <f t="shared" si="232"/>
        <v>83.560380209691374</v>
      </c>
      <c r="J109" s="9">
        <f t="shared" si="232"/>
        <v>133.84316080824163</v>
      </c>
      <c r="K109" s="9">
        <f>IF($D$4,AD109,T109)</f>
        <v>133.84316080824163</v>
      </c>
      <c r="L109" s="9">
        <f>IF($D$4,AD109,T109)</f>
        <v>133.84316080824163</v>
      </c>
      <c r="M109" s="9">
        <f>IF($D$4,AG109,W109)</f>
        <v>224.1694878313273</v>
      </c>
      <c r="N109" s="36"/>
      <c r="O109" s="9">
        <f t="shared" si="233"/>
        <v>54.704085477855955</v>
      </c>
      <c r="P109" s="9">
        <f t="shared" si="233"/>
        <v>57.565210586195825</v>
      </c>
      <c r="Q109" s="9">
        <f t="shared" si="233"/>
        <v>48.165244164109204</v>
      </c>
      <c r="R109" s="9">
        <f t="shared" si="233"/>
        <v>53.321527211550141</v>
      </c>
      <c r="S109" s="247">
        <f t="shared" si="233"/>
        <v>83.560380209691374</v>
      </c>
      <c r="T109" s="247">
        <f t="shared" si="233"/>
        <v>133.84316080824163</v>
      </c>
      <c r="U109" s="247">
        <f t="shared" si="240" ref="U109:V109">U27*U15*U32*U43</f>
        <v>196.97381163254957</v>
      </c>
      <c r="V109" s="247">
        <f t="shared" si="240"/>
        <v>217.65183250273427</v>
      </c>
      <c r="W109" s="247">
        <f t="shared" si="233"/>
        <v>224.1694878313273</v>
      </c>
      <c r="Y109" s="9">
        <f t="shared" si="235"/>
        <v>54.704085477855955</v>
      </c>
      <c r="Z109" s="9">
        <f t="shared" si="235"/>
        <v>57.565210586195825</v>
      </c>
      <c r="AA109" s="9">
        <f t="shared" si="235"/>
        <v>48.165244164109204</v>
      </c>
      <c r="AB109" s="9">
        <f t="shared" si="235"/>
        <v>53.321527211550141</v>
      </c>
      <c r="AC109" s="247">
        <f t="shared" si="236"/>
        <v>77.448721775916908</v>
      </c>
      <c r="AD109" s="247">
        <f t="shared" si="236"/>
        <v>117.92863257374796</v>
      </c>
      <c r="AE109" s="247">
        <f t="shared" si="241" ref="AE109:AF109">AE27*AE15*AE32*AE43</f>
        <v>173.55277713402012</v>
      </c>
      <c r="AF109" s="247">
        <f t="shared" si="241"/>
        <v>191.77209226993514</v>
      </c>
      <c r="AG109" s="247">
        <f t="shared" si="236"/>
        <v>187.76247852666555</v>
      </c>
    </row>
    <row r="110" spans="1:33" ht="15">
      <c r="A110" t="s">
        <v>16</v>
      </c>
      <c r="C110" s="23" t="str">
        <f>C57</f>
        <v>Other (gov/company/car rental)</v>
      </c>
      <c r="D110" t="s">
        <v>161</v>
      </c>
      <c r="E110" s="9">
        <f t="shared" si="232"/>
        <v>11.069999999999999</v>
      </c>
      <c r="F110" s="9">
        <f t="shared" si="232"/>
        <v>11.17821196363794</v>
      </c>
      <c r="G110" s="9">
        <f t="shared" si="232"/>
        <v>10.819193604037091</v>
      </c>
      <c r="H110" s="9">
        <f t="shared" si="232"/>
        <v>11.098234416104777</v>
      </c>
      <c r="I110" s="9">
        <f t="shared" si="232"/>
        <v>12.235063139218653</v>
      </c>
      <c r="J110" s="9">
        <f t="shared" si="232"/>
        <v>14.607866897778857</v>
      </c>
      <c r="K110" s="9">
        <f>IF($D$4,AD110,T110)</f>
        <v>14.607866897778857</v>
      </c>
      <c r="L110" s="9">
        <f>IF($D$4,AD110,T110)</f>
        <v>14.607866897778857</v>
      </c>
      <c r="M110" s="9">
        <f>IF($D$4,AG110,W110)</f>
        <v>17.131628203719071</v>
      </c>
      <c r="N110" s="37"/>
      <c r="O110" s="9">
        <f t="shared" si="242" ref="O110:W110">O50</f>
        <v>11.069999999999999</v>
      </c>
      <c r="P110" s="9">
        <f t="shared" si="242"/>
        <v>11.17821196363794</v>
      </c>
      <c r="Q110" s="9">
        <f t="shared" si="242"/>
        <v>10.819193604037091</v>
      </c>
      <c r="R110" s="9">
        <f t="shared" si="242"/>
        <v>11.098234416104777</v>
      </c>
      <c r="S110" s="247">
        <f t="shared" si="242"/>
        <v>12.235063139218653</v>
      </c>
      <c r="T110" s="247">
        <f t="shared" si="242"/>
        <v>14.607866897778857</v>
      </c>
      <c r="U110" s="247">
        <f t="shared" si="243" ref="U110:V110">U50</f>
        <v>17.541571034821558</v>
      </c>
      <c r="V110" s="247">
        <f t="shared" si="243"/>
        <v>17.541571034821558</v>
      </c>
      <c r="W110" s="247">
        <f t="shared" si="242"/>
        <v>17.131628203719071</v>
      </c>
      <c r="Y110" s="9">
        <f t="shared" si="235"/>
        <v>11.069999999999999</v>
      </c>
      <c r="Z110" s="9">
        <f t="shared" si="235"/>
        <v>11.17821196363794</v>
      </c>
      <c r="AA110" s="9">
        <f t="shared" si="235"/>
        <v>10.819193604037091</v>
      </c>
      <c r="AB110" s="9">
        <f t="shared" si="235"/>
        <v>11.098234416104777</v>
      </c>
      <c r="AC110" s="247">
        <f>AC50</f>
        <v>11.957055053890461</v>
      </c>
      <c r="AD110" s="247">
        <f>AD50</f>
        <v>13.466861577673999</v>
      </c>
      <c r="AE110" s="247">
        <f>AE50</f>
        <v>14.691898973850227</v>
      </c>
      <c r="AF110" s="247">
        <f>AF50</f>
        <v>14.691898973850227</v>
      </c>
      <c r="AG110" s="247">
        <f>AG50</f>
        <v>14.491270302312477</v>
      </c>
    </row>
    <row r="111" spans="1:33" ht="15">
      <c r="A111" t="s">
        <v>16</v>
      </c>
      <c r="C111" s="23" t="s">
        <v>5</v>
      </c>
      <c r="D111" t="s">
        <v>161</v>
      </c>
      <c r="E111" s="9">
        <f t="shared" si="232"/>
        <v>100.92242045610345</v>
      </c>
      <c r="F111" s="9">
        <f t="shared" si="232"/>
        <v>105.77060625355251</v>
      </c>
      <c r="G111" s="9">
        <f t="shared" si="232"/>
        <v>97.885436884967078</v>
      </c>
      <c r="H111" s="9">
        <f t="shared" si="232"/>
        <v>99.464656889728261</v>
      </c>
      <c r="I111" s="9">
        <f t="shared" si="232"/>
        <v>138.1511662672215</v>
      </c>
      <c r="J111" s="9">
        <f t="shared" si="232"/>
        <v>197.48580498592881</v>
      </c>
      <c r="K111" s="9">
        <f>IF($D$4,AD111,T111)</f>
        <v>197.48580498592881</v>
      </c>
      <c r="L111" s="9">
        <f>IF($D$4,AD111,T111)</f>
        <v>197.48580498592881</v>
      </c>
      <c r="M111" s="9">
        <f>IF($D$4,AG111,W111)</f>
        <v>304.69640022960044</v>
      </c>
      <c r="N111" s="36"/>
      <c r="O111" s="9">
        <f t="shared" si="244" ref="O111:W111">SUM(O107:O110)</f>
        <v>100.92242045610345</v>
      </c>
      <c r="P111" s="9">
        <f t="shared" si="244"/>
        <v>105.77060625355251</v>
      </c>
      <c r="Q111" s="9">
        <f t="shared" si="244"/>
        <v>97.885436884967078</v>
      </c>
      <c r="R111" s="9">
        <f t="shared" si="244"/>
        <v>99.464656889728261</v>
      </c>
      <c r="S111" s="247">
        <f t="shared" si="244"/>
        <v>138.1511662672215</v>
      </c>
      <c r="T111" s="247">
        <f t="shared" si="244"/>
        <v>197.48580498592881</v>
      </c>
      <c r="U111" s="247">
        <f t="shared" si="245" ref="U111:V111">SUM(U107:U110)</f>
        <v>268.64272419112024</v>
      </c>
      <c r="V111" s="247">
        <f t="shared" si="245"/>
        <v>293.5905423297728</v>
      </c>
      <c r="W111" s="247">
        <f t="shared" si="244"/>
        <v>304.69640022960044</v>
      </c>
      <c r="Y111" s="9">
        <f t="shared" si="235"/>
        <v>100.92242045610345</v>
      </c>
      <c r="Z111" s="9">
        <f t="shared" si="235"/>
        <v>105.77060625355251</v>
      </c>
      <c r="AA111" s="9">
        <f t="shared" si="235"/>
        <v>97.885436884967078</v>
      </c>
      <c r="AB111" s="9">
        <f t="shared" si="235"/>
        <v>99.464656889728261</v>
      </c>
      <c r="AC111" s="247">
        <f>SUM(AC107:AC110)</f>
        <v>125.76206455695936</v>
      </c>
      <c r="AD111" s="247">
        <f>SUM(AD107:AD110)</f>
        <v>169.39554689973357</v>
      </c>
      <c r="AE111" s="247">
        <f>SUM(AE107:AE110)</f>
        <v>230.14902314033066</v>
      </c>
      <c r="AF111" s="247">
        <f>SUM(AF107:AF110)</f>
        <v>251.66704001075857</v>
      </c>
      <c r="AG111" s="247">
        <f>SUM(AG107:AG110)</f>
        <v>246.5352810014939</v>
      </c>
    </row>
    <row r="112" spans="1:15" ht="15">
      <c r="A112" t="s">
        <v>16</v>
      </c>
      <c r="C112" s="23"/>
      <c r="E112" s="198">
        <f t="shared" si="246" ref="E112:J112">SUM(E149:E151)</f>
        <v>104.81558613918145</v>
      </c>
      <c r="F112" s="198">
        <f t="shared" si="246"/>
        <v>105.77060625355251</v>
      </c>
      <c r="G112" s="198">
        <f t="shared" si="246"/>
        <v>97.885436884967078</v>
      </c>
      <c r="H112" s="198">
        <f t="shared" si="246"/>
        <v>99.464656889728246</v>
      </c>
      <c r="I112" s="198">
        <f t="shared" si="246"/>
        <v>138.15116626722147</v>
      </c>
      <c r="J112" s="198">
        <f t="shared" si="246"/>
        <v>197.48580498592881</v>
      </c>
      <c r="K112" s="198">
        <f>SUM(K149:K151)</f>
        <v>268.64272419112024</v>
      </c>
      <c r="L112" s="198">
        <f>SUM(L149:L151)</f>
        <v>293.5905423297728</v>
      </c>
      <c r="M112" s="198">
        <f>SUM(M149:M151)</f>
        <v>304.69640022960044</v>
      </c>
      <c r="N112" s="36"/>
      <c r="O112">
        <v>104.81558613918145</v>
      </c>
    </row>
    <row r="113" spans="1:23" ht="15.75" thickBot="1">
      <c r="A113" t="s">
        <v>16</v>
      </c>
      <c r="C113" s="6" t="s">
        <v>170</v>
      </c>
      <c r="E113" s="241">
        <f t="shared" si="247" ref="E113:M113">E$12</f>
        <v>2017</v>
      </c>
      <c r="F113" s="241">
        <f t="shared" si="247"/>
        <v>2019</v>
      </c>
      <c r="G113" s="241">
        <f t="shared" si="247"/>
        <v>2020</v>
      </c>
      <c r="H113" s="241">
        <f t="shared" si="247"/>
        <v>2021</v>
      </c>
      <c r="I113" s="241">
        <f t="shared" si="247"/>
        <v>2030</v>
      </c>
      <c r="J113" s="241">
        <f t="shared" si="247"/>
        <v>2040</v>
      </c>
      <c r="K113" s="241">
        <f t="shared" si="247"/>
        <v>2050</v>
      </c>
      <c r="L113" s="241">
        <f t="shared" si="247"/>
        <v>2060</v>
      </c>
      <c r="M113" s="241">
        <f t="shared" si="247"/>
        <v>2070</v>
      </c>
      <c r="N113" s="36"/>
      <c r="O113" s="241">
        <f t="shared" si="149"/>
        <v>2017</v>
      </c>
      <c r="P113" s="241">
        <f t="shared" si="149"/>
        <v>2019</v>
      </c>
      <c r="Q113" s="241">
        <f t="shared" si="149"/>
        <v>2020</v>
      </c>
      <c r="R113" s="241">
        <f t="shared" si="149"/>
        <v>2021</v>
      </c>
      <c r="S113" s="241">
        <f t="shared" si="149"/>
        <v>2030</v>
      </c>
      <c r="T113" s="241">
        <f t="shared" si="149"/>
        <v>2040</v>
      </c>
      <c r="U113" s="241">
        <f t="shared" si="149"/>
        <v>2050</v>
      </c>
      <c r="V113" s="241">
        <f t="shared" si="149"/>
        <v>2060</v>
      </c>
      <c r="W113" s="241">
        <f t="shared" si="149"/>
        <v>2070</v>
      </c>
    </row>
    <row r="114" spans="1:14" ht="15">
      <c r="A114" t="s">
        <v>16</v>
      </c>
      <c r="C114" s="34" t="str">
        <f>C93</f>
        <v>Low Income</v>
      </c>
      <c r="E114" s="9"/>
      <c r="F114" s="9"/>
      <c r="G114" s="9"/>
      <c r="H114" s="9"/>
      <c r="I114" s="9"/>
      <c r="J114" s="9"/>
      <c r="K114" s="9"/>
      <c r="L114" s="9"/>
      <c r="M114" s="9"/>
      <c r="N114" s="36"/>
    </row>
    <row r="115" spans="1:51" ht="15">
      <c r="A115" t="s">
        <v>16</v>
      </c>
      <c r="C115" t="s">
        <v>54</v>
      </c>
      <c r="D115" t="s">
        <v>124</v>
      </c>
      <c r="E115" s="9">
        <f t="shared" si="248" ref="E115">E$64*(1-E$73)*E68*(E75*E78+E93*E94)/1000</f>
        <v>0.61672823758459472</v>
      </c>
      <c r="F115" s="9">
        <f t="shared" si="249" ref="F115:H115">F$64*(1-F$73)*F68*(F75*F78+F93*F94)/1000</f>
        <v>1.2301941755901284</v>
      </c>
      <c r="G115" s="9">
        <f t="shared" si="249"/>
        <v>1.2800508818208238</v>
      </c>
      <c r="H115" s="9">
        <f t="shared" si="249"/>
        <v>1.4016319047478645</v>
      </c>
      <c r="I115" s="9">
        <f>I$64*(1-I$73)*I68*(I75*I78+I93*I94)/1000</f>
        <v>1.1822507602665033</v>
      </c>
      <c r="J115" s="9">
        <f>J$64*(1-J$73)*J68*(J75*J78+J93*J94)/1000</f>
        <v>0.88897013650809797</v>
      </c>
      <c r="K115" s="9">
        <f>K$64*(1-K$73)*K68*(K75*K78+K93*K94)/1000</f>
        <v>0.88897013650809797</v>
      </c>
      <c r="L115" s="9">
        <f>L$64*(1-L$73)*L68*(L75*L78+L93*L94)/1000</f>
        <v>0.88897013650809797</v>
      </c>
      <c r="M115" s="9">
        <f>M$64*(1-M$73)*M68*(M75*M78+M93*M94)/1000</f>
        <v>0.35775128865772132</v>
      </c>
      <c r="N115" s="203"/>
      <c r="O115" s="9">
        <f t="shared" si="250" ref="O115:R115">O$64*(1-O$73)*O68*(O75*O78+O93*O94)/1000</f>
        <v>0.61672823758459472</v>
      </c>
      <c r="P115" s="9">
        <f t="shared" si="250"/>
        <v>1.2301941755901284</v>
      </c>
      <c r="Q115" s="9">
        <f t="shared" si="250"/>
        <v>1.2800508818208238</v>
      </c>
      <c r="R115" s="9">
        <f t="shared" si="250"/>
        <v>1.4016319047478645</v>
      </c>
      <c r="S115" s="247">
        <f>S$64*(1-S$73)*S68*(S75*S78+S93*S94)/1000</f>
        <v>1.1822507602665033</v>
      </c>
      <c r="T115" s="247">
        <f>T$64*(1-T$73)*T68*(T75*T78+T93*T94)/1000</f>
        <v>0.88897013650809797</v>
      </c>
      <c r="U115" s="247">
        <f>U$64*(1-U$73)*U68*(U75*U78+U93*U94)/1000</f>
        <v>0.68232333557877733</v>
      </c>
      <c r="V115" s="247">
        <f>V$64*(1-V$73)*V68*(V75*V78+V93*V94)/1000</f>
        <v>0.5188202432145359</v>
      </c>
      <c r="W115" s="247">
        <f>W$64*(1-W$73)*W68*(W75*W78+W93*W94)/1000</f>
        <v>0.35775128865772132</v>
      </c>
      <c r="X115" s="50"/>
      <c r="Y115" s="9">
        <f t="shared" si="251" ref="Y115:AB117">O115</f>
        <v>0.61672823758459472</v>
      </c>
      <c r="Z115" s="9">
        <f t="shared" si="251"/>
        <v>1.2301941755901284</v>
      </c>
      <c r="AA115" s="9">
        <f t="shared" si="251"/>
        <v>1.2800508818208238</v>
      </c>
      <c r="AB115" s="9">
        <f t="shared" si="251"/>
        <v>1.4016319047478645</v>
      </c>
      <c r="AC115" s="247">
        <f>AC$64*(1-AC$73)*AC68*(AC75*AC78+AC93*AC94)/1000</f>
        <v>1.0392809008854376</v>
      </c>
      <c r="AD115" s="247">
        <f>AD$64*(1-AD$73)*AD68*(AD75*AD78+AD93*AD94)/1000</f>
        <v>0.78146677116293251</v>
      </c>
      <c r="AE115" s="247">
        <f>AE$64*(1-AE$73)*AE68*(AE75*AE78+AE93*AE94)/1000</f>
        <v>0.59980981592739024</v>
      </c>
      <c r="AF115" s="247">
        <f>AF$64*(1-AF$73)*AF68*(AF75*AF78+AF93*AF94)/1000</f>
        <v>0.45607919054673152</v>
      </c>
      <c r="AG115" s="247">
        <f>AG$64*(1-AG$73)*AG68*(AG75*AG78+AG93*AG94)/1000</f>
        <v>0.31448834212236892</v>
      </c>
      <c r="AH115" s="50"/>
      <c r="AI115" s="50"/>
      <c r="AJ115" s="50"/>
      <c r="AK115" s="50"/>
      <c r="AL115" s="50"/>
      <c r="AM115" s="50"/>
      <c r="AN115" s="50"/>
      <c r="AO115" s="50"/>
      <c r="AP115" s="50"/>
      <c r="AQ115" s="50"/>
      <c r="AR115" s="50"/>
      <c r="AS115" s="50"/>
      <c r="AT115" s="50"/>
      <c r="AU115" s="50"/>
      <c r="AV115" s="50"/>
      <c r="AW115" s="50"/>
      <c r="AX115" s="50"/>
      <c r="AY115" s="50"/>
    </row>
    <row r="116" spans="1:51" ht="15">
      <c r="A116" t="s">
        <v>16</v>
      </c>
      <c r="C116" t="s">
        <v>71</v>
      </c>
      <c r="D116" t="s">
        <v>124</v>
      </c>
      <c r="E116" s="9">
        <f t="shared" si="252" ref="E116">E$64*(1-E$73)*E69*(E75*E79+E93*E95)/1000</f>
        <v>0</v>
      </c>
      <c r="F116" s="9">
        <f t="shared" si="253" ref="F116:H116">F$64*(1-F$73)*F69*(F75*F79+F93*F95)/1000</f>
        <v>0.016568271725119574</v>
      </c>
      <c r="G116" s="9">
        <f t="shared" si="253"/>
        <v>0.017239742516105373</v>
      </c>
      <c r="H116" s="9">
        <f t="shared" si="253"/>
        <v>0.01887719737034161</v>
      </c>
      <c r="I116" s="9">
        <f>I$64*(1-I$73)*I69*(I75*I79+I93*I95)/1000</f>
        <v>0.015922569161838429</v>
      </c>
      <c r="J116" s="9">
        <f>J$64*(1-J$73)*J69*(J75*J79+J93*J95)/1000</f>
        <v>0.011972661771152837</v>
      </c>
      <c r="K116" s="9">
        <f>K$64*(1-K$73)*K69*(K75*K79+K93*K95)/1000</f>
        <v>0.011972661771152837</v>
      </c>
      <c r="L116" s="9">
        <f>L$64*(1-L$73)*L69*(L75*L79+L93*L95)/1000</f>
        <v>0.011972661771152837</v>
      </c>
      <c r="M116" s="9">
        <f>M$64*(1-M$73)*M69*(M75*M79+M93*M95)/1000</f>
        <v>0.0048181991738413654</v>
      </c>
      <c r="N116" s="203"/>
      <c r="O116" s="9">
        <f t="shared" si="254" ref="O116:R116">O$64*(1-O$73)*O69*(O75*O79+O93*O95)/1000</f>
        <v>0</v>
      </c>
      <c r="P116" s="9">
        <f t="shared" si="254"/>
        <v>0.016568271725119574</v>
      </c>
      <c r="Q116" s="9">
        <f t="shared" si="254"/>
        <v>0.017239742516105373</v>
      </c>
      <c r="R116" s="9">
        <f t="shared" si="254"/>
        <v>0.01887719737034161</v>
      </c>
      <c r="S116" s="247">
        <f>S$64*(1-S$73)*S69*(S75*S79+S93*S95)/1000</f>
        <v>0.015922569161838429</v>
      </c>
      <c r="T116" s="247">
        <f>T$64*(1-T$73)*T69*(T75*T79+T93*T95)/1000</f>
        <v>0.011972661771152837</v>
      </c>
      <c r="U116" s="247">
        <f>U$64*(1-U$73)*U69*(U75*U79+U93*U95)/1000</f>
        <v>0.0091895398731148478</v>
      </c>
      <c r="V116" s="247">
        <f>V$64*(1-V$73)*V69*(V75*V79+V93*V95)/1000</f>
        <v>0.0069874780230913952</v>
      </c>
      <c r="W116" s="247">
        <f>W$64*(1-W$73)*W69*(W75*W79+W93*W95)/1000</f>
        <v>0.0048181991738413654</v>
      </c>
      <c r="X116" s="50"/>
      <c r="Y116" s="9">
        <f t="shared" si="251"/>
        <v>0</v>
      </c>
      <c r="Z116" s="9">
        <f t="shared" si="251"/>
        <v>0.016568271725119574</v>
      </c>
      <c r="AA116" s="9">
        <f t="shared" si="251"/>
        <v>0.017239742516105373</v>
      </c>
      <c r="AB116" s="9">
        <f t="shared" si="251"/>
        <v>0.01887719737034161</v>
      </c>
      <c r="AC116" s="247">
        <f>AC$64*(1-AC$73)*AC69*(AC75*AC79+AC93*AC95)/1000</f>
        <v>0</v>
      </c>
      <c r="AD116" s="247">
        <f>AD$64*(1-AD$73)*AD69*(AD75*AD79+AD93*AD95)/1000</f>
        <v>0</v>
      </c>
      <c r="AE116" s="247">
        <f>AE$64*(1-AE$73)*AE69*(AE75*AE79+AE93*AE95)/1000</f>
        <v>0</v>
      </c>
      <c r="AF116" s="247">
        <f>AF$64*(1-AF$73)*AF69*(AF75*AF79+AF93*AF95)/1000</f>
        <v>0</v>
      </c>
      <c r="AG116" s="247">
        <f>AG$64*(1-AG$73)*AG69*(AG75*AG79+AG93*AG95)/1000</f>
        <v>0</v>
      </c>
      <c r="AH116" s="50"/>
      <c r="AI116" s="50"/>
      <c r="AJ116" s="50"/>
      <c r="AK116" s="50"/>
      <c r="AL116" s="50"/>
      <c r="AM116" s="50"/>
      <c r="AN116" s="50"/>
      <c r="AO116" s="50"/>
      <c r="AP116" s="50"/>
      <c r="AQ116" s="50"/>
      <c r="AR116" s="50"/>
      <c r="AS116" s="50"/>
      <c r="AT116" s="50"/>
      <c r="AU116" s="50"/>
      <c r="AV116" s="50"/>
      <c r="AW116" s="50"/>
      <c r="AX116" s="50"/>
      <c r="AY116" s="50"/>
    </row>
    <row r="117" spans="1:51" ht="15">
      <c r="A117" t="s">
        <v>16</v>
      </c>
      <c r="C117" t="s">
        <v>70</v>
      </c>
      <c r="D117" t="s">
        <v>124</v>
      </c>
      <c r="E117" s="9">
        <f t="shared" si="255" ref="E117">E$64*(1-E$73)*E70*(E75*E80+E93*E96)/1000</f>
        <v>81.434745079098278</v>
      </c>
      <c r="F117" s="9">
        <f t="shared" si="256" ref="F117:H117">F$64*(1-F$73)*F70*(F75*F80+F93*F96)/1000</f>
        <v>71.754556525225468</v>
      </c>
      <c r="G117" s="9">
        <f t="shared" si="256"/>
        <v>74.662590001872275</v>
      </c>
      <c r="H117" s="9">
        <f t="shared" si="256"/>
        <v>81.754147217080316</v>
      </c>
      <c r="I117" s="9">
        <f>I$64*(1-I$73)*I70*(I75*I80+I93*I96)/1000</f>
        <v>68.95812115501154</v>
      </c>
      <c r="J117" s="9">
        <f>J$64*(1-J$73)*J70*(J75*J80+J93*J96)/1000</f>
        <v>51.851698841533356</v>
      </c>
      <c r="K117" s="9">
        <f>K$64*(1-K$73)*K70*(K75*K80+K93*K96)/1000</f>
        <v>51.851698841533356</v>
      </c>
      <c r="L117" s="9">
        <f>L$64*(1-L$73)*L70*(L75*L80+L93*L96)/1000</f>
        <v>51.851698841533356</v>
      </c>
      <c r="M117" s="9">
        <f>M$64*(1-M$73)*M70*(M75*M80+M93*M96)/1000</f>
        <v>20.866856284414286</v>
      </c>
      <c r="N117" s="203"/>
      <c r="O117" s="9">
        <f t="shared" si="257" ref="O117:R117">O$64*(1-O$73)*O70*(O75*O80+O93*O96)/1000</f>
        <v>71.586822418370105</v>
      </c>
      <c r="P117" s="9">
        <f t="shared" si="257"/>
        <v>71.754556525225468</v>
      </c>
      <c r="Q117" s="9">
        <f t="shared" si="257"/>
        <v>74.662590001872275</v>
      </c>
      <c r="R117" s="9">
        <f t="shared" si="257"/>
        <v>81.754147217080316</v>
      </c>
      <c r="S117" s="247">
        <f>S$64*(1-S$73)*S70*(S75*S80+S93*S96)/1000</f>
        <v>68.95812115501154</v>
      </c>
      <c r="T117" s="247">
        <f>T$64*(1-T$73)*T70*(T75*T80+T93*T96)/1000</f>
        <v>51.851698841533356</v>
      </c>
      <c r="U117" s="247">
        <f>U$64*(1-U$73)*U70*(U75*U80+U93*U96)/1000</f>
        <v>39.798439403097959</v>
      </c>
      <c r="V117" s="247">
        <f>V$64*(1-V$73)*V70*(V75*V80+V93*V96)/1000</f>
        <v>30.261658855855327</v>
      </c>
      <c r="W117" s="247">
        <f>W$64*(1-W$73)*W70*(W75*W80+W93*W96)/1000</f>
        <v>20.866856284414286</v>
      </c>
      <c r="X117" s="50"/>
      <c r="Y117" s="9">
        <f t="shared" si="251"/>
        <v>71.586822418370105</v>
      </c>
      <c r="Z117" s="9">
        <f t="shared" si="251"/>
        <v>71.754556525225468</v>
      </c>
      <c r="AA117" s="9">
        <f t="shared" si="251"/>
        <v>74.662590001872275</v>
      </c>
      <c r="AB117" s="9">
        <f t="shared" si="251"/>
        <v>81.754147217080316</v>
      </c>
      <c r="AC117" s="247">
        <f>AC$64*(1-AC$73)*AC70*(AC75*AC80+AC93*AC96)/1000</f>
        <v>68.997028722738349</v>
      </c>
      <c r="AD117" s="247">
        <f>AD$64*(1-AD$73)*AD70*(AD75*AD80+AD93*AD96)/1000</f>
        <v>51.892059245899951</v>
      </c>
      <c r="AE117" s="247">
        <f>AE$64*(1-AE$73)*AE70*(AE75*AE80+AE93*AE96)/1000</f>
        <v>39.837514893621218</v>
      </c>
      <c r="AF117" s="247">
        <f>AF$64*(1-AF$73)*AF70*(AF75*AF80+AF93*AF96)/1000</f>
        <v>30.291370803900914</v>
      </c>
      <c r="AG117" s="247">
        <f>AG$64*(1-AG$73)*AG70*(AG75*AG80+AG93*AG96)/1000</f>
        <v>20.895208746264874</v>
      </c>
      <c r="AH117" s="50"/>
      <c r="AI117" s="50"/>
      <c r="AJ117" s="50"/>
      <c r="AK117" s="50"/>
      <c r="AL117" s="50"/>
      <c r="AM117" s="50"/>
      <c r="AN117" s="50"/>
      <c r="AO117" s="50"/>
      <c r="AP117" s="50"/>
      <c r="AQ117" s="50"/>
      <c r="AR117" s="50"/>
      <c r="AS117" s="50"/>
      <c r="AT117" s="50"/>
      <c r="AU117" s="50"/>
      <c r="AV117" s="50"/>
      <c r="AW117" s="50"/>
      <c r="AX117" s="50"/>
      <c r="AY117" s="50"/>
    </row>
    <row r="118" spans="1:33" ht="15">
      <c r="A118" t="s">
        <v>16</v>
      </c>
      <c r="C118" s="34" t="str">
        <f>C97</f>
        <v>Middle Income</v>
      </c>
      <c r="E118" s="9"/>
      <c r="F118" s="9"/>
      <c r="G118" s="9"/>
      <c r="H118" s="9"/>
      <c r="I118" s="9"/>
      <c r="J118" s="9"/>
      <c r="K118" s="9"/>
      <c r="L118" s="9"/>
      <c r="M118" s="9"/>
      <c r="N118" s="36"/>
      <c r="O118" s="9"/>
      <c r="P118" s="9"/>
      <c r="Q118" s="9"/>
      <c r="R118" s="9"/>
      <c r="S118" s="9"/>
      <c r="T118" s="9"/>
      <c r="U118" s="9"/>
      <c r="V118" s="9"/>
      <c r="W118" s="9"/>
      <c r="AA118" s="9"/>
      <c r="AC118" s="9"/>
      <c r="AD118" s="9"/>
      <c r="AE118" s="9"/>
      <c r="AF118" s="9"/>
      <c r="AG118" s="9"/>
    </row>
    <row r="119" spans="1:51" ht="15">
      <c r="A119" t="s">
        <v>16</v>
      </c>
      <c r="C119" t="str">
        <f>C115</f>
        <v>BRT</v>
      </c>
      <c r="D119" t="s">
        <v>124</v>
      </c>
      <c r="E119" s="9">
        <f t="shared" si="258" ref="E119">E$64*(1-E$73)*E68*(E81*E83+E97*E98)/1000</f>
        <v>0.63831372590005553</v>
      </c>
      <c r="F119" s="9">
        <f t="shared" si="259" ref="F119:H119">F$64*(1-F$73)*F68*(F81*F83+F97*F98)/1000</f>
        <v>0.88006760986958676</v>
      </c>
      <c r="G119" s="9">
        <f t="shared" si="259"/>
        <v>0.92484035372856965</v>
      </c>
      <c r="H119" s="9">
        <f t="shared" si="259"/>
        <v>0.82844291064175291</v>
      </c>
      <c r="I119" s="9">
        <f>I$64*(1-I$73)*I68*(I81*I83+I97*I98)/1000</f>
        <v>1.0109924118716145</v>
      </c>
      <c r="J119" s="9">
        <f>J$64*(1-J$73)*J68*(J81*J83+J97*J98)/1000</f>
        <v>1.179531270727785</v>
      </c>
      <c r="K119" s="9">
        <f>K$64*(1-K$73)*K68*(K81*K83+K97*K98)/1000</f>
        <v>1.179531270727785</v>
      </c>
      <c r="L119" s="9">
        <f>L$64*(1-L$73)*L68*(L81*L83+L97*L98)/1000</f>
        <v>1.179531270727785</v>
      </c>
      <c r="M119" s="9">
        <f>M$64*(1-M$73)*M68*(M81*M83+M97*M98)/1000</f>
        <v>1.5400153366020466</v>
      </c>
      <c r="N119" s="203"/>
      <c r="O119" s="9">
        <f t="shared" si="260" ref="O119:R119">O$64*(1-O$73)*O68*(O81*O83+O97*O98)/1000</f>
        <v>0.63831372590005553</v>
      </c>
      <c r="P119" s="9">
        <f t="shared" si="260"/>
        <v>0.88006760986958676</v>
      </c>
      <c r="Q119" s="9">
        <f t="shared" si="260"/>
        <v>0.92484035372856965</v>
      </c>
      <c r="R119" s="9">
        <f t="shared" si="260"/>
        <v>0.82844291064175291</v>
      </c>
      <c r="S119" s="247">
        <f>S$64*(1-S$73)*S68*(S81*S83+S97*S98)/1000</f>
        <v>1.0109924118716145</v>
      </c>
      <c r="T119" s="247">
        <f>T$64*(1-T$73)*T68*(T81*T83+T97*T98)/1000</f>
        <v>1.179531270727785</v>
      </c>
      <c r="U119" s="247">
        <f>U$64*(1-U$73)*U68*(U81*U83+U97*U98)/1000</f>
        <v>1.3077142464331637</v>
      </c>
      <c r="V119" s="247">
        <f>V$64*(1-V$73)*V68*(V81*V83+V97*V98)/1000</f>
        <v>1.4150022517271856</v>
      </c>
      <c r="W119" s="247">
        <f>W$64*(1-W$73)*W68*(W81*W83+W97*W98)/1000</f>
        <v>1.5400153366020466</v>
      </c>
      <c r="X119" s="50"/>
      <c r="Y119" s="9">
        <f t="shared" si="261" ref="Y119:AB121">O119</f>
        <v>0.63831372590005553</v>
      </c>
      <c r="Z119" s="9">
        <f t="shared" si="261"/>
        <v>0.88006760986958676</v>
      </c>
      <c r="AA119" s="9">
        <f t="shared" si="261"/>
        <v>0.92484035372856965</v>
      </c>
      <c r="AB119" s="9">
        <f t="shared" si="261"/>
        <v>0.82844291064175291</v>
      </c>
      <c r="AC119" s="247">
        <f>AC$64*(1-AC$73)*AC68*(AC81*AC83+AC97*AC98)/1000</f>
        <v>0.88873286438946575</v>
      </c>
      <c r="AD119" s="247">
        <f>AD$64*(1-AD$73)*AD68*(AD81*AD83+AD97*AD98)/1000</f>
        <v>1.036890279849076</v>
      </c>
      <c r="AE119" s="247">
        <f>AE$64*(1-AE$73)*AE68*(AE81*AE83+AE97*AE98)/1000</f>
        <v>1.149572058492409</v>
      </c>
      <c r="AF119" s="247">
        <f>AF$64*(1-AF$73)*AF68*(AF81*AF83+AF97*AF98)/1000</f>
        <v>1.2438857003555259</v>
      </c>
      <c r="AG119" s="247">
        <f>AG$64*(1-AG$73)*AG68*(AG81*AG83+AG97*AG98)/1000</f>
        <v>1.3537809238036593</v>
      </c>
      <c r="AH119" s="50"/>
      <c r="AI119" s="50"/>
      <c r="AJ119" s="50"/>
      <c r="AK119" s="50"/>
      <c r="AL119" s="50"/>
      <c r="AM119" s="50"/>
      <c r="AN119" s="50"/>
      <c r="AO119" s="50"/>
      <c r="AP119" s="50"/>
      <c r="AQ119" s="50"/>
      <c r="AR119" s="50"/>
      <c r="AS119" s="50"/>
      <c r="AT119" s="50"/>
      <c r="AU119" s="50"/>
      <c r="AV119" s="50"/>
      <c r="AW119" s="50"/>
      <c r="AX119" s="50"/>
      <c r="AY119" s="50"/>
    </row>
    <row r="120" spans="1:51" ht="15">
      <c r="A120" t="s">
        <v>16</v>
      </c>
      <c r="C120" t="str">
        <f>C116</f>
        <v>Gautrain</v>
      </c>
      <c r="D120" t="s">
        <v>124</v>
      </c>
      <c r="E120" s="9">
        <f t="shared" si="262" ref="E120">E$64*(1-E$73)*E69*(E81*E84+E97*E99)/1000</f>
        <v>0.22250587395208909</v>
      </c>
      <c r="F120" s="9">
        <f t="shared" si="263" ref="F120:H120">F$64*(1-F$73)*F69*(F81*F84+F97*F99)/1000</f>
        <v>0.23468469596522318</v>
      </c>
      <c r="G120" s="9">
        <f t="shared" si="263"/>
        <v>0.24662409432761853</v>
      </c>
      <c r="H120" s="9">
        <f t="shared" si="263"/>
        <v>0.22091810950446741</v>
      </c>
      <c r="I120" s="9">
        <f>I$64*(1-I$73)*I69*(I81*I84+I97*I99)/1000</f>
        <v>0.26959797649909722</v>
      </c>
      <c r="J120" s="9">
        <f>J$64*(1-J$73)*J69*(J81*J84+J97*J99)/1000</f>
        <v>0.31454167219407603</v>
      </c>
      <c r="K120" s="9">
        <f>K$64*(1-K$73)*K69*(K81*K84+K97*K99)/1000</f>
        <v>0.31454167219407603</v>
      </c>
      <c r="L120" s="9">
        <f>L$64*(1-L$73)*L69*(L81*L84+L97*L99)/1000</f>
        <v>0.31454167219407603</v>
      </c>
      <c r="M120" s="9">
        <f>M$64*(1-M$73)*M69*(M81*M84+M97*M99)/1000</f>
        <v>0.4106707564272124</v>
      </c>
      <c r="N120" s="203"/>
      <c r="O120" s="9">
        <f t="shared" si="264" ref="O120:R120">O$64*(1-O$73)*O69*(O81*O84+O97*O99)/1000</f>
        <v>0.22250587395208909</v>
      </c>
      <c r="P120" s="9">
        <f t="shared" si="264"/>
        <v>0.23468469596522318</v>
      </c>
      <c r="Q120" s="9">
        <f t="shared" si="264"/>
        <v>0.24662409432761853</v>
      </c>
      <c r="R120" s="9">
        <f t="shared" si="264"/>
        <v>0.22091810950446741</v>
      </c>
      <c r="S120" s="247">
        <f>S$64*(1-S$73)*S69*(S81*S84+S97*S99)/1000</f>
        <v>0.26959797649909722</v>
      </c>
      <c r="T120" s="247">
        <f>T$64*(1-T$73)*T69*(T81*T84+T97*T99)/1000</f>
        <v>0.31454167219407603</v>
      </c>
      <c r="U120" s="247">
        <f>U$64*(1-U$73)*U69*(U81*U84+U97*U99)/1000</f>
        <v>0.34872379904884365</v>
      </c>
      <c r="V120" s="247">
        <f>V$64*(1-V$73)*V69*(V81*V84+V97*V99)/1000</f>
        <v>0.37733393379391622</v>
      </c>
      <c r="W120" s="247">
        <f>W$64*(1-W$73)*W69*(W81*W84+W97*W99)/1000</f>
        <v>0.4106707564272124</v>
      </c>
      <c r="X120" s="50"/>
      <c r="Y120" s="9">
        <f t="shared" si="261"/>
        <v>0.22250587395208909</v>
      </c>
      <c r="Z120" s="9">
        <f t="shared" si="261"/>
        <v>0.23468469596522318</v>
      </c>
      <c r="AA120" s="9">
        <f t="shared" si="261"/>
        <v>0.24662409432761853</v>
      </c>
      <c r="AB120" s="9">
        <f t="shared" si="261"/>
        <v>0.22091810950446741</v>
      </c>
      <c r="AC120" s="247">
        <f>AC$64*(1-AC$73)*AC69*(AC81*AC84+AC97*AC99)/1000</f>
        <v>0.71430422753862666</v>
      </c>
      <c r="AD120" s="247">
        <f>AD$64*(1-AD$73)*AD69*(AD81*AD84+AD97*AD99)/1000</f>
        <v>1.5389560096529313</v>
      </c>
      <c r="AE120" s="247">
        <f>AE$64*(1-AE$73)*AE69*(AE81*AE84+AE97*AE99)/1000</f>
        <v>2.5193178214410072</v>
      </c>
      <c r="AF120" s="247">
        <f>AF$64*(1-AF$73)*AF69*(AF81*AF84+AF97*AF99)/1000</f>
        <v>2.8125292256455405</v>
      </c>
      <c r="AG120" s="247">
        <f>AG$64*(1-AG$73)*AG69*(AG81*AG84+AG97*AG99)/1000</f>
        <v>3.4454942913634543</v>
      </c>
      <c r="AH120" s="50"/>
      <c r="AI120" s="50"/>
      <c r="AJ120" s="50"/>
      <c r="AK120" s="50"/>
      <c r="AL120" s="50"/>
      <c r="AM120" s="50"/>
      <c r="AN120" s="50"/>
      <c r="AO120" s="50"/>
      <c r="AP120" s="50"/>
      <c r="AQ120" s="50"/>
      <c r="AR120" s="50"/>
      <c r="AS120" s="50"/>
      <c r="AT120" s="50"/>
      <c r="AU120" s="50"/>
      <c r="AV120" s="50"/>
      <c r="AW120" s="50"/>
      <c r="AX120" s="50"/>
      <c r="AY120" s="50"/>
    </row>
    <row r="121" spans="1:51" ht="15">
      <c r="A121" t="s">
        <v>16</v>
      </c>
      <c r="C121" t="str">
        <f>C117</f>
        <v>Bus, minibus, metro rail</v>
      </c>
      <c r="D121" t="s">
        <v>124</v>
      </c>
      <c r="E121" s="9">
        <f t="shared" si="265" ref="E121">E$64*(1-E$73)*E70*(E81*E85+E97*E100)/1000</f>
        <v>41.262738932037614</v>
      </c>
      <c r="F121" s="9">
        <f t="shared" si="266" ref="F121:H121">F$64*(1-F$73)*F70*(F81*F85+F97*F100)/1000</f>
        <v>38.137009704222031</v>
      </c>
      <c r="G121" s="9">
        <f t="shared" si="266"/>
        <v>40.077199921298309</v>
      </c>
      <c r="H121" s="9">
        <f t="shared" si="266"/>
        <v>35.899895608270704</v>
      </c>
      <c r="I121" s="9">
        <f>I$64*(1-I$73)*I70*(I81*I85+I97*I100)/1000</f>
        <v>43.810528861704242</v>
      </c>
      <c r="J121" s="9">
        <f>J$64*(1-J$73)*J70*(J81*J85+J97*J100)/1000</f>
        <v>51.114022392944136</v>
      </c>
      <c r="K121" s="9">
        <f>K$64*(1-K$73)*K70*(K81*K85+K97*K100)/1000</f>
        <v>51.114022392944136</v>
      </c>
      <c r="L121" s="9">
        <f>L$64*(1-L$73)*L70*(L81*L85+L97*L100)/1000</f>
        <v>51.114022392944136</v>
      </c>
      <c r="M121" s="9">
        <f>M$64*(1-M$73)*M70*(M81*M85+M97*M100)/1000</f>
        <v>66.735304399336044</v>
      </c>
      <c r="N121" s="203"/>
      <c r="O121" s="9">
        <f t="shared" si="267" ref="O121:R121">O$64*(1-O$73)*O70*(O81*O85+O97*O100)/1000</f>
        <v>36.272826317000501</v>
      </c>
      <c r="P121" s="9">
        <f t="shared" si="267"/>
        <v>38.137009704222031</v>
      </c>
      <c r="Q121" s="9">
        <f t="shared" si="267"/>
        <v>40.077199921298309</v>
      </c>
      <c r="R121" s="9">
        <f t="shared" si="267"/>
        <v>35.899895608270704</v>
      </c>
      <c r="S121" s="247">
        <f>S$64*(1-S$73)*S70*(S81*S85+S97*S100)/1000</f>
        <v>43.810528861704242</v>
      </c>
      <c r="T121" s="247">
        <f>T$64*(1-T$73)*T70*(T81*T85+T97*T100)/1000</f>
        <v>51.114022392944136</v>
      </c>
      <c r="U121" s="247">
        <f>U$64*(1-U$73)*U70*(U81*U85+U97*U100)/1000</f>
        <v>56.66872675152915</v>
      </c>
      <c r="V121" s="247">
        <f>V$64*(1-V$73)*V70*(V81*V85+V97*V100)/1000</f>
        <v>61.317964665933317</v>
      </c>
      <c r="W121" s="247">
        <f>W$64*(1-W$73)*W70*(W81*W85+W97*W100)/1000</f>
        <v>66.735304399336044</v>
      </c>
      <c r="X121" s="50"/>
      <c r="Y121" s="9">
        <f t="shared" si="261"/>
        <v>36.272826317000501</v>
      </c>
      <c r="Z121" s="9">
        <f t="shared" si="261"/>
        <v>38.137009704222031</v>
      </c>
      <c r="AA121" s="9">
        <f t="shared" si="261"/>
        <v>40.077199921298309</v>
      </c>
      <c r="AB121" s="9">
        <f t="shared" si="261"/>
        <v>35.899895608270704</v>
      </c>
      <c r="AC121" s="247">
        <f>AC$64*(1-AC$73)*AC70*(AC81*AC85+AC97*AC100)/1000</f>
        <v>45.672361683362631</v>
      </c>
      <c r="AD121" s="247">
        <f>AD$64*(1-AD$73)*AD70*(AD81*AD85+AD97*AD100)/1000</f>
        <v>54.369801856331506</v>
      </c>
      <c r="AE121" s="247">
        <f>AE$64*(1-AE$73)*AE70*(AE81*AE85+AE97*AE100)/1000</f>
        <v>59.871761342352571</v>
      </c>
      <c r="AF121" s="247">
        <f>AF$64*(1-AF$73)*AF70*(AF81*AF85+AF97*AF100)/1000</f>
        <v>64.740523605868006</v>
      </c>
      <c r="AG121" s="247">
        <f>AG$64*(1-AG$73)*AG70*(AG81*AG85+AG97*AG100)/1000</f>
        <v>71.960481765961589</v>
      </c>
      <c r="AH121" s="50"/>
      <c r="AI121" s="50"/>
      <c r="AJ121" s="50"/>
      <c r="AK121" s="50"/>
      <c r="AL121" s="50"/>
      <c r="AM121" s="50"/>
      <c r="AN121" s="50"/>
      <c r="AO121" s="50"/>
      <c r="AP121" s="50"/>
      <c r="AQ121" s="50"/>
      <c r="AR121" s="50"/>
      <c r="AS121" s="50"/>
      <c r="AT121" s="50"/>
      <c r="AU121" s="50"/>
      <c r="AV121" s="50"/>
      <c r="AW121" s="50"/>
      <c r="AX121" s="50"/>
      <c r="AY121" s="50"/>
    </row>
    <row r="122" spans="1:33" ht="15">
      <c r="A122" t="s">
        <v>16</v>
      </c>
      <c r="C122" s="34" t="str">
        <f>C101</f>
        <v>High Income</v>
      </c>
      <c r="E122" s="9"/>
      <c r="F122" s="9"/>
      <c r="G122" s="9"/>
      <c r="H122" s="9"/>
      <c r="I122" s="9"/>
      <c r="J122" s="9"/>
      <c r="K122" s="9"/>
      <c r="L122" s="9"/>
      <c r="M122" s="9"/>
      <c r="N122" s="36"/>
      <c r="O122" s="9"/>
      <c r="P122" s="9"/>
      <c r="Q122" s="9"/>
      <c r="R122" s="9"/>
      <c r="S122" s="9"/>
      <c r="T122" s="9"/>
      <c r="U122" s="9"/>
      <c r="V122" s="9"/>
      <c r="W122" s="9"/>
      <c r="AA122" s="9"/>
      <c r="AC122" s="9"/>
      <c r="AD122" s="9"/>
      <c r="AE122" s="9"/>
      <c r="AF122" s="9"/>
      <c r="AG122" s="9"/>
    </row>
    <row r="123" spans="1:51" ht="15">
      <c r="A123" t="s">
        <v>16</v>
      </c>
      <c r="C123" t="str">
        <f>C119</f>
        <v>BRT</v>
      </c>
      <c r="D123" t="s">
        <v>124</v>
      </c>
      <c r="E123" s="9">
        <f t="shared" si="268" ref="E123">E$64*(1-E$73)*E68*(E86*E88+E101*E102)/1000</f>
        <v>0.56495760904595693</v>
      </c>
      <c r="F123" s="9">
        <f t="shared" si="269" ref="F123:H123">F$64*(1-F$73)*F68*(F86*F88+F101*F102)/1000</f>
        <v>0.67247691119602993</v>
      </c>
      <c r="G123" s="9">
        <f t="shared" si="269"/>
        <v>0.56792803939135406</v>
      </c>
      <c r="H123" s="9">
        <f t="shared" si="269"/>
        <v>0.60013661885137615</v>
      </c>
      <c r="I123" s="9">
        <f>I$64*(1-I$73)*I68*(I86*I88+I101*I102)/1000</f>
        <v>0.89142854850800246</v>
      </c>
      <c r="J123" s="9">
        <f>J$64*(1-J$73)*J68*(J86*J88+J101*J102)/1000</f>
        <v>1.261206681787002</v>
      </c>
      <c r="K123" s="9">
        <f>K$64*(1-K$73)*K68*(K86*K88+K101*K102)/1000</f>
        <v>1.261206681787002</v>
      </c>
      <c r="L123" s="9">
        <f>L$64*(1-L$73)*L68*(L86*L88+L101*L102)/1000</f>
        <v>1.261206681787002</v>
      </c>
      <c r="M123" s="9">
        <f>M$64*(1-M$73)*M68*(M86*M88+M101*M102)/1000</f>
        <v>1.7624035560036009</v>
      </c>
      <c r="N123" s="203"/>
      <c r="O123" s="9">
        <f t="shared" si="270" ref="O123:R123">O$64*(1-O$73)*O68*(O86*O88+O101*O102)/1000</f>
        <v>0.56495760904595693</v>
      </c>
      <c r="P123" s="9">
        <f t="shared" si="270"/>
        <v>0.67247691119602993</v>
      </c>
      <c r="Q123" s="9">
        <f t="shared" si="270"/>
        <v>0.56792803939135406</v>
      </c>
      <c r="R123" s="9">
        <f t="shared" si="270"/>
        <v>0.60013661885137615</v>
      </c>
      <c r="S123" s="247">
        <f>S$64*(1-S$73)*S68*(S86*S88+S101*S102)/1000</f>
        <v>0.89142854850800246</v>
      </c>
      <c r="T123" s="247">
        <f>T$64*(1-T$73)*T68*(T86*T88+T101*T102)/1000</f>
        <v>1.261206681787002</v>
      </c>
      <c r="U123" s="247">
        <f>U$64*(1-U$73)*U68*(U86*U88+U101*U102)/1000</f>
        <v>1.5245020464444716</v>
      </c>
      <c r="V123" s="247">
        <f>V$64*(1-V$73)*V68*(V86*V88+V101*V102)/1000</f>
        <v>1.6845420277584593</v>
      </c>
      <c r="W123" s="247">
        <f>W$64*(1-W$73)*W68*(W86*W88+W101*W102)/1000</f>
        <v>1.7624035560036009</v>
      </c>
      <c r="X123" s="50"/>
      <c r="Y123" s="9">
        <f t="shared" si="271" ref="Y123:AB125">O123</f>
        <v>0.56495760904595693</v>
      </c>
      <c r="Z123" s="9">
        <f t="shared" si="271"/>
        <v>0.67247691119602993</v>
      </c>
      <c r="AA123" s="9">
        <f t="shared" si="271"/>
        <v>0.56792803939135406</v>
      </c>
      <c r="AB123" s="9">
        <f t="shared" si="271"/>
        <v>0.60013661885137615</v>
      </c>
      <c r="AC123" s="247">
        <f>AC$64*(1-AC$73)*AC68*(AC86*AC88+AC101*AC102)/1000</f>
        <v>0.7836278868279648</v>
      </c>
      <c r="AD123" s="247">
        <f>AD$64*(1-AD$73)*AD68*(AD86*AD88+AD101*AD102)/1000</f>
        <v>1.1086886644546199</v>
      </c>
      <c r="AE123" s="247">
        <f>AE$64*(1-AE$73)*AE68*(AE86*AE88+AE101*AE102)/1000</f>
        <v>1.340143659432582</v>
      </c>
      <c r="AF123" s="247">
        <f>AF$64*(1-AF$73)*AF68*(AF86*AF88+AF101*AF102)/1000</f>
        <v>1.4808299685876685</v>
      </c>
      <c r="AG123" s="247">
        <f>AG$64*(1-AG$73)*AG68*(AG86*AG88+AG101*AG102)/1000</f>
        <v>1.5492756841147932</v>
      </c>
      <c r="AH123" s="50"/>
      <c r="AI123" s="50"/>
      <c r="AJ123" s="50"/>
      <c r="AK123" s="50"/>
      <c r="AL123" s="50"/>
      <c r="AM123" s="50"/>
      <c r="AN123" s="50"/>
      <c r="AO123" s="50"/>
      <c r="AP123" s="50"/>
      <c r="AQ123" s="50"/>
      <c r="AR123" s="50"/>
      <c r="AS123" s="50"/>
      <c r="AT123" s="50"/>
      <c r="AU123" s="50"/>
      <c r="AV123" s="50"/>
      <c r="AW123" s="50"/>
      <c r="AX123" s="50"/>
      <c r="AY123" s="50"/>
    </row>
    <row r="124" spans="1:51" ht="15">
      <c r="A124" t="s">
        <v>16</v>
      </c>
      <c r="C124" t="str">
        <f>C120</f>
        <v>Gautrain</v>
      </c>
      <c r="D124" t="s">
        <v>124</v>
      </c>
      <c r="E124" s="9">
        <f t="shared" si="272" ref="E124">E$64*(1-E$73)*E69*(E86*E89+E101*E103)/1000</f>
        <v>0.42603549444003685</v>
      </c>
      <c r="F124" s="9">
        <f t="shared" si="273" ref="F124:H124">F$64*(1-F$73)*F69*(F86*F89+F101*F103)/1000</f>
        <v>0.44831794079735332</v>
      </c>
      <c r="G124" s="9">
        <f t="shared" si="273"/>
        <v>0.37861869292756944</v>
      </c>
      <c r="H124" s="9">
        <f t="shared" si="273"/>
        <v>0.4000910792342508</v>
      </c>
      <c r="I124" s="9">
        <f>I$64*(1-I$73)*I69*(I86*I89+I101*I103)/1000</f>
        <v>0.59428569900533501</v>
      </c>
      <c r="J124" s="9">
        <f>J$64*(1-J$73)*J69*(J86*J89+J101*J103)/1000</f>
        <v>0.84080445452466801</v>
      </c>
      <c r="K124" s="9">
        <f>K$64*(1-K$73)*K69*(K86*K89+K101*K103)/1000</f>
        <v>0.84080445452466801</v>
      </c>
      <c r="L124" s="9">
        <f>L$64*(1-L$73)*L69*(L86*L89+L101*L103)/1000</f>
        <v>0.84080445452466801</v>
      </c>
      <c r="M124" s="9">
        <f>M$64*(1-M$73)*M69*(M86*M89+M101*M103)/1000</f>
        <v>1.1749357040024007</v>
      </c>
      <c r="N124" s="203"/>
      <c r="O124" s="9">
        <f t="shared" si="274" ref="O124:R124">O$64*(1-O$73)*O69*(O86*O89+O101*O103)/1000</f>
        <v>0.42603549444003685</v>
      </c>
      <c r="P124" s="9">
        <f t="shared" si="274"/>
        <v>0.44831794079735332</v>
      </c>
      <c r="Q124" s="9">
        <f t="shared" si="274"/>
        <v>0.37861869292756944</v>
      </c>
      <c r="R124" s="9">
        <f t="shared" si="274"/>
        <v>0.4000910792342508</v>
      </c>
      <c r="S124" s="247">
        <f>S$64*(1-S$73)*S69*(S86*S89+S101*S103)/1000</f>
        <v>0.59428569900533501</v>
      </c>
      <c r="T124" s="247">
        <f>T$64*(1-T$73)*T69*(T86*T89+T101*T103)/1000</f>
        <v>0.84080445452466801</v>
      </c>
      <c r="U124" s="247">
        <f>U$64*(1-U$73)*U69*(U86*U89+U101*U103)/1000</f>
        <v>1.0163346976296479</v>
      </c>
      <c r="V124" s="247">
        <f>V$64*(1-V$73)*V69*(V86*V89+V101*V103)/1000</f>
        <v>1.1230280185056394</v>
      </c>
      <c r="W124" s="247">
        <f>W$64*(1-W$73)*W69*(W86*W89+W101*W103)/1000</f>
        <v>1.1749357040024007</v>
      </c>
      <c r="X124" s="50"/>
      <c r="Y124" s="9">
        <f t="shared" si="271"/>
        <v>0.42603549444003685</v>
      </c>
      <c r="Z124" s="9">
        <f t="shared" si="271"/>
        <v>0.44831794079735332</v>
      </c>
      <c r="AA124" s="9">
        <f t="shared" si="271"/>
        <v>0.37861869292756944</v>
      </c>
      <c r="AB124" s="9">
        <f t="shared" si="271"/>
        <v>0.4000910792342508</v>
      </c>
      <c r="AC124" s="247">
        <f>AC$64*(1-AC$73)*AC69*(AC86*AC89+AC101*AC103)/1000</f>
        <v>0.86119010431827214</v>
      </c>
      <c r="AD124" s="247">
        <f>AD$64*(1-AD$73)*AD69*(AD86*AD89+AD101*AD103)/1000</f>
        <v>1.2389369093454401</v>
      </c>
      <c r="AE124" s="247">
        <f>AE$64*(1-AE$73)*AE69*(AE86*AE89+AE101*AE103)/1000</f>
        <v>2.1981621860278815</v>
      </c>
      <c r="AF124" s="247">
        <f>AF$64*(1-AF$73)*AF69*(AF86*AF89+AF101*AF103)/1000</f>
        <v>3.2829575165253031</v>
      </c>
      <c r="AG124" s="247">
        <f>AG$64*(1-AG$73)*AG69*(AG86*AG89+AG101*AG103)/1000</f>
        <v>3.5363316463741579</v>
      </c>
      <c r="AH124" s="50"/>
      <c r="AI124" s="50"/>
      <c r="AJ124" s="50"/>
      <c r="AK124" s="50"/>
      <c r="AL124" s="50"/>
      <c r="AM124" s="50"/>
      <c r="AN124" s="50"/>
      <c r="AO124" s="50"/>
      <c r="AP124" s="50"/>
      <c r="AQ124" s="50"/>
      <c r="AR124" s="50"/>
      <c r="AS124" s="50"/>
      <c r="AT124" s="50"/>
      <c r="AU124" s="50"/>
      <c r="AV124" s="50"/>
      <c r="AW124" s="50"/>
      <c r="AX124" s="50"/>
      <c r="AY124" s="50"/>
    </row>
    <row r="125" spans="1:51" ht="15">
      <c r="A125" t="s">
        <v>16</v>
      </c>
      <c r="C125" t="str">
        <f>C121</f>
        <v>Bus, minibus, metro rail</v>
      </c>
      <c r="D125" t="s">
        <v>124</v>
      </c>
      <c r="E125" s="9">
        <f t="shared" si="275" ref="E125">E$64*(1-E$73)*E70*(E86*E90+E101*E104)/1000</f>
        <v>19.89548022216918</v>
      </c>
      <c r="F125" s="9">
        <f t="shared" si="276" ref="F125:H125">F$64*(1-F$73)*F70*(F86*F90+F101*F104)/1000</f>
        <v>18.358554630460585</v>
      </c>
      <c r="G125" s="9">
        <f t="shared" si="276"/>
        <v>15.664466943331325</v>
      </c>
      <c r="H125" s="9">
        <f t="shared" si="276"/>
        <v>15.691013612732245</v>
      </c>
      <c r="I125" s="9">
        <f>I$64*(1-I$73)*I70*(I86*I90+I101*I104)/1000</f>
        <v>21.758128334833529</v>
      </c>
      <c r="J125" s="9">
        <f>J$64*(1-J$73)*J70*(J86*J90+J101*J104)/1000</f>
        <v>25.23163476454793</v>
      </c>
      <c r="K125" s="9">
        <f>K$64*(1-K$73)*K70*(K86*K90+K101*K104)/1000</f>
        <v>25.23163476454793</v>
      </c>
      <c r="L125" s="9">
        <f>L$64*(1-L$73)*L70*(L86*L90+L101*L104)/1000</f>
        <v>25.23163476454793</v>
      </c>
      <c r="M125" s="9">
        <f>M$64*(1-M$73)*M70*(M86*M90+M101*M104)/1000</f>
        <v>22.058573159131715</v>
      </c>
      <c r="N125" s="203"/>
      <c r="O125" s="9">
        <f t="shared" si="277" ref="O125:R125">O$64*(1-O$73)*O70*(O86*O90+O101*O104)/1000</f>
        <v>17.489515172046392</v>
      </c>
      <c r="P125" s="9">
        <f t="shared" si="277"/>
        <v>18.358554630460585</v>
      </c>
      <c r="Q125" s="9">
        <f t="shared" si="277"/>
        <v>15.664466943331325</v>
      </c>
      <c r="R125" s="9">
        <f t="shared" si="277"/>
        <v>15.691013612732245</v>
      </c>
      <c r="S125" s="247">
        <f>S$64*(1-S$73)*S70*(S86*S90+S101*S104)/1000</f>
        <v>21.758128334833529</v>
      </c>
      <c r="T125" s="247">
        <f>T$64*(1-T$73)*T70*(T86*T90+T101*T104)/1000</f>
        <v>25.23163476454793</v>
      </c>
      <c r="U125" s="247">
        <f>U$64*(1-U$73)*U70*(U86*U90+U101*U104)/1000</f>
        <v>17.991806518398267</v>
      </c>
      <c r="V125" s="247">
        <f>V$64*(1-V$73)*V70*(V86*V90+V101*V104)/1000</f>
        <v>19.880559889195531</v>
      </c>
      <c r="W125" s="247">
        <f>W$64*(1-W$73)*W70*(W86*W90+W101*W104)/1000</f>
        <v>22.058573159131715</v>
      </c>
      <c r="X125" s="50"/>
      <c r="Y125" s="9">
        <f t="shared" si="271"/>
        <v>17.489515172046392</v>
      </c>
      <c r="Z125" s="9">
        <f t="shared" si="271"/>
        <v>18.358554630460585</v>
      </c>
      <c r="AA125" s="9">
        <f t="shared" si="271"/>
        <v>15.664466943331325</v>
      </c>
      <c r="AB125" s="9">
        <f t="shared" si="271"/>
        <v>15.691013612732245</v>
      </c>
      <c r="AC125" s="247">
        <f>AC$64*(1-AC$73)*AC70*(AC86*AC90+AC101*AC104)/1000</f>
        <v>23.761026666968867</v>
      </c>
      <c r="AD125" s="247">
        <f>AD$64*(1-AD$73)*AD70*(AD86*AD90+AD101*AD104)/1000</f>
        <v>30.638275099164552</v>
      </c>
      <c r="AE125" s="247">
        <f>AE$64*(1-AE$73)*AE70*(AE86*AE90+AE101*AE104)/1000</f>
        <v>25.664044688199848</v>
      </c>
      <c r="AF125" s="247">
        <f>AF$64*(1-AF$73)*AF70*(AF86*AF90+AF101*AF104)/1000</f>
        <v>27.931200581714013</v>
      </c>
      <c r="AG125" s="247">
        <f>AG$64*(1-AG$73)*AG70*(AG86*AG90+AG101*AG104)/1000</f>
        <v>33.747079124896565</v>
      </c>
      <c r="AH125" s="50"/>
      <c r="AI125" s="50"/>
      <c r="AJ125" s="50"/>
      <c r="AK125" s="50"/>
      <c r="AL125" s="50"/>
      <c r="AM125" s="50"/>
      <c r="AN125" s="50"/>
      <c r="AO125" s="50"/>
      <c r="AP125" s="50"/>
      <c r="AQ125" s="50"/>
      <c r="AR125" s="50"/>
      <c r="AS125" s="50"/>
      <c r="AT125" s="50"/>
      <c r="AU125" s="50"/>
      <c r="AV125" s="50"/>
      <c r="AW125" s="50"/>
      <c r="AX125" s="50"/>
      <c r="AY125" s="50"/>
    </row>
    <row r="126" spans="1:33" ht="15">
      <c r="A126" t="s">
        <v>16</v>
      </c>
      <c r="C126" s="34" t="s">
        <v>5</v>
      </c>
      <c r="E126" s="9"/>
      <c r="F126" s="9"/>
      <c r="G126" s="9"/>
      <c r="H126" s="9"/>
      <c r="I126" s="9"/>
      <c r="J126" s="9"/>
      <c r="K126" s="9"/>
      <c r="L126" s="9"/>
      <c r="M126" s="9"/>
      <c r="N126" s="36"/>
      <c r="O126" s="9"/>
      <c r="P126" s="9"/>
      <c r="Q126" s="9"/>
      <c r="R126" s="9"/>
      <c r="S126" s="9"/>
      <c r="T126" s="9"/>
      <c r="U126" s="9"/>
      <c r="V126" s="9"/>
      <c r="W126" s="9"/>
      <c r="AA126" s="9"/>
      <c r="AC126" s="9"/>
      <c r="AD126" s="9"/>
      <c r="AE126" s="9"/>
      <c r="AF126" s="9"/>
      <c r="AG126" s="9"/>
    </row>
    <row r="127" spans="1:51" ht="15">
      <c r="A127" t="s">
        <v>16</v>
      </c>
      <c r="C127" t="str">
        <f>C123</f>
        <v>BRT</v>
      </c>
      <c r="D127" t="s">
        <v>124</v>
      </c>
      <c r="E127" s="9">
        <f t="shared" si="278" ref="E127:E129">E115+E119+E123</f>
        <v>1.8199995725306071</v>
      </c>
      <c r="F127" s="9">
        <f t="shared" si="279" ref="F127:H127">F115+F119+F123</f>
        <v>2.7827386966557452</v>
      </c>
      <c r="G127" s="9">
        <f t="shared" si="279"/>
        <v>2.7728192749407472</v>
      </c>
      <c r="H127" s="9">
        <f t="shared" si="279"/>
        <v>2.8302114342409936</v>
      </c>
      <c r="I127" s="9">
        <f t="shared" si="280" ref="I127:M129">I115+I119+I123</f>
        <v>3.0846717206461203</v>
      </c>
      <c r="J127" s="9">
        <f t="shared" si="280"/>
        <v>3.3297080890228847</v>
      </c>
      <c r="K127" s="9">
        <f t="shared" si="281" ref="K127:L127">K115+K119+K123</f>
        <v>3.3297080890228847</v>
      </c>
      <c r="L127" s="9">
        <f t="shared" si="281"/>
        <v>3.3297080890228847</v>
      </c>
      <c r="M127" s="9">
        <f t="shared" si="280"/>
        <v>3.6601701812633687</v>
      </c>
      <c r="N127" s="203"/>
      <c r="O127" s="9">
        <f t="shared" si="282" ref="O127:R129">O115+O119+O123</f>
        <v>1.8199995725306071</v>
      </c>
      <c r="P127" s="9">
        <f t="shared" si="282"/>
        <v>2.7827386966557452</v>
      </c>
      <c r="Q127" s="9">
        <f t="shared" si="282"/>
        <v>2.7728192749407472</v>
      </c>
      <c r="R127" s="9">
        <f t="shared" si="282"/>
        <v>2.8302114342409936</v>
      </c>
      <c r="S127" s="247">
        <f t="shared" si="283" ref="S127:W129">S115+S119+S123</f>
        <v>3.0846717206461203</v>
      </c>
      <c r="T127" s="247">
        <f t="shared" si="283"/>
        <v>3.3297080890228847</v>
      </c>
      <c r="U127" s="247">
        <f t="shared" si="284" ref="U127:V127">U115+U119+U123</f>
        <v>3.5145396284564123</v>
      </c>
      <c r="V127" s="247">
        <f t="shared" si="284"/>
        <v>3.6183645227001806</v>
      </c>
      <c r="W127" s="247">
        <f t="shared" si="283"/>
        <v>3.6601701812633687</v>
      </c>
      <c r="X127" s="50"/>
      <c r="Y127" s="9">
        <f t="shared" si="285" ref="Y127:AB128">O127</f>
        <v>1.8199995725306071</v>
      </c>
      <c r="Z127" s="9">
        <f t="shared" si="285"/>
        <v>2.7827386966557452</v>
      </c>
      <c r="AA127" s="9">
        <f t="shared" si="285"/>
        <v>2.7728192749407472</v>
      </c>
      <c r="AB127" s="9">
        <f t="shared" si="285"/>
        <v>2.8302114342409936</v>
      </c>
      <c r="AC127" s="247">
        <f t="shared" si="286" ref="AC127:AG129">AC115+AC119+AC123</f>
        <v>2.7116416521028683</v>
      </c>
      <c r="AD127" s="247">
        <f t="shared" si="286"/>
        <v>2.9270457154666287</v>
      </c>
      <c r="AE127" s="247">
        <f t="shared" si="287" ref="AE127:AF127">AE115+AE119+AE123</f>
        <v>3.089525533852381</v>
      </c>
      <c r="AF127" s="247">
        <f t="shared" si="287"/>
        <v>3.180794859489926</v>
      </c>
      <c r="AG127" s="247">
        <f t="shared" si="286"/>
        <v>3.2175449500408213</v>
      </c>
      <c r="AH127" s="50"/>
      <c r="AI127" s="50"/>
      <c r="AJ127" s="50"/>
      <c r="AK127" s="50"/>
      <c r="AL127" s="50"/>
      <c r="AM127" s="50"/>
      <c r="AN127" s="50"/>
      <c r="AO127" s="50"/>
      <c r="AP127" s="50"/>
      <c r="AQ127" s="50"/>
      <c r="AR127" s="50"/>
      <c r="AS127" s="50"/>
      <c r="AT127" s="50"/>
      <c r="AU127" s="50"/>
      <c r="AV127" s="50"/>
      <c r="AW127" s="50"/>
      <c r="AX127" s="50"/>
      <c r="AY127" s="50"/>
    </row>
    <row r="128" spans="1:51" ht="15">
      <c r="A128" t="s">
        <v>16</v>
      </c>
      <c r="C128" t="str">
        <f>C124</f>
        <v>Gautrain</v>
      </c>
      <c r="D128" t="s">
        <v>124</v>
      </c>
      <c r="E128" s="9">
        <f t="shared" si="278"/>
        <v>0.64854136839212595</v>
      </c>
      <c r="F128" s="9">
        <f t="shared" si="288" ref="F128:H128">F116+F120+F124</f>
        <v>0.6995709084876961</v>
      </c>
      <c r="G128" s="9">
        <f t="shared" si="288"/>
        <v>0.64248252977129328</v>
      </c>
      <c r="H128" s="9">
        <f t="shared" si="288"/>
        <v>0.63988638610905979</v>
      </c>
      <c r="I128" s="9">
        <f t="shared" si="280"/>
        <v>0.87980624466627066</v>
      </c>
      <c r="J128" s="9">
        <f t="shared" si="280"/>
        <v>1.1673187884898968</v>
      </c>
      <c r="K128" s="9">
        <f t="shared" si="289" ref="K128:L128">K116+K120+K124</f>
        <v>1.1673187884898968</v>
      </c>
      <c r="L128" s="9">
        <f t="shared" si="289"/>
        <v>1.1673187884898968</v>
      </c>
      <c r="M128" s="9">
        <f t="shared" si="280"/>
        <v>1.5904246596034544</v>
      </c>
      <c r="N128" s="203"/>
      <c r="O128" s="9">
        <f t="shared" si="282"/>
        <v>0.64854136839212595</v>
      </c>
      <c r="P128" s="9">
        <f t="shared" si="282"/>
        <v>0.6995709084876961</v>
      </c>
      <c r="Q128" s="9">
        <f t="shared" si="282"/>
        <v>0.64248252977129328</v>
      </c>
      <c r="R128" s="9">
        <f t="shared" si="282"/>
        <v>0.63988638610905979</v>
      </c>
      <c r="S128" s="247">
        <f t="shared" si="283"/>
        <v>0.87980624466627066</v>
      </c>
      <c r="T128" s="247">
        <f t="shared" si="283"/>
        <v>1.1673187884898968</v>
      </c>
      <c r="U128" s="247">
        <f t="shared" si="290" ref="U128:V128">U116+U120+U124</f>
        <v>1.3742480365516063</v>
      </c>
      <c r="V128" s="247">
        <f t="shared" si="290"/>
        <v>1.5073494303226469</v>
      </c>
      <c r="W128" s="247">
        <f t="shared" si="283"/>
        <v>1.5904246596034544</v>
      </c>
      <c r="X128" s="50"/>
      <c r="Y128" s="9">
        <f t="shared" si="285"/>
        <v>0.64854136839212595</v>
      </c>
      <c r="Z128" s="9">
        <f t="shared" si="285"/>
        <v>0.6995709084876961</v>
      </c>
      <c r="AA128" s="9">
        <f t="shared" si="285"/>
        <v>0.64248252977129328</v>
      </c>
      <c r="AB128" s="9">
        <f t="shared" si="285"/>
        <v>0.63988638610905979</v>
      </c>
      <c r="AC128" s="247">
        <f t="shared" si="286"/>
        <v>1.5754943318568988</v>
      </c>
      <c r="AD128" s="247">
        <f t="shared" si="286"/>
        <v>2.7778929189983712</v>
      </c>
      <c r="AE128" s="247">
        <f t="shared" si="291" ref="AE128:AF128">AE116+AE120+AE124</f>
        <v>4.7174800074688887</v>
      </c>
      <c r="AF128" s="247">
        <f t="shared" si="291"/>
        <v>6.0954867421708432</v>
      </c>
      <c r="AG128" s="247">
        <f t="shared" si="286"/>
        <v>6.9818259377376126</v>
      </c>
      <c r="AH128" s="50"/>
      <c r="AI128" s="50"/>
      <c r="AJ128" s="50"/>
      <c r="AK128" s="50"/>
      <c r="AL128" s="50"/>
      <c r="AM128" s="50"/>
      <c r="AN128" s="50"/>
      <c r="AO128" s="50"/>
      <c r="AP128" s="50"/>
      <c r="AQ128" s="50"/>
      <c r="AR128" s="50"/>
      <c r="AS128" s="50"/>
      <c r="AT128" s="50"/>
      <c r="AU128" s="50"/>
      <c r="AV128" s="50"/>
      <c r="AW128" s="50"/>
      <c r="AX128" s="50"/>
      <c r="AY128" s="50"/>
    </row>
    <row r="129" spans="1:51" ht="15">
      <c r="A129" t="s">
        <v>16</v>
      </c>
      <c r="C129" t="str">
        <f>C125</f>
        <v>Bus, minibus, metro rail</v>
      </c>
      <c r="D129" t="s">
        <v>124</v>
      </c>
      <c r="E129" s="9">
        <f t="shared" si="278"/>
        <v>142.59296423330505</v>
      </c>
      <c r="F129" s="9">
        <f t="shared" si="292" ref="F129:H129">F117+F121+F125</f>
        <v>128.25012085990809</v>
      </c>
      <c r="G129" s="9">
        <f t="shared" si="292"/>
        <v>130.4042568665019</v>
      </c>
      <c r="H129" s="9">
        <f t="shared" si="292"/>
        <v>133.34505643808325</v>
      </c>
      <c r="I129" s="9">
        <f t="shared" si="280"/>
        <v>134.5267783515493</v>
      </c>
      <c r="J129" s="9">
        <f t="shared" si="280"/>
        <v>128.1973559990254</v>
      </c>
      <c r="K129" s="9">
        <f t="shared" si="293" ref="K129:L129">K117+K121+K125</f>
        <v>128.1973559990254</v>
      </c>
      <c r="L129" s="9">
        <f t="shared" si="293"/>
        <v>128.1973559990254</v>
      </c>
      <c r="M129" s="9">
        <f t="shared" si="280"/>
        <v>109.66073384288204</v>
      </c>
      <c r="N129" s="203"/>
      <c r="O129" s="9">
        <f t="shared" si="282"/>
        <v>125.34916390741699</v>
      </c>
      <c r="P129" s="9">
        <f t="shared" si="282"/>
        <v>128.25012085990809</v>
      </c>
      <c r="Q129" s="9">
        <f t="shared" si="282"/>
        <v>130.4042568665019</v>
      </c>
      <c r="R129" s="9">
        <f t="shared" si="282"/>
        <v>133.34505643808325</v>
      </c>
      <c r="S129" s="247">
        <f t="shared" si="283"/>
        <v>134.5267783515493</v>
      </c>
      <c r="T129" s="247">
        <f t="shared" si="283"/>
        <v>128.1973559990254</v>
      </c>
      <c r="U129" s="247">
        <f t="shared" si="294" ref="U129:V129">U117+U121+U125</f>
        <v>114.45897267302537</v>
      </c>
      <c r="V129" s="247">
        <f t="shared" si="294"/>
        <v>111.46018341098417</v>
      </c>
      <c r="W129" s="247">
        <f t="shared" si="283"/>
        <v>109.66073384288204</v>
      </c>
      <c r="X129" s="50"/>
      <c r="Y129" s="9">
        <f t="shared" si="295" ref="Y129:AB129">Y117+Y121+Y125</f>
        <v>125.34916390741699</v>
      </c>
      <c r="Z129" s="9">
        <f t="shared" si="295"/>
        <v>128.25012085990809</v>
      </c>
      <c r="AA129" s="9">
        <f t="shared" si="295"/>
        <v>130.4042568665019</v>
      </c>
      <c r="AB129" s="9">
        <f t="shared" si="295"/>
        <v>133.34505643808325</v>
      </c>
      <c r="AC129" s="247">
        <f t="shared" si="286"/>
        <v>138.43041707306983</v>
      </c>
      <c r="AD129" s="247">
        <f t="shared" si="286"/>
        <v>136.90013620139601</v>
      </c>
      <c r="AE129" s="247">
        <f t="shared" si="296" ref="AE129:AF129">AE117+AE121+AE125</f>
        <v>125.37332092417364</v>
      </c>
      <c r="AF129" s="247">
        <f t="shared" si="296"/>
        <v>122.96309499148293</v>
      </c>
      <c r="AG129" s="247">
        <f t="shared" si="286"/>
        <v>126.60276963712303</v>
      </c>
      <c r="AH129" s="50"/>
      <c r="AI129" s="50"/>
      <c r="AJ129" s="50"/>
      <c r="AK129" s="50"/>
      <c r="AL129" s="50"/>
      <c r="AM129" s="50"/>
      <c r="AN129" s="50"/>
      <c r="AO129" s="50"/>
      <c r="AP129" s="50"/>
      <c r="AQ129" s="50"/>
      <c r="AR129" s="50"/>
      <c r="AS129" s="50"/>
      <c r="AT129" s="50"/>
      <c r="AU129" s="50"/>
      <c r="AV129" s="50"/>
      <c r="AW129" s="50"/>
      <c r="AX129" s="50"/>
      <c r="AY129" s="50"/>
    </row>
    <row r="130" spans="1:14" ht="15">
      <c r="A130" t="s">
        <v>16</v>
      </c>
      <c r="J130"/>
      <c r="N130" s="36"/>
    </row>
    <row r="131" spans="1:25" ht="15.75" thickBot="1">
      <c r="A131" t="s">
        <v>16</v>
      </c>
      <c r="C131" s="6" t="s">
        <v>163</v>
      </c>
      <c r="E131" s="241">
        <f t="shared" si="297" ref="E131:M131">E$12</f>
        <v>2017</v>
      </c>
      <c r="F131" s="241">
        <f t="shared" si="297"/>
        <v>2019</v>
      </c>
      <c r="G131" s="241">
        <f t="shared" si="297"/>
        <v>2020</v>
      </c>
      <c r="H131" s="241">
        <f t="shared" si="297"/>
        <v>2021</v>
      </c>
      <c r="I131" s="241">
        <f t="shared" si="297"/>
        <v>2030</v>
      </c>
      <c r="J131" s="241">
        <f t="shared" si="297"/>
        <v>2040</v>
      </c>
      <c r="K131" s="241">
        <f t="shared" si="297"/>
        <v>2050</v>
      </c>
      <c r="L131" s="241">
        <f t="shared" si="297"/>
        <v>2060</v>
      </c>
      <c r="M131" s="241">
        <f t="shared" si="297"/>
        <v>2070</v>
      </c>
      <c r="N131" s="36"/>
      <c r="O131" s="241">
        <f t="shared" si="298" ref="O131:W131">O$12</f>
        <v>2017</v>
      </c>
      <c r="P131" s="241">
        <f t="shared" si="298"/>
        <v>2019</v>
      </c>
      <c r="Q131" s="241">
        <f t="shared" si="298"/>
        <v>2020</v>
      </c>
      <c r="R131" s="241">
        <f t="shared" si="298"/>
        <v>2021</v>
      </c>
      <c r="S131" s="241">
        <f t="shared" si="298"/>
        <v>2030</v>
      </c>
      <c r="T131" s="241">
        <f t="shared" si="298"/>
        <v>2040</v>
      </c>
      <c r="U131" s="241">
        <f t="shared" si="298"/>
        <v>2050</v>
      </c>
      <c r="V131" s="241">
        <f t="shared" si="298"/>
        <v>2060</v>
      </c>
      <c r="W131" s="241">
        <f t="shared" si="298"/>
        <v>2070</v>
      </c>
      <c r="Y131" s="364" t="s">
        <v>191</v>
      </c>
    </row>
    <row r="132" spans="1:33" ht="15">
      <c r="A132" t="s">
        <v>16</v>
      </c>
      <c r="C132" s="23" t="s">
        <v>88</v>
      </c>
      <c r="E132" s="197">
        <f t="shared" si="299" ref="E132">1-E133-E134</f>
        <v>0.79999999999999993</v>
      </c>
      <c r="F132" s="9">
        <f t="shared" si="300" ref="F132:J134">IF($D$4,Z132,P132)</f>
        <v>0.79999999999999993</v>
      </c>
      <c r="G132" s="9">
        <f t="shared" si="300"/>
        <v>0.79999999999999993</v>
      </c>
      <c r="H132" s="9">
        <f t="shared" si="300"/>
        <v>0.79999999999999993</v>
      </c>
      <c r="I132" s="9">
        <f t="shared" si="300"/>
        <v>0.79999999999999993</v>
      </c>
      <c r="J132" s="9">
        <f t="shared" si="300"/>
        <v>0.79999999999999993</v>
      </c>
      <c r="K132" s="9">
        <f>IF($D$4,AD132,T132)</f>
        <v>0.79999999999999993</v>
      </c>
      <c r="L132" s="9">
        <f>IF($D$4,AD132,T132)</f>
        <v>0.79999999999999993</v>
      </c>
      <c r="M132" s="9">
        <f>IF($D$4,AG132,W132)</f>
        <v>0.79999999999999993</v>
      </c>
      <c r="N132" s="36"/>
      <c r="O132" s="197">
        <f t="shared" si="301" ref="O132">1-O133-O134</f>
        <v>0.79999999999999993</v>
      </c>
      <c r="P132" s="197">
        <f t="shared" si="302" ref="P132:W132">1-P133-P134</f>
        <v>0.79999999999999993</v>
      </c>
      <c r="Q132" s="197">
        <f t="shared" si="302"/>
        <v>0.79999999999999993</v>
      </c>
      <c r="R132" s="197">
        <f t="shared" si="302"/>
        <v>0.79999999999999993</v>
      </c>
      <c r="S132" s="57">
        <f t="shared" si="302"/>
        <v>0.79999999999999993</v>
      </c>
      <c r="T132" s="57">
        <f t="shared" si="302"/>
        <v>0.79999999999999993</v>
      </c>
      <c r="U132" s="57">
        <f t="shared" si="303" ref="U132:V132">1-U133-U134</f>
        <v>0.79999999999999993</v>
      </c>
      <c r="V132" s="57">
        <f t="shared" si="303"/>
        <v>0.79999999999999993</v>
      </c>
      <c r="W132" s="57">
        <f t="shared" si="302"/>
        <v>0.79999999999999993</v>
      </c>
      <c r="Y132" s="197">
        <f t="shared" si="304" ref="Y132:AB134">O132</f>
        <v>0.79999999999999993</v>
      </c>
      <c r="Z132" s="197">
        <f t="shared" si="304"/>
        <v>0.79999999999999993</v>
      </c>
      <c r="AA132" s="197">
        <f t="shared" si="304"/>
        <v>0.79999999999999993</v>
      </c>
      <c r="AB132" s="197">
        <f t="shared" si="304"/>
        <v>0.79999999999999993</v>
      </c>
      <c r="AC132" s="57">
        <f>1-AC133-AC134</f>
        <v>0.79999999999999993</v>
      </c>
      <c r="AD132" s="57">
        <f>1-AD133-AD134</f>
        <v>0.79999999999999993</v>
      </c>
      <c r="AE132" s="57">
        <f>1-AE133-AE134</f>
        <v>0.79999999999999993</v>
      </c>
      <c r="AF132" s="57">
        <f>1-AF133-AF134</f>
        <v>0.79999999999999993</v>
      </c>
      <c r="AG132" s="57">
        <f>1-AG133-AG134</f>
        <v>0.79999999999999993</v>
      </c>
    </row>
    <row r="133" spans="1:33" ht="15">
      <c r="A133" t="s">
        <v>16</v>
      </c>
      <c r="C133" s="23" t="s">
        <v>87</v>
      </c>
      <c r="E133" s="326">
        <v>0.17</v>
      </c>
      <c r="F133" s="9">
        <f t="shared" si="300"/>
        <v>0.17000000000000001</v>
      </c>
      <c r="G133" s="9">
        <f t="shared" si="300"/>
        <v>0.17000000000000001</v>
      </c>
      <c r="H133" s="9">
        <f t="shared" si="300"/>
        <v>0.17000000000000001</v>
      </c>
      <c r="I133" s="9">
        <f t="shared" si="300"/>
        <v>0.17000000000000001</v>
      </c>
      <c r="J133" s="9">
        <f t="shared" si="300"/>
        <v>0.17000000000000001</v>
      </c>
      <c r="K133" s="9">
        <f>IF($D$4,AD133,T133)</f>
        <v>0.17000000000000001</v>
      </c>
      <c r="L133" s="9">
        <f>IF($D$4,AD133,T133)</f>
        <v>0.17000000000000001</v>
      </c>
      <c r="M133" s="9">
        <f>IF($D$4,AG133,W133)</f>
        <v>0.17000000000000001</v>
      </c>
      <c r="N133" s="36"/>
      <c r="O133" s="275">
        <f>E133</f>
        <v>0.17000000000000001</v>
      </c>
      <c r="P133" s="197">
        <f t="shared" si="305" ref="P133:T133">O133</f>
        <v>0.17000000000000001</v>
      </c>
      <c r="Q133" s="197">
        <f t="shared" si="305"/>
        <v>0.17000000000000001</v>
      </c>
      <c r="R133" s="197">
        <f t="shared" si="305"/>
        <v>0.17000000000000001</v>
      </c>
      <c r="S133" s="57">
        <f t="shared" si="305"/>
        <v>0.17000000000000001</v>
      </c>
      <c r="T133" s="57">
        <f t="shared" si="305"/>
        <v>0.17000000000000001</v>
      </c>
      <c r="U133" s="57">
        <f>S133</f>
        <v>0.17000000000000001</v>
      </c>
      <c r="V133" s="57">
        <f>S133</f>
        <v>0.17000000000000001</v>
      </c>
      <c r="W133" s="57">
        <f>T133</f>
        <v>0.17000000000000001</v>
      </c>
      <c r="Y133" s="197">
        <f t="shared" si="304"/>
        <v>0.17000000000000001</v>
      </c>
      <c r="Z133" s="197">
        <f t="shared" si="304"/>
        <v>0.17000000000000001</v>
      </c>
      <c r="AA133" s="197">
        <f t="shared" si="304"/>
        <v>0.17000000000000001</v>
      </c>
      <c r="AB133" s="197">
        <f t="shared" si="304"/>
        <v>0.17000000000000001</v>
      </c>
      <c r="AC133" s="328">
        <v>0.17</v>
      </c>
      <c r="AD133" s="328">
        <v>0.17</v>
      </c>
      <c r="AE133" s="329">
        <f>AC133</f>
        <v>0.17000000000000001</v>
      </c>
      <c r="AF133" s="329">
        <f>AC133</f>
        <v>0.17000000000000001</v>
      </c>
      <c r="AG133" s="329">
        <f>AD133</f>
        <v>0.17000000000000001</v>
      </c>
    </row>
    <row r="134" spans="1:33" ht="15">
      <c r="A134" t="s">
        <v>16</v>
      </c>
      <c r="C134" s="23" t="s">
        <v>164</v>
      </c>
      <c r="E134" s="327">
        <v>0.03</v>
      </c>
      <c r="F134" s="50">
        <f t="shared" si="300"/>
        <v>0.029999999999999999</v>
      </c>
      <c r="G134" s="50">
        <f t="shared" si="300"/>
        <v>0.029999999999999999</v>
      </c>
      <c r="H134" s="50">
        <f t="shared" si="300"/>
        <v>0.029999999999999999</v>
      </c>
      <c r="I134" s="50">
        <f t="shared" si="300"/>
        <v>0.029999999999999999</v>
      </c>
      <c r="J134" s="50">
        <f t="shared" si="300"/>
        <v>0.029999999999999999</v>
      </c>
      <c r="K134" s="50">
        <f>IF($D$4,AD134,T134)</f>
        <v>0.029999999999999999</v>
      </c>
      <c r="L134" s="50">
        <f>IF($D$4,AD134,T134)</f>
        <v>0.029999999999999999</v>
      </c>
      <c r="M134" s="50">
        <f>IF($D$4,AG134,W134)</f>
        <v>0.029999999999999999</v>
      </c>
      <c r="N134" s="36"/>
      <c r="O134" s="259">
        <f>E134</f>
        <v>0.029999999999999999</v>
      </c>
      <c r="P134" s="197">
        <f t="shared" si="306" ref="P134:T134">O134</f>
        <v>0.029999999999999999</v>
      </c>
      <c r="Q134" s="197">
        <f t="shared" si="306"/>
        <v>0.029999999999999999</v>
      </c>
      <c r="R134" s="197">
        <f t="shared" si="306"/>
        <v>0.029999999999999999</v>
      </c>
      <c r="S134" s="57">
        <f t="shared" si="306"/>
        <v>0.029999999999999999</v>
      </c>
      <c r="T134" s="57">
        <f t="shared" si="306"/>
        <v>0.029999999999999999</v>
      </c>
      <c r="U134" s="57">
        <f>S134</f>
        <v>0.029999999999999999</v>
      </c>
      <c r="V134" s="57">
        <f>S134</f>
        <v>0.029999999999999999</v>
      </c>
      <c r="W134" s="57">
        <f>T134</f>
        <v>0.029999999999999999</v>
      </c>
      <c r="Y134" s="197">
        <f>O134</f>
        <v>0.029999999999999999</v>
      </c>
      <c r="Z134" s="197">
        <f t="shared" si="304"/>
        <v>0.029999999999999999</v>
      </c>
      <c r="AA134" s="197">
        <f t="shared" si="304"/>
        <v>0.029999999999999999</v>
      </c>
      <c r="AB134" s="197">
        <f t="shared" si="304"/>
        <v>0.029999999999999999</v>
      </c>
      <c r="AC134" s="329">
        <f>AA134</f>
        <v>0.029999999999999999</v>
      </c>
      <c r="AD134" s="329">
        <f>AC134</f>
        <v>0.029999999999999999</v>
      </c>
      <c r="AE134" s="329">
        <f>AC134</f>
        <v>0.029999999999999999</v>
      </c>
      <c r="AF134" s="329">
        <f>AC134</f>
        <v>0.029999999999999999</v>
      </c>
      <c r="AG134" s="329">
        <f>AD134</f>
        <v>0.029999999999999999</v>
      </c>
    </row>
    <row r="135" spans="1:14" ht="15">
      <c r="A135" t="s">
        <v>16</v>
      </c>
      <c r="C135" s="23"/>
      <c r="E135" s="68"/>
      <c r="G135" s="68"/>
      <c r="I135" s="68"/>
      <c r="J135" s="68"/>
      <c r="K135" s="68"/>
      <c r="L135" s="68"/>
      <c r="M135" s="68"/>
      <c r="N135" s="36"/>
    </row>
    <row r="136" spans="1:14" ht="15.75" thickBot="1">
      <c r="A136" t="s">
        <v>16</v>
      </c>
      <c r="C136" s="6" t="s">
        <v>173</v>
      </c>
      <c r="E136" s="68"/>
      <c r="G136" s="68"/>
      <c r="I136" s="68"/>
      <c r="J136" s="68"/>
      <c r="K136" s="68"/>
      <c r="L136" s="68"/>
      <c r="M136" s="68"/>
      <c r="N136" s="36"/>
    </row>
    <row r="137" spans="1:33" ht="15">
      <c r="A137" t="s">
        <v>16</v>
      </c>
      <c r="C137" s="23" t="s">
        <v>53</v>
      </c>
      <c r="E137" s="56">
        <v>0.1278</v>
      </c>
      <c r="F137" s="9">
        <f t="shared" si="307" ref="F137:J139">IF($D$4,Z137,P137)</f>
        <v>0.1278</v>
      </c>
      <c r="G137" s="9">
        <f t="shared" si="307"/>
        <v>0.1278</v>
      </c>
      <c r="H137" s="9">
        <f t="shared" si="307"/>
        <v>0.1278</v>
      </c>
      <c r="I137" s="9">
        <f t="shared" si="307"/>
        <v>0.12780000000000002</v>
      </c>
      <c r="J137" s="9">
        <f t="shared" si="307"/>
        <v>0.12780000000000002</v>
      </c>
      <c r="K137" s="9">
        <f>IF($D$4,AD137,T137)</f>
        <v>0.12780000000000002</v>
      </c>
      <c r="L137" s="9">
        <f>IF($D$4,AD137,T137)</f>
        <v>0.12780000000000002</v>
      </c>
      <c r="M137" s="9">
        <f>IF($D$4,AG137,W137)</f>
        <v>0.12780000000000002</v>
      </c>
      <c r="N137" s="36"/>
      <c r="O137" s="197">
        <f>E137</f>
        <v>0.1278</v>
      </c>
      <c r="P137" s="197">
        <f t="shared" si="308" ref="P137:R139">O137</f>
        <v>0.1278</v>
      </c>
      <c r="Q137" s="197">
        <f t="shared" si="308"/>
        <v>0.1278</v>
      </c>
      <c r="R137" s="197">
        <f t="shared" si="308"/>
        <v>0.1278</v>
      </c>
      <c r="S137" s="57">
        <f>1-S138-S139</f>
        <v>0.12780000000000002</v>
      </c>
      <c r="T137" s="57">
        <f>1-T138-T139</f>
        <v>0.12780000000000002</v>
      </c>
      <c r="U137" s="57">
        <f>1-U138-U139</f>
        <v>0.12780000000000002</v>
      </c>
      <c r="V137" s="57">
        <f>1-V138-V139</f>
        <v>0.12780000000000002</v>
      </c>
      <c r="W137" s="57">
        <f>1-W138-W139</f>
        <v>0.12780000000000002</v>
      </c>
      <c r="Y137" s="197">
        <f t="shared" si="309" ref="Y137:AB139">O137</f>
        <v>0.1278</v>
      </c>
      <c r="Z137" s="197">
        <f t="shared" si="309"/>
        <v>0.1278</v>
      </c>
      <c r="AA137" s="197">
        <f t="shared" si="309"/>
        <v>0.1278</v>
      </c>
      <c r="AB137" s="197">
        <f t="shared" si="309"/>
        <v>0.1278</v>
      </c>
      <c r="AC137" s="57">
        <f>AB137</f>
        <v>0.1278</v>
      </c>
      <c r="AD137" s="57">
        <f t="shared" si="310" ref="AD137:AG137">AC137</f>
        <v>0.1278</v>
      </c>
      <c r="AE137" s="57">
        <f t="shared" si="310"/>
        <v>0.1278</v>
      </c>
      <c r="AF137" s="57">
        <f t="shared" si="310"/>
        <v>0.1278</v>
      </c>
      <c r="AG137" s="57">
        <f t="shared" si="310"/>
        <v>0.1278</v>
      </c>
    </row>
    <row r="138" spans="1:33" ht="15">
      <c r="A138" t="s">
        <v>16</v>
      </c>
      <c r="C138" s="23" t="s">
        <v>172</v>
      </c>
      <c r="E138" s="56">
        <v>0.80300000000000005</v>
      </c>
      <c r="F138" s="9">
        <f t="shared" si="307"/>
        <v>0.80300000000000005</v>
      </c>
      <c r="G138" s="9">
        <f t="shared" si="307"/>
        <v>0.80300000000000005</v>
      </c>
      <c r="H138" s="9">
        <f t="shared" si="307"/>
        <v>0.80300000000000005</v>
      </c>
      <c r="I138" s="9">
        <f t="shared" si="307"/>
        <v>0.80300000000000005</v>
      </c>
      <c r="J138" s="9">
        <f t="shared" si="307"/>
        <v>0.80300000000000005</v>
      </c>
      <c r="K138" s="9">
        <f>IF($D$4,AD138,T138)</f>
        <v>0.80300000000000005</v>
      </c>
      <c r="L138" s="9">
        <f>IF($D$4,AD138,T138)</f>
        <v>0.80300000000000005</v>
      </c>
      <c r="M138" s="9">
        <f>IF($D$4,AG138,W138)</f>
        <v>0.80300000000000005</v>
      </c>
      <c r="N138" s="36"/>
      <c r="O138" s="197">
        <f>E138</f>
        <v>0.80300000000000005</v>
      </c>
      <c r="P138" s="197">
        <f t="shared" si="308"/>
        <v>0.80300000000000005</v>
      </c>
      <c r="Q138" s="197">
        <f t="shared" si="308"/>
        <v>0.80300000000000005</v>
      </c>
      <c r="R138" s="197">
        <f t="shared" si="308"/>
        <v>0.80300000000000005</v>
      </c>
      <c r="S138" s="57">
        <f>Q138</f>
        <v>0.80300000000000005</v>
      </c>
      <c r="T138" s="57">
        <f>S138</f>
        <v>0.80300000000000005</v>
      </c>
      <c r="U138" s="57">
        <f>S138</f>
        <v>0.80300000000000005</v>
      </c>
      <c r="V138" s="57">
        <f>S138</f>
        <v>0.80300000000000005</v>
      </c>
      <c r="W138" s="57">
        <f>T138</f>
        <v>0.80300000000000005</v>
      </c>
      <c r="Y138" s="197">
        <f t="shared" si="309"/>
        <v>0.80300000000000005</v>
      </c>
      <c r="Z138" s="197">
        <f t="shared" si="309"/>
        <v>0.80300000000000005</v>
      </c>
      <c r="AA138" s="197">
        <f t="shared" si="309"/>
        <v>0.80300000000000005</v>
      </c>
      <c r="AB138" s="197">
        <f t="shared" si="309"/>
        <v>0.80300000000000005</v>
      </c>
      <c r="AC138" s="57">
        <f>1-AC137-AC139</f>
        <v>0.7772</v>
      </c>
      <c r="AD138" s="57">
        <f t="shared" si="311" ref="AD138:AG138">1-AD137-AD139</f>
        <v>0.75719999999999998</v>
      </c>
      <c r="AE138" s="57">
        <f t="shared" si="311"/>
        <v>0.75719999999999998</v>
      </c>
      <c r="AF138" s="57">
        <f t="shared" si="311"/>
        <v>0.75719999999999998</v>
      </c>
      <c r="AG138" s="57">
        <f t="shared" si="311"/>
        <v>0.75719999999999998</v>
      </c>
    </row>
    <row r="139" spans="1:33" ht="15">
      <c r="A139" t="s">
        <v>16</v>
      </c>
      <c r="C139" s="23" t="s">
        <v>174</v>
      </c>
      <c r="E139" s="56">
        <f>1-SUM(G137:G138)</f>
        <v>0.069199999999999928</v>
      </c>
      <c r="F139" s="9">
        <f t="shared" si="307"/>
        <v>0.069199999999999928</v>
      </c>
      <c r="G139" s="9">
        <f t="shared" si="307"/>
        <v>0.069199999999999928</v>
      </c>
      <c r="H139" s="9">
        <f t="shared" si="307"/>
        <v>0.069199999999999928</v>
      </c>
      <c r="I139" s="9">
        <f t="shared" si="307"/>
        <v>0.069199999999999928</v>
      </c>
      <c r="J139" s="9">
        <f t="shared" si="307"/>
        <v>0.069199999999999928</v>
      </c>
      <c r="K139" s="9">
        <f>IF($D$4,AD139,T139)</f>
        <v>0.069199999999999928</v>
      </c>
      <c r="L139" s="9">
        <f>IF($D$4,AD139,T139)</f>
        <v>0.069199999999999928</v>
      </c>
      <c r="M139" s="9">
        <f>IF($D$4,AG139,W139)</f>
        <v>0.069199999999999928</v>
      </c>
      <c r="N139" s="36"/>
      <c r="O139" s="197">
        <f>1-SUM(Q137:Q138)</f>
        <v>0.069199999999999928</v>
      </c>
      <c r="P139" s="197">
        <f t="shared" si="308"/>
        <v>0.069199999999999928</v>
      </c>
      <c r="Q139" s="197">
        <f t="shared" si="308"/>
        <v>0.069199999999999928</v>
      </c>
      <c r="R139" s="197">
        <f t="shared" si="308"/>
        <v>0.069199999999999928</v>
      </c>
      <c r="S139" s="57">
        <f>Q139</f>
        <v>0.069199999999999928</v>
      </c>
      <c r="T139" s="57">
        <f>S139</f>
        <v>0.069199999999999928</v>
      </c>
      <c r="U139" s="57">
        <f>S139</f>
        <v>0.069199999999999928</v>
      </c>
      <c r="V139" s="57">
        <f>S139</f>
        <v>0.069199999999999928</v>
      </c>
      <c r="W139" s="57">
        <f>T139</f>
        <v>0.069199999999999928</v>
      </c>
      <c r="Y139" s="197">
        <f t="shared" si="309"/>
        <v>0.069199999999999928</v>
      </c>
      <c r="Z139" s="197">
        <f t="shared" si="309"/>
        <v>0.069199999999999928</v>
      </c>
      <c r="AA139" s="197">
        <f t="shared" si="309"/>
        <v>0.069199999999999928</v>
      </c>
      <c r="AB139" s="197">
        <f t="shared" si="309"/>
        <v>0.069199999999999928</v>
      </c>
      <c r="AC139" s="57">
        <v>0.095000000000000001</v>
      </c>
      <c r="AD139" s="57">
        <v>0.115</v>
      </c>
      <c r="AE139" s="64">
        <f>AD139</f>
        <v>0.115</v>
      </c>
      <c r="AF139" s="64">
        <f>AE139</f>
        <v>0.115</v>
      </c>
      <c r="AG139" s="64">
        <f>AF139</f>
        <v>0.115</v>
      </c>
    </row>
    <row r="140" spans="1:14" ht="15">
      <c r="A140" t="s">
        <v>16</v>
      </c>
      <c r="C140" s="23"/>
      <c r="E140" s="68"/>
      <c r="G140" s="68"/>
      <c r="I140" s="68"/>
      <c r="J140" s="68"/>
      <c r="K140" s="68"/>
      <c r="L140" s="68"/>
      <c r="M140" s="68"/>
      <c r="N140" s="36"/>
    </row>
    <row r="141" spans="1:25" ht="15.75" thickBot="1">
      <c r="A141" t="s">
        <v>16</v>
      </c>
      <c r="C141" s="6" t="s">
        <v>184</v>
      </c>
      <c r="D141" s="212">
        <f>INDEX($W$5:$W$8,MATCH($D$3,$P$5:$P$8,0))</f>
        <v>0</v>
      </c>
      <c r="E141" s="68"/>
      <c r="G141" s="68"/>
      <c r="I141" s="68"/>
      <c r="J141" s="68"/>
      <c r="K141" s="68"/>
      <c r="L141" s="68"/>
      <c r="M141" s="68"/>
      <c r="N141" s="36"/>
      <c r="Y141" t="s">
        <v>192</v>
      </c>
    </row>
    <row r="142" spans="1:51" ht="15">
      <c r="A142" t="s">
        <v>16</v>
      </c>
      <c r="C142" t="s">
        <v>53</v>
      </c>
      <c r="D142" t="s">
        <v>85</v>
      </c>
      <c r="E142" s="205">
        <v>25</v>
      </c>
      <c r="F142" s="9">
        <f t="shared" si="312" ref="F142:J144">IF($D$4,Z142,P142)</f>
        <v>25</v>
      </c>
      <c r="G142" s="9">
        <f t="shared" si="312"/>
        <v>25</v>
      </c>
      <c r="H142" s="9">
        <f t="shared" si="312"/>
        <v>25</v>
      </c>
      <c r="I142" s="9">
        <f t="shared" si="312"/>
        <v>25</v>
      </c>
      <c r="J142" s="9">
        <f t="shared" si="312"/>
        <v>25</v>
      </c>
      <c r="K142" s="9">
        <f>IF($D$4,AD142,T142)</f>
        <v>25</v>
      </c>
      <c r="L142" s="9">
        <f>IF($D$4,AD142,T142)</f>
        <v>25</v>
      </c>
      <c r="M142" s="9">
        <f>IF($D$4,AG142,W142)</f>
        <v>25</v>
      </c>
      <c r="N142" s="206"/>
      <c r="O142" s="207">
        <f>E142</f>
        <v>25</v>
      </c>
      <c r="P142" s="207">
        <f>O142</f>
        <v>25</v>
      </c>
      <c r="Q142" s="207">
        <f t="shared" si="313" ref="Q142:T142">P142</f>
        <v>25</v>
      </c>
      <c r="R142" s="207">
        <f t="shared" si="313"/>
        <v>25</v>
      </c>
      <c r="S142" s="51">
        <f t="shared" si="313"/>
        <v>25</v>
      </c>
      <c r="T142" s="51">
        <f t="shared" si="313"/>
        <v>25</v>
      </c>
      <c r="U142" s="51">
        <f>S142</f>
        <v>25</v>
      </c>
      <c r="V142" s="51">
        <f t="shared" si="314" ref="V142:W144">S142</f>
        <v>25</v>
      </c>
      <c r="W142" s="51">
        <f t="shared" si="314"/>
        <v>25</v>
      </c>
      <c r="X142" s="208"/>
      <c r="Y142" s="207">
        <f t="shared" si="315" ref="Y142:AB144">O142</f>
        <v>25</v>
      </c>
      <c r="Z142" s="207">
        <f t="shared" si="315"/>
        <v>25</v>
      </c>
      <c r="AA142" s="207">
        <f t="shared" si="315"/>
        <v>25</v>
      </c>
      <c r="AB142" s="207">
        <f t="shared" si="315"/>
        <v>25</v>
      </c>
      <c r="AC142" s="65">
        <f>AA142*(1+$D$141)</f>
        <v>25</v>
      </c>
      <c r="AD142" s="65">
        <f>AC142*(1+$D$141)</f>
        <v>25</v>
      </c>
      <c r="AE142" s="65">
        <f>AC142*(1+$D$141)</f>
        <v>25</v>
      </c>
      <c r="AF142" s="65">
        <f>AC142*(1+$D$141)</f>
        <v>25</v>
      </c>
      <c r="AG142" s="65">
        <f>AD142*(1+$D$141)</f>
        <v>25</v>
      </c>
      <c r="AH142" s="208"/>
      <c r="AI142" s="208"/>
      <c r="AJ142" s="208"/>
      <c r="AK142" s="208"/>
      <c r="AL142" s="208"/>
      <c r="AM142" s="208"/>
      <c r="AN142" s="208"/>
      <c r="AO142" s="208"/>
      <c r="AP142" s="208"/>
      <c r="AQ142" s="208"/>
      <c r="AR142" s="208"/>
      <c r="AS142" s="208"/>
      <c r="AT142" s="208"/>
      <c r="AU142" s="208"/>
      <c r="AV142" s="208"/>
      <c r="AW142" s="208"/>
      <c r="AX142" s="208"/>
      <c r="AY142" s="208"/>
    </row>
    <row r="143" spans="1:51" ht="15">
      <c r="A143" t="s">
        <v>16</v>
      </c>
      <c r="C143" t="s">
        <v>172</v>
      </c>
      <c r="D143" t="s">
        <v>85</v>
      </c>
      <c r="E143" s="205">
        <v>14</v>
      </c>
      <c r="F143" s="9">
        <f t="shared" si="312"/>
        <v>14</v>
      </c>
      <c r="G143" s="9">
        <f t="shared" si="312"/>
        <v>14</v>
      </c>
      <c r="H143" s="9">
        <f t="shared" si="312"/>
        <v>14</v>
      </c>
      <c r="I143" s="9">
        <f t="shared" si="312"/>
        <v>14</v>
      </c>
      <c r="J143" s="9">
        <f t="shared" si="312"/>
        <v>14</v>
      </c>
      <c r="K143" s="9">
        <f>IF($D$4,AD143,T143)</f>
        <v>14</v>
      </c>
      <c r="L143" s="9">
        <f>IF($D$4,AD143,T143)</f>
        <v>14</v>
      </c>
      <c r="M143" s="9">
        <f>IF($D$4,AG143,W143)</f>
        <v>14</v>
      </c>
      <c r="N143" s="206"/>
      <c r="O143" s="207">
        <f t="shared" si="316" ref="O143:O144">E143</f>
        <v>14</v>
      </c>
      <c r="P143" s="207">
        <f t="shared" si="317" ref="P143">O143</f>
        <v>14</v>
      </c>
      <c r="Q143" s="207">
        <f t="shared" si="318" ref="Q143:T143">P143</f>
        <v>14</v>
      </c>
      <c r="R143" s="207">
        <f t="shared" si="318"/>
        <v>14</v>
      </c>
      <c r="S143" s="51">
        <f t="shared" si="318"/>
        <v>14</v>
      </c>
      <c r="T143" s="51">
        <f t="shared" si="318"/>
        <v>14</v>
      </c>
      <c r="U143" s="51">
        <f>S143</f>
        <v>14</v>
      </c>
      <c r="V143" s="51">
        <f t="shared" si="314"/>
        <v>14</v>
      </c>
      <c r="W143" s="51">
        <f t="shared" si="314"/>
        <v>14</v>
      </c>
      <c r="X143" s="208"/>
      <c r="Y143" s="207">
        <f t="shared" si="315"/>
        <v>14</v>
      </c>
      <c r="Z143" s="207">
        <f t="shared" si="315"/>
        <v>14</v>
      </c>
      <c r="AA143" s="207">
        <f t="shared" si="315"/>
        <v>14</v>
      </c>
      <c r="AB143" s="207">
        <f t="shared" si="315"/>
        <v>14</v>
      </c>
      <c r="AC143" s="65">
        <f>AA143</f>
        <v>14</v>
      </c>
      <c r="AD143" s="65">
        <f>AC143</f>
        <v>14</v>
      </c>
      <c r="AE143" s="65">
        <f>AC143</f>
        <v>14</v>
      </c>
      <c r="AF143" s="65">
        <f>AC143</f>
        <v>14</v>
      </c>
      <c r="AG143" s="65">
        <f>AD143</f>
        <v>14</v>
      </c>
      <c r="AH143" s="208"/>
      <c r="AI143" s="208"/>
      <c r="AJ143" s="208"/>
      <c r="AK143" s="208"/>
      <c r="AL143" s="208"/>
      <c r="AM143" s="208"/>
      <c r="AN143" s="208"/>
      <c r="AO143" s="208"/>
      <c r="AP143" s="208"/>
      <c r="AQ143" s="208"/>
      <c r="AR143" s="208"/>
      <c r="AS143" s="208"/>
      <c r="AT143" s="208"/>
      <c r="AU143" s="208"/>
      <c r="AV143" s="208"/>
      <c r="AW143" s="208"/>
      <c r="AX143" s="208"/>
      <c r="AY143" s="208"/>
    </row>
    <row r="144" spans="1:51" ht="15">
      <c r="A144" t="s">
        <v>16</v>
      </c>
      <c r="C144" t="s">
        <v>54</v>
      </c>
      <c r="D144" t="s">
        <v>85</v>
      </c>
      <c r="E144" s="205">
        <v>25</v>
      </c>
      <c r="F144" s="9">
        <f t="shared" si="312"/>
        <v>25</v>
      </c>
      <c r="G144" s="9">
        <f t="shared" si="312"/>
        <v>25</v>
      </c>
      <c r="H144" s="9">
        <f t="shared" si="312"/>
        <v>25</v>
      </c>
      <c r="I144" s="9">
        <f t="shared" si="312"/>
        <v>25</v>
      </c>
      <c r="J144" s="9">
        <f t="shared" si="312"/>
        <v>25</v>
      </c>
      <c r="K144" s="9">
        <f>IF($D$4,AD144,T144)</f>
        <v>25</v>
      </c>
      <c r="L144" s="9">
        <f>IF($D$4,AD144,T144)</f>
        <v>25</v>
      </c>
      <c r="M144" s="9">
        <f>IF($D$4,AG144,W144)</f>
        <v>25</v>
      </c>
      <c r="N144" s="206"/>
      <c r="O144" s="207">
        <f t="shared" si="316"/>
        <v>25</v>
      </c>
      <c r="P144" s="207">
        <f t="shared" si="319" ref="P144:T144">O144</f>
        <v>25</v>
      </c>
      <c r="Q144" s="207">
        <f t="shared" si="319"/>
        <v>25</v>
      </c>
      <c r="R144" s="207">
        <f t="shared" si="319"/>
        <v>25</v>
      </c>
      <c r="S144" s="51">
        <f t="shared" si="319"/>
        <v>25</v>
      </c>
      <c r="T144" s="51">
        <f t="shared" si="319"/>
        <v>25</v>
      </c>
      <c r="U144" s="51">
        <f>S144</f>
        <v>25</v>
      </c>
      <c r="V144" s="51">
        <f t="shared" si="314"/>
        <v>25</v>
      </c>
      <c r="W144" s="51">
        <f t="shared" si="314"/>
        <v>25</v>
      </c>
      <c r="X144" s="208"/>
      <c r="Y144" s="207">
        <f t="shared" si="315"/>
        <v>25</v>
      </c>
      <c r="Z144" s="207">
        <f t="shared" si="315"/>
        <v>25</v>
      </c>
      <c r="AA144" s="207">
        <f t="shared" si="315"/>
        <v>25</v>
      </c>
      <c r="AB144" s="207">
        <f t="shared" si="315"/>
        <v>25</v>
      </c>
      <c r="AC144" s="65">
        <f>AA144*(1+$D$141)</f>
        <v>25</v>
      </c>
      <c r="AD144" s="65">
        <f>AC144*(1+$D$141)</f>
        <v>25</v>
      </c>
      <c r="AE144" s="65">
        <f>AC144*(1+$D$141)</f>
        <v>25</v>
      </c>
      <c r="AF144" s="65">
        <f>AC144*(1+$D$141)</f>
        <v>25</v>
      </c>
      <c r="AG144" s="65">
        <f>AD144*(1+$D$141)</f>
        <v>25</v>
      </c>
      <c r="AH144" s="208"/>
      <c r="AI144" s="208"/>
      <c r="AJ144" s="208"/>
      <c r="AK144" s="208"/>
      <c r="AL144" s="208"/>
      <c r="AM144" s="208"/>
      <c r="AN144" s="208"/>
      <c r="AO144" s="208"/>
      <c r="AP144" s="208"/>
      <c r="AQ144" s="208"/>
      <c r="AR144" s="208"/>
      <c r="AS144" s="208"/>
      <c r="AT144" s="208"/>
      <c r="AU144" s="208"/>
      <c r="AV144" s="208"/>
      <c r="AW144" s="208"/>
      <c r="AX144" s="208"/>
      <c r="AY144" s="208"/>
    </row>
    <row r="145" spans="1:14" ht="15">
      <c r="A145" t="s">
        <v>16</v>
      </c>
      <c r="C145" s="23"/>
      <c r="E145" s="68"/>
      <c r="G145" s="68"/>
      <c r="I145" s="68"/>
      <c r="J145" s="68"/>
      <c r="K145" s="68"/>
      <c r="L145" s="68"/>
      <c r="M145" s="68"/>
      <c r="N145" s="36"/>
    </row>
    <row r="146" spans="1:14" ht="15">
      <c r="A146" t="s">
        <v>16</v>
      </c>
      <c r="J146"/>
      <c r="N146" s="36"/>
    </row>
    <row r="147" spans="1:51" ht="15">
      <c r="A147" t="s">
        <v>16</v>
      </c>
      <c r="E147" s="26"/>
      <c r="G147" s="26"/>
      <c r="I147" s="26"/>
      <c r="J147" s="26"/>
      <c r="K147" s="26"/>
      <c r="L147" s="26"/>
      <c r="M147" s="26"/>
      <c r="N147" s="206"/>
      <c r="O147" s="208" t="str">
        <f>O11</f>
        <v>Reference</v>
      </c>
      <c r="Q147" s="208"/>
      <c r="S147" s="208"/>
      <c r="T147" s="208"/>
      <c r="U147" s="208"/>
      <c r="V147" s="208"/>
      <c r="W147" s="208"/>
      <c r="X147" s="208"/>
      <c r="Y147" s="208" t="str">
        <f>Y11</f>
        <v>Scenario</v>
      </c>
      <c r="AA147" s="208"/>
      <c r="AB147" s="208"/>
      <c r="AD147" s="208"/>
      <c r="AE147" s="208"/>
      <c r="AF147" s="208"/>
      <c r="AG147" s="208"/>
      <c r="AH147" s="208"/>
      <c r="AR147" s="208"/>
      <c r="AS147" s="208"/>
      <c r="AT147" s="208"/>
      <c r="AU147" s="208"/>
      <c r="AV147" s="208"/>
      <c r="AW147" s="208"/>
      <c r="AX147" s="208"/>
      <c r="AY147" s="208"/>
    </row>
    <row r="148" spans="1:51" ht="15.75" thickBot="1">
      <c r="A148" t="s">
        <v>16</v>
      </c>
      <c r="C148" s="6" t="s">
        <v>130</v>
      </c>
      <c r="D148" s="6"/>
      <c r="E148" s="10">
        <f t="shared" si="320" ref="E148:M148">E4</f>
        <v>2017</v>
      </c>
      <c r="F148" s="10">
        <f t="shared" si="320"/>
        <v>2019</v>
      </c>
      <c r="G148" s="10">
        <f t="shared" si="320"/>
        <v>2020</v>
      </c>
      <c r="H148" s="10">
        <f t="shared" si="320"/>
        <v>2021</v>
      </c>
      <c r="I148" s="10">
        <f t="shared" si="320"/>
        <v>2030</v>
      </c>
      <c r="J148" s="10">
        <f t="shared" si="320"/>
        <v>2040</v>
      </c>
      <c r="K148" s="10">
        <f t="shared" si="321" ref="K148:L148">K4</f>
        <v>2050</v>
      </c>
      <c r="L148" s="10">
        <f t="shared" si="321"/>
        <v>2060</v>
      </c>
      <c r="M148" s="10">
        <f t="shared" si="320"/>
        <v>2070</v>
      </c>
      <c r="N148" s="206"/>
      <c r="O148" s="241">
        <f t="shared" si="322" ref="O148:W148">O$12</f>
        <v>2017</v>
      </c>
      <c r="P148" s="241">
        <f t="shared" si="322"/>
        <v>2019</v>
      </c>
      <c r="Q148" s="241">
        <f t="shared" si="322"/>
        <v>2020</v>
      </c>
      <c r="R148" s="241">
        <f t="shared" si="322"/>
        <v>2021</v>
      </c>
      <c r="S148" s="241">
        <f t="shared" si="322"/>
        <v>2030</v>
      </c>
      <c r="T148" s="241">
        <f t="shared" si="322"/>
        <v>2040</v>
      </c>
      <c r="U148" s="241">
        <f t="shared" si="322"/>
        <v>2050</v>
      </c>
      <c r="V148" s="241">
        <f t="shared" si="322"/>
        <v>2060</v>
      </c>
      <c r="W148" s="241">
        <f t="shared" si="322"/>
        <v>2070</v>
      </c>
      <c r="X148" s="208"/>
      <c r="Y148" s="241">
        <f t="shared" si="323" ref="Y148:AG148">Y$12</f>
        <v>2017</v>
      </c>
      <c r="Z148" s="241">
        <f t="shared" si="323"/>
        <v>2019</v>
      </c>
      <c r="AA148" s="241">
        <f t="shared" si="323"/>
        <v>2020</v>
      </c>
      <c r="AB148" s="241">
        <f t="shared" si="323"/>
        <v>2021</v>
      </c>
      <c r="AC148" s="241">
        <f t="shared" si="323"/>
        <v>2030</v>
      </c>
      <c r="AD148" s="241">
        <f t="shared" si="323"/>
        <v>2040</v>
      </c>
      <c r="AE148" s="241">
        <f t="shared" si="323"/>
        <v>2050</v>
      </c>
      <c r="AF148" s="241">
        <f t="shared" si="323"/>
        <v>2060</v>
      </c>
      <c r="AG148" s="241">
        <f t="shared" si="323"/>
        <v>2070</v>
      </c>
      <c r="AH148" s="208"/>
      <c r="AR148" s="208"/>
      <c r="AS148" s="208"/>
      <c r="AT148" s="208"/>
      <c r="AU148" s="208"/>
      <c r="AV148" s="208"/>
      <c r="AW148" s="208"/>
      <c r="AX148" s="208"/>
      <c r="AY148" s="208"/>
    </row>
    <row r="149" spans="1:51" ht="15">
      <c r="A149" t="s">
        <v>16</v>
      </c>
      <c r="B149" t="s">
        <v>116</v>
      </c>
      <c r="C149" t="s">
        <v>90</v>
      </c>
      <c r="D149" t="s">
        <v>75</v>
      </c>
      <c r="E149" s="262">
        <f>SUMIF('BY-DMD'!$H$5:$H$138,B149,'BY-DMD'!$I$5:$I$138)</f>
        <v>81.1386031348502</v>
      </c>
      <c r="F149" s="43">
        <f t="shared" si="324" ref="F149:J156">IF($D$4,Z149,P149)</f>
        <v>84.616485002842012</v>
      </c>
      <c r="G149" s="43">
        <f t="shared" si="324"/>
        <v>78.308349507973659</v>
      </c>
      <c r="H149" s="43">
        <f t="shared" si="324"/>
        <v>79.571725511782603</v>
      </c>
      <c r="I149" s="43">
        <f t="shared" si="324"/>
        <v>110.5209330137772</v>
      </c>
      <c r="J149" s="43">
        <f t="shared" si="324"/>
        <v>157.98864398874304</v>
      </c>
      <c r="K149" s="43">
        <f t="shared" si="325" ref="K149:K156">IF($D$4,AE149,U149)</f>
        <v>214.91417935289618</v>
      </c>
      <c r="L149" s="43">
        <f t="shared" si="326" ref="L149:L156">IF($D$4,AF149,V149)</f>
        <v>234.87243386381823</v>
      </c>
      <c r="M149" s="43">
        <f t="shared" si="327" ref="M149:M156">IF($D$4,AG149,W149)</f>
        <v>243.75712018368034</v>
      </c>
      <c r="N149" s="209" t="str">
        <f t="shared" si="328" ref="N149:N156">C149</f>
        <v>Car Priv.Veh. Vehicle km</v>
      </c>
      <c r="O149" s="198">
        <f t="shared" si="329" ref="O149:R149">O132*O$111</f>
        <v>80.737936364882756</v>
      </c>
      <c r="P149" s="198">
        <f>P132*P$111</f>
        <v>84.616485002842012</v>
      </c>
      <c r="Q149" s="198">
        <f t="shared" si="329"/>
        <v>78.308349507973659</v>
      </c>
      <c r="R149" s="198">
        <f t="shared" si="329"/>
        <v>79.571725511782603</v>
      </c>
      <c r="S149" s="248">
        <f t="shared" si="330" ref="S149:W151">S132*S$111</f>
        <v>110.5209330137772</v>
      </c>
      <c r="T149" s="248">
        <f t="shared" si="330"/>
        <v>157.98864398874304</v>
      </c>
      <c r="U149" s="248">
        <f t="shared" si="331" ref="U149:V149">U132*U$111</f>
        <v>214.91417935289618</v>
      </c>
      <c r="V149" s="248">
        <f t="shared" si="331"/>
        <v>234.87243386381823</v>
      </c>
      <c r="W149" s="248">
        <f t="shared" si="330"/>
        <v>243.75712018368034</v>
      </c>
      <c r="X149" s="198"/>
      <c r="Y149" s="198">
        <f t="shared" si="332" ref="Y149:AB156">O149</f>
        <v>80.737936364882756</v>
      </c>
      <c r="Z149" s="198">
        <f t="shared" si="332"/>
        <v>84.616485002842012</v>
      </c>
      <c r="AA149" s="198">
        <f t="shared" si="332"/>
        <v>78.308349507973659</v>
      </c>
      <c r="AB149" s="198">
        <f t="shared" si="332"/>
        <v>79.571725511782603</v>
      </c>
      <c r="AC149" s="248">
        <f t="shared" si="333" ref="AC149:AG149">AC132*AC$111</f>
        <v>100.60965164556748</v>
      </c>
      <c r="AD149" s="248">
        <f t="shared" si="333"/>
        <v>135.51643751978685</v>
      </c>
      <c r="AE149" s="248">
        <f t="shared" si="333"/>
        <v>184.1192185122645</v>
      </c>
      <c r="AF149" s="248">
        <f t="shared" si="333"/>
        <v>201.33363200860683</v>
      </c>
      <c r="AG149" s="248">
        <f t="shared" si="333"/>
        <v>197.2282248011951</v>
      </c>
      <c r="AH149" s="198"/>
      <c r="AI149" s="198"/>
      <c r="AJ149" s="198"/>
      <c r="AR149" s="198"/>
      <c r="AS149" s="198"/>
      <c r="AT149" s="198"/>
      <c r="AU149" s="198"/>
      <c r="AV149" s="198"/>
      <c r="AW149" s="198"/>
      <c r="AX149" s="198"/>
      <c r="AY149" s="198"/>
    </row>
    <row r="150" spans="1:51" ht="15">
      <c r="A150" t="s">
        <v>16</v>
      </c>
      <c r="B150" t="s">
        <v>115</v>
      </c>
      <c r="C150" t="s">
        <v>89</v>
      </c>
      <c r="D150" t="s">
        <v>75</v>
      </c>
      <c r="E150" s="262">
        <f>SUMIF('BY-DMD'!$H$5:$H$138,B150,'BY-DMD'!$I$5:$I$138)</f>
        <v>17.754191802068</v>
      </c>
      <c r="F150" s="43">
        <f t="shared" si="324"/>
        <v>17.98100306310393</v>
      </c>
      <c r="G150" s="43">
        <f t="shared" si="324"/>
        <v>16.640524270444406</v>
      </c>
      <c r="H150" s="43">
        <f t="shared" si="324"/>
        <v>16.908991671253805</v>
      </c>
      <c r="I150" s="43">
        <f t="shared" si="324"/>
        <v>23.485698265427658</v>
      </c>
      <c r="J150" s="43">
        <f t="shared" si="324"/>
        <v>33.572586847607901</v>
      </c>
      <c r="K150" s="43">
        <f t="shared" si="325"/>
        <v>45.669263112490441</v>
      </c>
      <c r="L150" s="43">
        <f t="shared" si="326"/>
        <v>49.91039219606138</v>
      </c>
      <c r="M150" s="43">
        <f t="shared" si="327"/>
        <v>51.798388039032076</v>
      </c>
      <c r="N150" s="209" t="str">
        <f t="shared" si="328"/>
        <v>SUV Priv.Veh. Vehicle km</v>
      </c>
      <c r="O150" s="198">
        <f t="shared" si="334" ref="O150:R150">O133*O$111</f>
        <v>17.156811477537588</v>
      </c>
      <c r="P150" s="198">
        <f t="shared" si="334"/>
        <v>17.98100306310393</v>
      </c>
      <c r="Q150" s="198">
        <f t="shared" si="334"/>
        <v>16.640524270444406</v>
      </c>
      <c r="R150" s="198">
        <f t="shared" si="334"/>
        <v>16.908991671253805</v>
      </c>
      <c r="S150" s="248">
        <f t="shared" si="330"/>
        <v>23.485698265427658</v>
      </c>
      <c r="T150" s="248">
        <f t="shared" si="330"/>
        <v>33.572586847607901</v>
      </c>
      <c r="U150" s="248">
        <f t="shared" si="335" ref="U150:V150">U133*U$111</f>
        <v>45.669263112490441</v>
      </c>
      <c r="V150" s="248">
        <f t="shared" si="335"/>
        <v>49.91039219606138</v>
      </c>
      <c r="W150" s="248">
        <f t="shared" si="330"/>
        <v>51.798388039032076</v>
      </c>
      <c r="X150" s="198"/>
      <c r="Y150" s="198">
        <f t="shared" si="332"/>
        <v>17.156811477537588</v>
      </c>
      <c r="Z150" s="198">
        <f t="shared" si="332"/>
        <v>17.98100306310393</v>
      </c>
      <c r="AA150" s="198">
        <f t="shared" si="332"/>
        <v>16.640524270444406</v>
      </c>
      <c r="AB150" s="198">
        <f t="shared" si="332"/>
        <v>16.908991671253805</v>
      </c>
      <c r="AC150" s="248">
        <f t="shared" si="336" ref="AC150:AG150">AC133*AC$111</f>
        <v>21.379550974683092</v>
      </c>
      <c r="AD150" s="248">
        <f t="shared" si="336"/>
        <v>28.797242972954709</v>
      </c>
      <c r="AE150" s="248">
        <f t="shared" si="336"/>
        <v>39.125333933856211</v>
      </c>
      <c r="AF150" s="248">
        <f t="shared" si="336"/>
        <v>42.783396801828957</v>
      </c>
      <c r="AG150" s="248">
        <f t="shared" si="336"/>
        <v>41.910997770253964</v>
      </c>
      <c r="AH150" s="50"/>
      <c r="AR150" s="198"/>
      <c r="AS150" s="198"/>
      <c r="AT150" s="198"/>
      <c r="AU150" s="198"/>
      <c r="AV150" s="198"/>
      <c r="AW150" s="198"/>
      <c r="AX150" s="198"/>
      <c r="AY150" s="198"/>
    </row>
    <row r="151" spans="1:51" ht="15">
      <c r="A151" t="s">
        <v>16</v>
      </c>
      <c r="B151" t="s">
        <v>171</v>
      </c>
      <c r="C151" t="s">
        <v>175</v>
      </c>
      <c r="D151" t="s">
        <v>75</v>
      </c>
      <c r="E151" s="262">
        <f>SUMIF('BY-DMD'!$H$5:$H$138,B151,'BY-DMD'!$I$5:$I$138)</f>
        <v>5.9227912022632498</v>
      </c>
      <c r="F151" s="43">
        <f t="shared" si="324"/>
        <v>3.1731181876065753</v>
      </c>
      <c r="G151" s="43">
        <f t="shared" si="324"/>
        <v>2.9365631065490123</v>
      </c>
      <c r="H151" s="43">
        <f t="shared" si="324"/>
        <v>2.9839397066918476</v>
      </c>
      <c r="I151" s="43">
        <f t="shared" si="324"/>
        <v>4.1445349880166447</v>
      </c>
      <c r="J151" s="43">
        <f t="shared" si="324"/>
        <v>5.9245741495778637</v>
      </c>
      <c r="K151" s="43">
        <f t="shared" si="325"/>
        <v>8.0592817257336069</v>
      </c>
      <c r="L151" s="43">
        <f t="shared" si="326"/>
        <v>8.8077162698931843</v>
      </c>
      <c r="M151" s="43">
        <f t="shared" si="327"/>
        <v>9.1408920068880128</v>
      </c>
      <c r="N151" s="209" t="str">
        <f t="shared" si="328"/>
        <v>Motorbikes Priv.Veh. Vehicle km</v>
      </c>
      <c r="O151" s="198">
        <f t="shared" si="337" ref="O151:R151">O134*O$111</f>
        <v>3.0276726136831034</v>
      </c>
      <c r="P151" s="198">
        <f t="shared" si="337"/>
        <v>3.1731181876065753</v>
      </c>
      <c r="Q151" s="198">
        <f t="shared" si="337"/>
        <v>2.9365631065490123</v>
      </c>
      <c r="R151" s="198">
        <f t="shared" si="337"/>
        <v>2.9839397066918476</v>
      </c>
      <c r="S151" s="248">
        <f t="shared" si="330"/>
        <v>4.1445349880166447</v>
      </c>
      <c r="T151" s="248">
        <f t="shared" si="330"/>
        <v>5.9245741495778637</v>
      </c>
      <c r="U151" s="248">
        <f t="shared" si="338" ref="U151:V151">U134*U$111</f>
        <v>8.0592817257336069</v>
      </c>
      <c r="V151" s="248">
        <f t="shared" si="338"/>
        <v>8.8077162698931843</v>
      </c>
      <c r="W151" s="248">
        <f t="shared" si="330"/>
        <v>9.1408920068880128</v>
      </c>
      <c r="X151" s="198"/>
      <c r="Y151" s="198">
        <f t="shared" si="332"/>
        <v>3.0276726136831034</v>
      </c>
      <c r="Z151" s="198">
        <f t="shared" si="332"/>
        <v>3.1731181876065753</v>
      </c>
      <c r="AA151" s="198">
        <f t="shared" si="332"/>
        <v>2.9365631065490123</v>
      </c>
      <c r="AB151" s="198">
        <f t="shared" si="332"/>
        <v>2.9839397066918476</v>
      </c>
      <c r="AC151" s="248">
        <f t="shared" si="339" ref="AC151:AG151">AC134*AC$111</f>
        <v>3.7728619367087806</v>
      </c>
      <c r="AD151" s="248">
        <f t="shared" si="339"/>
        <v>5.081866406992007</v>
      </c>
      <c r="AE151" s="248">
        <f t="shared" si="339"/>
        <v>6.9044706942099197</v>
      </c>
      <c r="AF151" s="248">
        <f t="shared" si="339"/>
        <v>7.5500112003227571</v>
      </c>
      <c r="AG151" s="248">
        <f t="shared" si="339"/>
        <v>7.3960584300448167</v>
      </c>
      <c r="AH151" s="198"/>
      <c r="AI151" s="198"/>
      <c r="AJ151" s="198"/>
      <c r="AL151" s="208"/>
      <c r="AM151" s="198"/>
      <c r="AN151" s="198"/>
      <c r="AO151" s="198"/>
      <c r="AP151" s="198"/>
      <c r="AQ151" s="198"/>
      <c r="AR151" s="198"/>
      <c r="AS151" s="198"/>
      <c r="AT151" s="198"/>
      <c r="AU151" s="198"/>
      <c r="AV151" s="198"/>
      <c r="AW151" s="198"/>
      <c r="AX151" s="198"/>
      <c r="AY151" s="198"/>
    </row>
    <row r="152" spans="1:51" ht="15">
      <c r="A152" t="s">
        <v>16</v>
      </c>
      <c r="B152" t="s">
        <v>117</v>
      </c>
      <c r="C152" t="s">
        <v>76</v>
      </c>
      <c r="D152" t="s">
        <v>75</v>
      </c>
      <c r="E152" s="262">
        <f>SUMIF('BY-DMD'!$H$5:$H$138,B152,'BY-DMD'!$I$5:$I$138)</f>
        <v>0.64296697178877804</v>
      </c>
      <c r="F152" s="43">
        <f t="shared" si="324"/>
        <v>0.65561461783585018</v>
      </c>
      <c r="G152" s="43">
        <f t="shared" si="324"/>
        <v>0.6666265611015576</v>
      </c>
      <c r="H152" s="43">
        <f t="shared" si="324"/>
        <v>0.68165992851148161</v>
      </c>
      <c r="I152" s="43">
        <f t="shared" si="324"/>
        <v>0.68770089093312015</v>
      </c>
      <c r="J152" s="43">
        <f t="shared" si="324"/>
        <v>0.65534488386701795</v>
      </c>
      <c r="K152" s="43">
        <f t="shared" si="325"/>
        <v>0.58511426830450586</v>
      </c>
      <c r="L152" s="43">
        <f t="shared" si="326"/>
        <v>0.56978445759695118</v>
      </c>
      <c r="M152" s="43">
        <f t="shared" si="327"/>
        <v>0.56058567140481308</v>
      </c>
      <c r="N152" s="209" t="str">
        <f t="shared" si="328"/>
        <v>Bus vehicle km</v>
      </c>
      <c r="O152" s="198">
        <f t="shared" si="340" ref="O152:R152">O137*O$129/O142</f>
        <v>0.6407849258947157</v>
      </c>
      <c r="P152" s="198">
        <f t="shared" si="340"/>
        <v>0.65561461783585018</v>
      </c>
      <c r="Q152" s="198">
        <f t="shared" si="340"/>
        <v>0.6666265611015576</v>
      </c>
      <c r="R152" s="198">
        <f t="shared" si="340"/>
        <v>0.68165992851148161</v>
      </c>
      <c r="S152" s="248">
        <f t="shared" si="341" ref="S152:W153">S137*S$129/S142</f>
        <v>0.68770089093312015</v>
      </c>
      <c r="T152" s="248">
        <f t="shared" si="341"/>
        <v>0.65534488386701795</v>
      </c>
      <c r="U152" s="248">
        <f t="shared" si="342" ref="U152:V152">U137*U$129/U142</f>
        <v>0.58511426830450586</v>
      </c>
      <c r="V152" s="248">
        <f t="shared" si="342"/>
        <v>0.56978445759695118</v>
      </c>
      <c r="W152" s="248">
        <f t="shared" si="341"/>
        <v>0.56058567140481308</v>
      </c>
      <c r="X152" s="198"/>
      <c r="Y152" s="198">
        <f t="shared" si="332"/>
        <v>0.6407849258947157</v>
      </c>
      <c r="Z152" s="198">
        <f t="shared" si="332"/>
        <v>0.65561461783585018</v>
      </c>
      <c r="AA152" s="198">
        <f t="shared" si="332"/>
        <v>0.6666265611015576</v>
      </c>
      <c r="AB152" s="198">
        <f t="shared" si="332"/>
        <v>0.68165992851148161</v>
      </c>
      <c r="AC152" s="248">
        <f t="shared" si="343" ref="AC152:AG152">AC137*AC$129/AC142</f>
        <v>0.70765629207753289</v>
      </c>
      <c r="AD152" s="248">
        <f t="shared" si="343"/>
        <v>0.69983349626153635</v>
      </c>
      <c r="AE152" s="248">
        <f t="shared" si="343"/>
        <v>0.64090841656437558</v>
      </c>
      <c r="AF152" s="248">
        <f t="shared" si="343"/>
        <v>0.62858734159646079</v>
      </c>
      <c r="AG152" s="248">
        <f t="shared" si="343"/>
        <v>0.64719335838497283</v>
      </c>
      <c r="AH152" s="198"/>
      <c r="AI152" s="198"/>
      <c r="AJ152" s="198"/>
      <c r="AL152" s="208"/>
      <c r="AM152" s="198"/>
      <c r="AN152" s="198"/>
      <c r="AO152" s="198"/>
      <c r="AP152" s="198"/>
      <c r="AQ152" s="198"/>
      <c r="AR152" s="198"/>
      <c r="AS152" s="198"/>
      <c r="AT152" s="198"/>
      <c r="AU152" s="198"/>
      <c r="AV152" s="198"/>
      <c r="AW152" s="198"/>
      <c r="AX152" s="198"/>
      <c r="AY152" s="198"/>
    </row>
    <row r="153" spans="1:51" ht="15">
      <c r="A153" t="s">
        <v>16</v>
      </c>
      <c r="B153" t="s">
        <v>118</v>
      </c>
      <c r="C153" t="s">
        <v>77</v>
      </c>
      <c r="D153" t="s">
        <v>75</v>
      </c>
      <c r="E153" s="262">
        <f>SUMIF('BY-DMD'!$H$5:$H$138,B153,'BY-DMD'!$I$5:$I$138)</f>
        <v>7.2130505455454896</v>
      </c>
      <c r="F153" s="262">
        <f t="shared" si="324"/>
        <v>7.3560605036075861</v>
      </c>
      <c r="G153" s="43">
        <f t="shared" si="324"/>
        <v>7.4796155902715018</v>
      </c>
      <c r="H153" s="43">
        <f t="shared" si="324"/>
        <v>7.6482914514129181</v>
      </c>
      <c r="I153" s="43">
        <f t="shared" si="324"/>
        <v>7.7160716440210066</v>
      </c>
      <c r="J153" s="43">
        <f t="shared" si="324"/>
        <v>7.3530340619441006</v>
      </c>
      <c r="K153" s="43">
        <f t="shared" si="325"/>
        <v>6.5650396468885273</v>
      </c>
      <c r="L153" s="43">
        <f t="shared" si="326"/>
        <v>6.3930376627871643</v>
      </c>
      <c r="M153" s="43">
        <f t="shared" si="327"/>
        <v>6.2898263768453058</v>
      </c>
      <c r="N153" s="209" t="str">
        <f t="shared" si="328"/>
        <v>Minibus vehicle km</v>
      </c>
      <c r="O153" s="198">
        <f t="shared" si="344" ref="O153:R153">O138*O$129/O143</f>
        <v>7.1896699012611327</v>
      </c>
      <c r="P153" s="198">
        <f t="shared" si="344"/>
        <v>7.3560605036075861</v>
      </c>
      <c r="Q153" s="198">
        <f t="shared" si="344"/>
        <v>7.4796155902715018</v>
      </c>
      <c r="R153" s="198">
        <f t="shared" si="344"/>
        <v>7.6482914514129181</v>
      </c>
      <c r="S153" s="248">
        <f t="shared" si="341"/>
        <v>7.7160716440210066</v>
      </c>
      <c r="T153" s="248">
        <f t="shared" si="341"/>
        <v>7.3530340619441006</v>
      </c>
      <c r="U153" s="248">
        <f t="shared" si="345" ref="U153:V153">U138*U$129/U143</f>
        <v>6.5650396468885273</v>
      </c>
      <c r="V153" s="248">
        <f t="shared" si="345"/>
        <v>6.3930376627871643</v>
      </c>
      <c r="W153" s="248">
        <f t="shared" si="341"/>
        <v>6.2898263768453058</v>
      </c>
      <c r="X153" s="198"/>
      <c r="Y153" s="198">
        <f t="shared" si="332"/>
        <v>7.1896699012611327</v>
      </c>
      <c r="Z153" s="198">
        <f t="shared" si="332"/>
        <v>7.3560605036075861</v>
      </c>
      <c r="AA153" s="198">
        <f t="shared" si="332"/>
        <v>7.4796155902715018</v>
      </c>
      <c r="AB153" s="198">
        <f t="shared" si="332"/>
        <v>7.6482914514129181</v>
      </c>
      <c r="AC153" s="248">
        <f t="shared" si="346" ref="AC153:AG153">AC138*AC$129/AC143</f>
        <v>7.6848657249421342</v>
      </c>
      <c r="AD153" s="248">
        <f t="shared" si="346"/>
        <v>7.4043416522640753</v>
      </c>
      <c r="AE153" s="248">
        <f t="shared" si="346"/>
        <v>6.78090561455602</v>
      </c>
      <c r="AF153" s="248">
        <f t="shared" si="346"/>
        <v>6.6505468233964908</v>
      </c>
      <c r="AG153" s="248">
        <f t="shared" si="346"/>
        <v>6.84740122637354</v>
      </c>
      <c r="AH153" s="198"/>
      <c r="AI153" s="198"/>
      <c r="AJ153" s="198"/>
      <c r="AL153" s="198"/>
      <c r="AM153" s="198"/>
      <c r="AN153" s="198"/>
      <c r="AO153" s="198"/>
      <c r="AP153" s="198"/>
      <c r="AQ153" s="198"/>
      <c r="AR153" s="198"/>
      <c r="AS153" s="198"/>
      <c r="AT153" s="198"/>
      <c r="AU153" s="198"/>
      <c r="AV153" s="198"/>
      <c r="AW153" s="198"/>
      <c r="AX153" s="198"/>
      <c r="AY153" s="198"/>
    </row>
    <row r="154" spans="1:51" ht="15">
      <c r="A154" t="s">
        <v>16</v>
      </c>
      <c r="B154" t="s">
        <v>119</v>
      </c>
      <c r="C154" t="s">
        <v>78</v>
      </c>
      <c r="D154" t="s">
        <v>75</v>
      </c>
      <c r="E154" s="262">
        <f>SUMIF('BY-DMD'!$H$5:$H$138,B154,'BY-DMD'!$I$5:$I$138)</f>
        <v>0.072799982901224303</v>
      </c>
      <c r="F154" s="43">
        <f t="shared" si="324"/>
        <v>0.1113095478662298</v>
      </c>
      <c r="G154" s="43">
        <f t="shared" si="324"/>
        <v>0.11091277099762989</v>
      </c>
      <c r="H154" s="43">
        <f t="shared" si="324"/>
        <v>0.11320845736963975</v>
      </c>
      <c r="I154" s="43">
        <f t="shared" si="324"/>
        <v>0.12338686882584481</v>
      </c>
      <c r="J154" s="43">
        <f t="shared" si="324"/>
        <v>0.13318832356091539</v>
      </c>
      <c r="K154" s="43">
        <f t="shared" si="325"/>
        <v>0.1405815851382565</v>
      </c>
      <c r="L154" s="43">
        <f t="shared" si="326"/>
        <v>0.14473458090800723</v>
      </c>
      <c r="M154" s="43">
        <f t="shared" si="327"/>
        <v>0.14640680725053476</v>
      </c>
      <c r="N154" s="209" t="str">
        <f t="shared" si="328"/>
        <v>BRT vehicle km</v>
      </c>
      <c r="O154" s="291">
        <f t="shared" si="347" ref="O154:R154">O$127/O144</f>
        <v>0.072799982901224289</v>
      </c>
      <c r="P154" s="198">
        <f t="shared" si="347"/>
        <v>0.1113095478662298</v>
      </c>
      <c r="Q154" s="198">
        <f t="shared" si="347"/>
        <v>0.11091277099762989</v>
      </c>
      <c r="R154" s="198">
        <f t="shared" si="347"/>
        <v>0.11320845736963975</v>
      </c>
      <c r="S154" s="248">
        <f>S$127/S144</f>
        <v>0.12338686882584481</v>
      </c>
      <c r="T154" s="248">
        <f>T$127/T144</f>
        <v>0.13318832356091539</v>
      </c>
      <c r="U154" s="248">
        <f>U$127/U144</f>
        <v>0.1405815851382565</v>
      </c>
      <c r="V154" s="248">
        <f>V$127/V144</f>
        <v>0.14473458090800723</v>
      </c>
      <c r="W154" s="248">
        <f>W$127/W144</f>
        <v>0.14640680725053476</v>
      </c>
      <c r="X154" s="198"/>
      <c r="Y154" s="198">
        <f t="shared" si="332"/>
        <v>0.072799982901224289</v>
      </c>
      <c r="Z154" s="198">
        <f t="shared" si="332"/>
        <v>0.1113095478662298</v>
      </c>
      <c r="AA154" s="198">
        <f t="shared" si="332"/>
        <v>0.11091277099762989</v>
      </c>
      <c r="AB154" s="198">
        <f t="shared" si="332"/>
        <v>0.11320845736963975</v>
      </c>
      <c r="AC154" s="248">
        <f>AC$127/AC144</f>
        <v>0.10846566608411473</v>
      </c>
      <c r="AD154" s="248">
        <f>AD$127/AD144</f>
        <v>0.11708182861866515</v>
      </c>
      <c r="AE154" s="248">
        <f>AE$127/AE144</f>
        <v>0.12358102135409524</v>
      </c>
      <c r="AF154" s="248">
        <f>AF$127/AF144</f>
        <v>0.12723179437959703</v>
      </c>
      <c r="AG154" s="248">
        <f>AG$127/AG144</f>
        <v>0.12870179800163284</v>
      </c>
      <c r="AH154" s="198"/>
      <c r="AI154" s="198"/>
      <c r="AJ154" s="198"/>
      <c r="AL154" s="198"/>
      <c r="AM154" s="198"/>
      <c r="AN154" s="198"/>
      <c r="AO154" s="198"/>
      <c r="AP154" s="198"/>
      <c r="AQ154" s="198"/>
      <c r="AR154" s="198"/>
      <c r="AS154" s="198"/>
      <c r="AT154" s="198"/>
      <c r="AU154" s="198"/>
      <c r="AV154" s="198"/>
      <c r="AW154" s="198"/>
      <c r="AX154" s="198"/>
      <c r="AY154" s="198"/>
    </row>
    <row r="155" spans="1:51" ht="15">
      <c r="A155" t="s">
        <v>16</v>
      </c>
      <c r="B155" t="s">
        <v>120</v>
      </c>
      <c r="C155" t="s">
        <v>79</v>
      </c>
      <c r="D155" t="str">
        <f>D154</f>
        <v>billion</v>
      </c>
      <c r="E155" s="262">
        <f>SUMIF('BY-DMD'!$H$5:$H$138,B155,'BY-DMD'!$I$5:$I$138)</f>
        <v>8.7048317578401608</v>
      </c>
      <c r="F155" s="43">
        <f t="shared" si="324"/>
        <v>8.8749083635056305</v>
      </c>
      <c r="G155" s="43">
        <f t="shared" si="324"/>
        <v>9.0239745751619225</v>
      </c>
      <c r="H155" s="43">
        <f t="shared" si="324"/>
        <v>9.227477905515352</v>
      </c>
      <c r="I155" s="43">
        <f t="shared" si="324"/>
        <v>9.3092530619272011</v>
      </c>
      <c r="J155" s="43">
        <f t="shared" si="324"/>
        <v>8.8712570351325493</v>
      </c>
      <c r="K155" s="43">
        <f t="shared" si="325"/>
        <v>7.9205609089733473</v>
      </c>
      <c r="L155" s="43">
        <f t="shared" si="326"/>
        <v>7.7130446920400964</v>
      </c>
      <c r="M155" s="43">
        <f t="shared" si="327"/>
        <v>7.5885227819274288</v>
      </c>
      <c r="N155" s="209" t="str">
        <f t="shared" si="328"/>
        <v>Metro Rail pkm</v>
      </c>
      <c r="O155" s="198">
        <f t="shared" si="348" ref="O155:R155">O139*O$129</f>
        <v>8.6741621423932465</v>
      </c>
      <c r="P155" s="198">
        <f t="shared" si="348"/>
        <v>8.8749083635056305</v>
      </c>
      <c r="Q155" s="198">
        <f t="shared" si="348"/>
        <v>9.0239745751619225</v>
      </c>
      <c r="R155" s="198">
        <f t="shared" si="348"/>
        <v>9.227477905515352</v>
      </c>
      <c r="S155" s="248">
        <f>S139*S$129</f>
        <v>9.3092530619272011</v>
      </c>
      <c r="T155" s="248">
        <f>T139*T$129</f>
        <v>8.8712570351325493</v>
      </c>
      <c r="U155" s="248">
        <f>U139*U$129</f>
        <v>7.9205609089733473</v>
      </c>
      <c r="V155" s="248">
        <f>V139*V$129</f>
        <v>7.7130446920400964</v>
      </c>
      <c r="W155" s="248">
        <f>W139*W$129</f>
        <v>7.5885227819274288</v>
      </c>
      <c r="X155" s="198"/>
      <c r="Y155" s="198">
        <f t="shared" si="332"/>
        <v>8.6741621423932465</v>
      </c>
      <c r="Z155" s="198">
        <f t="shared" si="332"/>
        <v>8.8749083635056305</v>
      </c>
      <c r="AA155" s="198">
        <f t="shared" si="332"/>
        <v>9.0239745751619225</v>
      </c>
      <c r="AB155" s="198">
        <f t="shared" si="332"/>
        <v>9.227477905515352</v>
      </c>
      <c r="AC155" s="248">
        <f>AC139*AC$129</f>
        <v>13.150889621941634</v>
      </c>
      <c r="AD155" s="248">
        <f>AD139*AD$129</f>
        <v>15.743515663160542</v>
      </c>
      <c r="AE155" s="248">
        <f>AE139*AE$129</f>
        <v>14.41793190627997</v>
      </c>
      <c r="AF155" s="248">
        <f>AF139*AF$129</f>
        <v>14.140755924020539</v>
      </c>
      <c r="AG155" s="248">
        <f>AG139*AG$129</f>
        <v>14.559318508269149</v>
      </c>
      <c r="AH155" s="198"/>
      <c r="AI155" s="198"/>
      <c r="AJ155" s="198"/>
      <c r="AL155" s="198"/>
      <c r="AM155" s="198"/>
      <c r="AN155" s="198"/>
      <c r="AO155" s="198"/>
      <c r="AP155" s="198"/>
      <c r="AQ155" s="198"/>
      <c r="AR155" s="198"/>
      <c r="AS155" s="198"/>
      <c r="AT155" s="198"/>
      <c r="AU155" s="198"/>
      <c r="AV155" s="198"/>
      <c r="AW155" s="198"/>
      <c r="AX155" s="198"/>
      <c r="AY155" s="198"/>
    </row>
    <row r="156" spans="1:51" ht="15">
      <c r="A156" t="s">
        <v>16</v>
      </c>
      <c r="B156" t="s">
        <v>121</v>
      </c>
      <c r="C156" t="s">
        <v>80</v>
      </c>
      <c r="D156" t="s">
        <v>75</v>
      </c>
      <c r="E156" s="262">
        <f>SUMIF('BY-DMD'!$H$5:$H$138,B156,'BY-DMD'!$I$5:$I$138)</f>
        <v>0.64854136839212595</v>
      </c>
      <c r="F156" s="43">
        <f t="shared" si="324"/>
        <v>0.6995709084876961</v>
      </c>
      <c r="G156" s="43">
        <f t="shared" si="324"/>
        <v>0.64248252977129328</v>
      </c>
      <c r="H156" s="43">
        <f t="shared" si="324"/>
        <v>0.63988638610905979</v>
      </c>
      <c r="I156" s="43">
        <f t="shared" si="324"/>
        <v>0.87980624466627066</v>
      </c>
      <c r="J156" s="43">
        <f t="shared" si="324"/>
        <v>1.1673187884898968</v>
      </c>
      <c r="K156" s="43">
        <f t="shared" si="325"/>
        <v>1.3742480365516063</v>
      </c>
      <c r="L156" s="43">
        <f t="shared" si="326"/>
        <v>1.5073494303226469</v>
      </c>
      <c r="M156" s="43">
        <f t="shared" si="327"/>
        <v>1.5904246596034544</v>
      </c>
      <c r="N156" s="209" t="str">
        <f t="shared" si="328"/>
        <v>Gautrain pkm</v>
      </c>
      <c r="O156" s="195">
        <f t="shared" si="349" ref="O156:R156">O128</f>
        <v>0.64854136839212595</v>
      </c>
      <c r="P156" s="198">
        <f t="shared" si="349"/>
        <v>0.6995709084876961</v>
      </c>
      <c r="Q156" s="198">
        <f t="shared" si="349"/>
        <v>0.64248252977129328</v>
      </c>
      <c r="R156" s="198">
        <f t="shared" si="349"/>
        <v>0.63988638610905979</v>
      </c>
      <c r="S156" s="248">
        <f>S128</f>
        <v>0.87980624466627066</v>
      </c>
      <c r="T156" s="248">
        <f>T128</f>
        <v>1.1673187884898968</v>
      </c>
      <c r="U156" s="248">
        <f>U128</f>
        <v>1.3742480365516063</v>
      </c>
      <c r="V156" s="248">
        <f>V128</f>
        <v>1.5073494303226469</v>
      </c>
      <c r="W156" s="248">
        <f>W128</f>
        <v>1.5904246596034544</v>
      </c>
      <c r="X156" s="198"/>
      <c r="Y156" s="198">
        <f t="shared" si="332"/>
        <v>0.64854136839212595</v>
      </c>
      <c r="Z156" s="198">
        <f t="shared" si="332"/>
        <v>0.6995709084876961</v>
      </c>
      <c r="AA156" s="198">
        <f t="shared" si="332"/>
        <v>0.64248252977129328</v>
      </c>
      <c r="AB156" s="198">
        <f t="shared" si="332"/>
        <v>0.63988638610905979</v>
      </c>
      <c r="AC156" s="248">
        <f>AC128</f>
        <v>1.5754943318568988</v>
      </c>
      <c r="AD156" s="248">
        <f>AD128</f>
        <v>2.7778929189983712</v>
      </c>
      <c r="AE156" s="248">
        <f>AE128</f>
        <v>4.7174800074688887</v>
      </c>
      <c r="AF156" s="248">
        <f>AF128</f>
        <v>6.0954867421708432</v>
      </c>
      <c r="AG156" s="248">
        <f>AG128</f>
        <v>6.9818259377376126</v>
      </c>
      <c r="AH156" s="198"/>
      <c r="AI156" s="198"/>
      <c r="AJ156" s="198"/>
      <c r="AL156" s="198"/>
      <c r="AM156" s="198"/>
      <c r="AN156" s="198"/>
      <c r="AO156" s="198"/>
      <c r="AP156" s="198"/>
      <c r="AQ156" s="198"/>
      <c r="AR156" s="198"/>
      <c r="AS156" s="198"/>
      <c r="AT156" s="198"/>
      <c r="AU156" s="198"/>
      <c r="AV156" s="198"/>
      <c r="AW156" s="198"/>
      <c r="AX156" s="198"/>
      <c r="AY156" s="198"/>
    </row>
    <row r="157" spans="1:37" ht="15.75" thickBot="1">
      <c r="A157" t="s">
        <v>16</v>
      </c>
      <c r="J157"/>
      <c r="N157" s="36"/>
      <c r="AK157" t="s">
        <v>606</v>
      </c>
    </row>
    <row r="158" spans="1:47" ht="15.75" thickTop="1">
      <c r="A158" t="s">
        <v>16</v>
      </c>
      <c r="J158"/>
      <c r="N158" s="314" t="s">
        <v>784</v>
      </c>
      <c r="O158" s="305"/>
      <c r="P158" s="305"/>
      <c r="Q158" s="305"/>
      <c r="R158" s="305"/>
      <c r="S158" s="305"/>
      <c r="T158" s="305"/>
      <c r="U158" s="305"/>
      <c r="V158" s="305"/>
      <c r="W158" s="305"/>
      <c r="X158" s="305"/>
      <c r="Y158" s="305"/>
      <c r="Z158" s="305"/>
      <c r="AA158" s="305"/>
      <c r="AB158" s="305"/>
      <c r="AC158" s="305"/>
      <c r="AD158" s="305"/>
      <c r="AE158" s="305"/>
      <c r="AF158" s="305"/>
      <c r="AG158" s="306"/>
      <c r="AK158" t="s">
        <v>596</v>
      </c>
      <c r="AQ158" t="s">
        <v>601</v>
      </c>
      <c r="AU158" t="s">
        <v>602</v>
      </c>
    </row>
    <row r="159" spans="1:49" ht="15.75" thickBot="1">
      <c r="A159" t="s">
        <v>16</v>
      </c>
      <c r="J159"/>
      <c r="N159" s="307"/>
      <c r="O159" t="s">
        <v>32</v>
      </c>
      <c r="Q159" s="330" t="s">
        <v>786</v>
      </c>
      <c r="S159" s="12"/>
      <c r="Y159" t="s">
        <v>185</v>
      </c>
      <c r="AB159" s="12"/>
      <c r="AG159" s="308"/>
      <c r="AK159" s="6">
        <v>-1</v>
      </c>
      <c r="AL159" s="6">
        <v>-1</v>
      </c>
      <c r="AM159" s="6">
        <v>-1</v>
      </c>
      <c r="AN159" s="6">
        <v>-1</v>
      </c>
      <c r="AO159" s="6">
        <v>-1</v>
      </c>
      <c r="AP159" s="6"/>
      <c r="AQ159" s="6">
        <v>2</v>
      </c>
      <c r="AR159" s="6">
        <v>2</v>
      </c>
      <c r="AS159" s="6">
        <v>2</v>
      </c>
      <c r="AU159" s="6">
        <v>3</v>
      </c>
      <c r="AV159" s="6">
        <v>3</v>
      </c>
      <c r="AW159" s="6">
        <v>3</v>
      </c>
    </row>
    <row r="160" spans="1:49" ht="15.75" thickBot="1">
      <c r="A160" t="s">
        <v>16</v>
      </c>
      <c r="C160" s="6" t="s">
        <v>129</v>
      </c>
      <c r="D160" s="6"/>
      <c r="E160" s="10">
        <f t="shared" si="350" ref="E160:M160">E4</f>
        <v>2017</v>
      </c>
      <c r="F160" s="10">
        <f t="shared" si="350"/>
        <v>2019</v>
      </c>
      <c r="G160" s="10">
        <f t="shared" si="350"/>
        <v>2020</v>
      </c>
      <c r="H160" s="10">
        <f t="shared" si="350"/>
        <v>2021</v>
      </c>
      <c r="I160" s="10">
        <f t="shared" si="350"/>
        <v>2030</v>
      </c>
      <c r="J160" s="10">
        <f t="shared" si="350"/>
        <v>2040</v>
      </c>
      <c r="K160" s="10">
        <f t="shared" si="351" ref="K160:L160">K4</f>
        <v>2050</v>
      </c>
      <c r="L160" s="10">
        <f t="shared" si="351"/>
        <v>2060</v>
      </c>
      <c r="M160" s="10">
        <f t="shared" si="350"/>
        <v>2070</v>
      </c>
      <c r="N160" s="307"/>
      <c r="O160" s="309">
        <f t="shared" si="352" ref="O160:W160">O$12</f>
        <v>2017</v>
      </c>
      <c r="P160" s="309">
        <f t="shared" si="352"/>
        <v>2019</v>
      </c>
      <c r="Q160" s="309">
        <f t="shared" si="352"/>
        <v>2020</v>
      </c>
      <c r="R160" s="309">
        <f t="shared" si="352"/>
        <v>2021</v>
      </c>
      <c r="S160" s="309">
        <f t="shared" si="352"/>
        <v>2030</v>
      </c>
      <c r="T160" s="309">
        <f t="shared" si="352"/>
        <v>2040</v>
      </c>
      <c r="U160" s="309">
        <f t="shared" si="352"/>
        <v>2050</v>
      </c>
      <c r="V160" s="309">
        <f t="shared" si="352"/>
        <v>2060</v>
      </c>
      <c r="W160" s="309">
        <f t="shared" si="352"/>
        <v>2070</v>
      </c>
      <c r="Y160" s="309">
        <f t="shared" si="353" ref="Y160:AG160">Y$12</f>
        <v>2017</v>
      </c>
      <c r="Z160" s="309">
        <f t="shared" si="353"/>
        <v>2019</v>
      </c>
      <c r="AA160" s="309">
        <f t="shared" si="353"/>
        <v>2020</v>
      </c>
      <c r="AB160" s="309">
        <f t="shared" si="353"/>
        <v>2021</v>
      </c>
      <c r="AC160" s="309">
        <f t="shared" si="353"/>
        <v>2030</v>
      </c>
      <c r="AD160" s="309">
        <f t="shared" si="353"/>
        <v>2040</v>
      </c>
      <c r="AE160" s="309">
        <f t="shared" si="353"/>
        <v>2050</v>
      </c>
      <c r="AF160" s="309">
        <f t="shared" si="353"/>
        <v>2060</v>
      </c>
      <c r="AG160" s="310">
        <f t="shared" si="353"/>
        <v>2070</v>
      </c>
      <c r="AK160" s="6">
        <v>2030</v>
      </c>
      <c r="AL160" s="6">
        <v>2040</v>
      </c>
      <c r="AM160" s="6">
        <v>2050</v>
      </c>
      <c r="AN160" s="6">
        <v>2060</v>
      </c>
      <c r="AO160" s="6">
        <v>2070</v>
      </c>
      <c r="AP160" s="6"/>
      <c r="AQ160" s="6">
        <v>2030</v>
      </c>
      <c r="AR160" s="6">
        <v>2040</v>
      </c>
      <c r="AS160" s="6">
        <v>2050</v>
      </c>
      <c r="AU160" s="6">
        <v>2030</v>
      </c>
      <c r="AV160" s="6">
        <v>2040</v>
      </c>
      <c r="AW160" s="6">
        <v>2050</v>
      </c>
    </row>
    <row r="161" spans="1:49" ht="15">
      <c r="A161" t="s">
        <v>16</v>
      </c>
      <c r="B161" t="s">
        <v>116</v>
      </c>
      <c r="C161" t="s">
        <v>88</v>
      </c>
      <c r="D161" t="s">
        <v>75</v>
      </c>
      <c r="E161" s="43">
        <f t="shared" si="354" ref="E161:J168">IF($D$4,Y161,O161)</f>
        <v>113.03311091083582</v>
      </c>
      <c r="F161" s="43">
        <f t="shared" si="354"/>
        <v>118.46307900397879</v>
      </c>
      <c r="G161" s="43">
        <f t="shared" si="354"/>
        <v>109.6316893111631</v>
      </c>
      <c r="H161" s="43">
        <f t="shared" si="354"/>
        <v>111.40041571649564</v>
      </c>
      <c r="I161" s="43">
        <f t="shared" si="354"/>
        <v>154.72930621928805</v>
      </c>
      <c r="J161" s="43">
        <f t="shared" si="354"/>
        <v>221.18410158424021</v>
      </c>
      <c r="K161" s="43">
        <f t="shared" si="355" ref="K161:K168">IF($D$4,AD161,T161)</f>
        <v>221.18410158424021</v>
      </c>
      <c r="L161" s="43">
        <f t="shared" si="356" ref="L161:L168">IF($D$4,AD161,T161)</f>
        <v>221.18410158424021</v>
      </c>
      <c r="M161" s="303">
        <f t="shared" si="357" ref="M161:M168">IF($D$4,AG161,W161)</f>
        <v>341.25996825715242</v>
      </c>
      <c r="N161" s="307" t="str">
        <f t="shared" si="358" ref="N161:N168">C161</f>
        <v>Car</v>
      </c>
      <c r="O161" s="12">
        <f t="shared" si="359" ref="O161:R161">SUMPRODUCT(O$35:O$38,O$41:O$44,O$54:O$57)*O132</f>
        <v>113.03311091083582</v>
      </c>
      <c r="P161" s="12">
        <f t="shared" si="359"/>
        <v>118.46307900397879</v>
      </c>
      <c r="Q161" s="12">
        <f t="shared" si="359"/>
        <v>109.6316893111631</v>
      </c>
      <c r="R161" s="12">
        <f t="shared" si="359"/>
        <v>111.40041571649564</v>
      </c>
      <c r="S161" s="336">
        <f t="shared" si="360" ref="S161:W163">SUMPRODUCT(S$35:S$38,S$41:S$44,S$54:S$57)*S132</f>
        <v>154.72930621928805</v>
      </c>
      <c r="T161" s="337">
        <f t="shared" si="360"/>
        <v>221.18410158424021</v>
      </c>
      <c r="U161" s="337">
        <f t="shared" si="361" ref="U161:V161">SUMPRODUCT(U$35:U$38,U$41:U$44,U$54:U$57)*U132</f>
        <v>300.87985109405463</v>
      </c>
      <c r="V161" s="337">
        <f t="shared" si="361"/>
        <v>328.82140740934551</v>
      </c>
      <c r="W161" s="338">
        <f t="shared" si="360"/>
        <v>341.25996825715242</v>
      </c>
      <c r="X161" s="344" t="s">
        <v>787</v>
      </c>
      <c r="Y161" s="12">
        <f t="shared" si="362" ref="Y161:AB168">O161</f>
        <v>113.03311091083582</v>
      </c>
      <c r="Z161" s="12">
        <f t="shared" si="362"/>
        <v>118.46307900397879</v>
      </c>
      <c r="AA161" s="12">
        <f t="shared" si="362"/>
        <v>109.6316893111631</v>
      </c>
      <c r="AB161" s="12">
        <f t="shared" si="362"/>
        <v>111.40041571649564</v>
      </c>
      <c r="AC161" s="336">
        <f t="shared" si="363" ref="AC161:AG161">SUMPRODUCT(AC$35:AC$38,AC$41:AC$44,AC$54:AC$57)*AC132</f>
        <v>140.85351230379445</v>
      </c>
      <c r="AD161" s="337">
        <f t="shared" si="363"/>
        <v>189.72301252770157</v>
      </c>
      <c r="AE161" s="337">
        <f t="shared" si="363"/>
        <v>257.76690591717033</v>
      </c>
      <c r="AF161" s="337">
        <f t="shared" si="363"/>
        <v>281.8670848120496</v>
      </c>
      <c r="AG161" s="338">
        <f t="shared" si="363"/>
        <v>276.11951472167311</v>
      </c>
      <c r="AK161" s="198">
        <v>0.80</v>
      </c>
      <c r="AL161" s="198">
        <f>AVERAGE(AK161,AN161)</f>
        <v>0.80000000000000004</v>
      </c>
      <c r="AM161" s="198">
        <v>0.80</v>
      </c>
      <c r="AN161" s="198">
        <v>0.80</v>
      </c>
      <c r="AO161" s="198">
        <v>0.80</v>
      </c>
      <c r="AP161" s="208"/>
      <c r="AQ161" s="198">
        <f>AVERAGE(1,1,AS161)</f>
        <v>0.93333333333333335</v>
      </c>
      <c r="AR161" s="198">
        <f>AVERAGE(AQ161,AS161)</f>
        <v>0.8666666666666667</v>
      </c>
      <c r="AS161" s="198">
        <v>0.80</v>
      </c>
      <c r="AU161" s="198">
        <v>0.80</v>
      </c>
      <c r="AV161" s="198">
        <f>AVERAGE(AW161,AU161)</f>
        <v>0.75</v>
      </c>
      <c r="AW161" s="198">
        <v>0.70</v>
      </c>
    </row>
    <row r="162" spans="1:49" ht="15">
      <c r="A162" t="s">
        <v>16</v>
      </c>
      <c r="B162" t="s">
        <v>115</v>
      </c>
      <c r="C162" t="s">
        <v>87</v>
      </c>
      <c r="D162" t="s">
        <v>75</v>
      </c>
      <c r="E162" s="43">
        <f t="shared" si="354"/>
        <v>24.019536068552615</v>
      </c>
      <c r="F162" s="43">
        <f t="shared" si="354"/>
        <v>25.173404288345498</v>
      </c>
      <c r="G162" s="43">
        <f t="shared" si="354"/>
        <v>23.296733978622161</v>
      </c>
      <c r="H162" s="43">
        <f t="shared" si="354"/>
        <v>23.672588339755329</v>
      </c>
      <c r="I162" s="43">
        <f t="shared" si="354"/>
        <v>32.879977571598715</v>
      </c>
      <c r="J162" s="43">
        <f t="shared" si="354"/>
        <v>47.001621586651048</v>
      </c>
      <c r="K162" s="43">
        <f t="shared" si="355"/>
        <v>47.001621586651048</v>
      </c>
      <c r="L162" s="43">
        <f t="shared" si="356"/>
        <v>47.001621586651048</v>
      </c>
      <c r="M162" s="303">
        <f t="shared" si="357"/>
        <v>72.517743254644898</v>
      </c>
      <c r="N162" s="307" t="str">
        <f t="shared" si="358"/>
        <v>SUV</v>
      </c>
      <c r="O162" s="12">
        <f t="shared" si="364" ref="O162:R162">SUMPRODUCT(O$35:O$38,O$41:O$44,O$54:O$57)*O133</f>
        <v>24.019536068552615</v>
      </c>
      <c r="P162" s="12">
        <f t="shared" si="364"/>
        <v>25.173404288345498</v>
      </c>
      <c r="Q162" s="12">
        <f t="shared" si="364"/>
        <v>23.296733978622161</v>
      </c>
      <c r="R162" s="12">
        <f t="shared" si="364"/>
        <v>23.672588339755329</v>
      </c>
      <c r="S162" s="339">
        <f t="shared" si="360"/>
        <v>32.879977571598715</v>
      </c>
      <c r="T162" s="311">
        <f t="shared" si="360"/>
        <v>47.001621586651048</v>
      </c>
      <c r="U162" s="311">
        <f>SUMPRODUCT(U$35:U$38,U$41:U$44,U$54:U$57)*U133</f>
        <v>63.936968357486613</v>
      </c>
      <c r="V162" s="311">
        <f>SUMPRODUCT(V$35:V$38,V$41:V$44,V$54:V$57)*V133</f>
        <v>69.874549074485941</v>
      </c>
      <c r="W162" s="340">
        <f>SUMPRODUCT(W$35:W$38,W$41:W$44,W$54:W$57)*W133</f>
        <v>72.517743254644898</v>
      </c>
      <c r="Y162" s="12">
        <f t="shared" si="362"/>
        <v>24.019536068552615</v>
      </c>
      <c r="Z162" s="12">
        <f t="shared" si="362"/>
        <v>25.173404288345498</v>
      </c>
      <c r="AA162" s="12">
        <f t="shared" si="362"/>
        <v>23.296733978622161</v>
      </c>
      <c r="AB162" s="12">
        <f t="shared" si="362"/>
        <v>23.672588339755329</v>
      </c>
      <c r="AC162" s="339">
        <f t="shared" si="365" ref="AC162:AD162">SUMPRODUCT(AC$35:AC$38,AC$41:AC$44,AC$54:AC$57)*AC133</f>
        <v>29.931371364556327</v>
      </c>
      <c r="AD162" s="311">
        <f t="shared" si="365"/>
        <v>40.316140162136591</v>
      </c>
      <c r="AE162" s="311">
        <f>SUMPRODUCT(AE$35:AE$38,AE$41:AE$44,AE$54:AE$57)*AE133</f>
        <v>54.775467507398709</v>
      </c>
      <c r="AF162" s="311">
        <f>SUMPRODUCT(AF$35:AF$38,AF$41:AF$44,AF$54:AF$57)*AF133</f>
        <v>59.896755522560554</v>
      </c>
      <c r="AG162" s="340">
        <f>SUMPRODUCT(AG$35:AG$38,AG$41:AG$44,AG$54:AG$57)*AG133</f>
        <v>58.675396878355549</v>
      </c>
      <c r="AK162" s="198">
        <f>AK161</f>
        <v>0.80000000000000004</v>
      </c>
      <c r="AL162" s="198">
        <f t="shared" si="366" ref="AL162:AN162">AL161</f>
        <v>0.80000000000000004</v>
      </c>
      <c r="AM162" s="198">
        <f t="shared" si="367" ref="AM162">AM161</f>
        <v>0.80000000000000004</v>
      </c>
      <c r="AN162" s="198">
        <f t="shared" si="366"/>
        <v>0.80000000000000004</v>
      </c>
      <c r="AO162" s="198">
        <f t="shared" si="368" ref="AO162">AO161</f>
        <v>0.80000000000000004</v>
      </c>
      <c r="AP162" s="208"/>
      <c r="AQ162" s="198">
        <f>AQ161</f>
        <v>0.93333333333333335</v>
      </c>
      <c r="AR162" s="198">
        <f t="shared" si="369" ref="AR162:AS162">AR161</f>
        <v>0.8666666666666667</v>
      </c>
      <c r="AS162" s="198">
        <f t="shared" si="369"/>
        <v>0.80000000000000004</v>
      </c>
      <c r="AU162" s="198">
        <f>AU161</f>
        <v>0.80000000000000004</v>
      </c>
      <c r="AV162" s="198">
        <f t="shared" si="370" ref="AV162:AW162">AV161</f>
        <v>0.75</v>
      </c>
      <c r="AW162" s="198">
        <f t="shared" si="370"/>
        <v>0.69999999999999996</v>
      </c>
    </row>
    <row r="163" spans="1:49" ht="15.75" thickBot="1">
      <c r="A163" t="s">
        <v>16</v>
      </c>
      <c r="B163" t="s">
        <v>171</v>
      </c>
      <c r="C163" t="s">
        <v>198</v>
      </c>
      <c r="D163" t="s">
        <v>75</v>
      </c>
      <c r="E163" s="43">
        <f t="shared" si="354"/>
        <v>4.2387416591563438</v>
      </c>
      <c r="F163" s="43">
        <f t="shared" si="354"/>
        <v>4.4423654626492048</v>
      </c>
      <c r="G163" s="43">
        <f t="shared" si="354"/>
        <v>4.1111883491686161</v>
      </c>
      <c r="H163" s="43">
        <f t="shared" si="354"/>
        <v>4.1775155893685865</v>
      </c>
      <c r="I163" s="43">
        <f t="shared" si="354"/>
        <v>5.8023489832233022</v>
      </c>
      <c r="J163" s="43">
        <f t="shared" si="354"/>
        <v>8.2944038094090082</v>
      </c>
      <c r="K163" s="43">
        <f t="shared" si="355"/>
        <v>8.2944038094090082</v>
      </c>
      <c r="L163" s="43">
        <f t="shared" si="356"/>
        <v>8.2944038094090082</v>
      </c>
      <c r="M163" s="303">
        <f t="shared" si="357"/>
        <v>12.797248809643216</v>
      </c>
      <c r="N163" s="307" t="str">
        <f t="shared" si="358"/>
        <v>Motorbike</v>
      </c>
      <c r="O163" s="12">
        <f t="shared" si="371" ref="O163:R163">SUMPRODUCT(O$35:O$38,O$41:O$44,O$54:O$57)*O134</f>
        <v>4.2387416591563438</v>
      </c>
      <c r="P163" s="12">
        <f t="shared" si="371"/>
        <v>4.4423654626492048</v>
      </c>
      <c r="Q163" s="12">
        <f t="shared" si="371"/>
        <v>4.1111883491686161</v>
      </c>
      <c r="R163" s="12">
        <f t="shared" si="371"/>
        <v>4.1775155893685865</v>
      </c>
      <c r="S163" s="341">
        <f t="shared" si="360"/>
        <v>5.8023489832233022</v>
      </c>
      <c r="T163" s="342">
        <f t="shared" si="360"/>
        <v>8.2944038094090082</v>
      </c>
      <c r="U163" s="342">
        <f t="shared" si="372" ref="U163:V163">SUMPRODUCT(U$35:U$38,U$41:U$44,U$54:U$57)*U134</f>
        <v>11.282994416027048</v>
      </c>
      <c r="V163" s="342">
        <f t="shared" si="372"/>
        <v>12.330802777850458</v>
      </c>
      <c r="W163" s="343">
        <f t="shared" si="360"/>
        <v>12.797248809643216</v>
      </c>
      <c r="Y163" s="12">
        <f t="shared" si="362"/>
        <v>4.2387416591563438</v>
      </c>
      <c r="Z163" s="12">
        <f t="shared" si="362"/>
        <v>4.4423654626492048</v>
      </c>
      <c r="AA163" s="12">
        <f t="shared" si="362"/>
        <v>4.1111883491686161</v>
      </c>
      <c r="AB163" s="12">
        <f t="shared" si="362"/>
        <v>4.1775155893685865</v>
      </c>
      <c r="AC163" s="341">
        <f t="shared" si="373" ref="AC163:AG163">SUMPRODUCT(AC$35:AC$38,AC$41:AC$44,AC$54:AC$57)*AC134</f>
        <v>5.2820067113922926</v>
      </c>
      <c r="AD163" s="342">
        <f t="shared" si="373"/>
        <v>7.1146129697888085</v>
      </c>
      <c r="AE163" s="342">
        <f t="shared" si="373"/>
        <v>9.6662589718938889</v>
      </c>
      <c r="AF163" s="342">
        <f t="shared" si="373"/>
        <v>10.570015680451862</v>
      </c>
      <c r="AG163" s="343">
        <f t="shared" si="373"/>
        <v>10.354481802062743</v>
      </c>
      <c r="AK163" s="208">
        <v>1</v>
      </c>
      <c r="AL163" s="208">
        <v>1</v>
      </c>
      <c r="AM163" s="208">
        <v>1</v>
      </c>
      <c r="AN163" s="208">
        <v>1</v>
      </c>
      <c r="AO163" s="208">
        <v>1</v>
      </c>
      <c r="AP163" s="208"/>
      <c r="AQ163" s="208">
        <v>1</v>
      </c>
      <c r="AR163" s="208">
        <v>1</v>
      </c>
      <c r="AS163" s="208">
        <v>1</v>
      </c>
      <c r="AT163" s="208"/>
      <c r="AU163" s="208">
        <v>1</v>
      </c>
      <c r="AV163" s="208">
        <v>1</v>
      </c>
      <c r="AW163" s="208">
        <v>1</v>
      </c>
    </row>
    <row r="164" spans="1:49" ht="15">
      <c r="A164" t="s">
        <v>16</v>
      </c>
      <c r="B164" t="s">
        <v>117</v>
      </c>
      <c r="C164" t="s">
        <v>53</v>
      </c>
      <c r="D164" t="s">
        <v>75</v>
      </c>
      <c r="E164" s="43">
        <f t="shared" si="354"/>
        <v>16.019623147367891</v>
      </c>
      <c r="F164" s="43">
        <f t="shared" si="354"/>
        <v>16.390365445896254</v>
      </c>
      <c r="G164" s="43">
        <f t="shared" si="354"/>
        <v>16.665664027538941</v>
      </c>
      <c r="H164" s="43">
        <f t="shared" si="354"/>
        <v>17.04149821278704</v>
      </c>
      <c r="I164" s="43">
        <f t="shared" si="354"/>
        <v>17.192522273328002</v>
      </c>
      <c r="J164" s="43">
        <f t="shared" si="354"/>
        <v>16.383622096675449</v>
      </c>
      <c r="K164" s="43">
        <f t="shared" si="355"/>
        <v>16.383622096675449</v>
      </c>
      <c r="L164" s="43">
        <f t="shared" si="356"/>
        <v>16.383622096675449</v>
      </c>
      <c r="M164" s="303">
        <f t="shared" si="357"/>
        <v>14.014641785120327</v>
      </c>
      <c r="N164" s="307" t="str">
        <f t="shared" si="358"/>
        <v>Bus</v>
      </c>
      <c r="O164" s="12">
        <f t="shared" si="374" ref="O164:R164">O152*O142</f>
        <v>16.019623147367891</v>
      </c>
      <c r="P164" s="12">
        <f t="shared" si="374"/>
        <v>16.390365445896254</v>
      </c>
      <c r="Q164" s="12">
        <f t="shared" si="374"/>
        <v>16.665664027538941</v>
      </c>
      <c r="R164" s="12">
        <f t="shared" si="374"/>
        <v>17.04149821278704</v>
      </c>
      <c r="S164" s="252">
        <f>S152*S142</f>
        <v>17.192522273328002</v>
      </c>
      <c r="T164" s="252">
        <f t="shared" si="375" ref="S164:W166">T152*T142</f>
        <v>16.383622096675449</v>
      </c>
      <c r="U164" s="252">
        <f t="shared" si="376" ref="U164:V164">U152*U142</f>
        <v>14.627856707612647</v>
      </c>
      <c r="V164" s="252">
        <f t="shared" si="376"/>
        <v>14.24461143992378</v>
      </c>
      <c r="W164" s="252">
        <f t="shared" si="375"/>
        <v>14.014641785120327</v>
      </c>
      <c r="X164" s="251" t="s">
        <v>788</v>
      </c>
      <c r="Y164" s="12">
        <f t="shared" si="362"/>
        <v>16.019623147367891</v>
      </c>
      <c r="Z164" s="12">
        <f t="shared" si="362"/>
        <v>16.390365445896254</v>
      </c>
      <c r="AA164" s="12">
        <f t="shared" si="362"/>
        <v>16.665664027538941</v>
      </c>
      <c r="AB164" s="12">
        <f t="shared" si="362"/>
        <v>17.04149821278704</v>
      </c>
      <c r="AC164" s="252">
        <f>AC152*AC142</f>
        <v>17.691407301938323</v>
      </c>
      <c r="AD164" s="252">
        <f t="shared" si="377" ref="AD164:AG164">AD152*AD142</f>
        <v>17.49583740653841</v>
      </c>
      <c r="AE164" s="252">
        <f t="shared" si="377"/>
        <v>16.02271041410939</v>
      </c>
      <c r="AF164" s="252">
        <f t="shared" si="377"/>
        <v>15.714683539911519</v>
      </c>
      <c r="AG164" s="252">
        <f t="shared" si="377"/>
        <v>16.179833959624322</v>
      </c>
      <c r="AK164" s="12">
        <f t="shared" si="378" ref="AK164:AL168">SUM(S$161:S$162)*(1-AK$161)*AK175</f>
        <v>4.6580222839168854</v>
      </c>
      <c r="AL164" s="12">
        <f t="shared" si="378"/>
        <v>6.6585994547624718</v>
      </c>
      <c r="AM164" s="12">
        <f t="shared" si="379" ref="AM164:AO168">SUM(V$161:V$162)*(1-AM$161)*AM175</f>
        <v>9.8989485609850991</v>
      </c>
      <c r="AN164" s="12">
        <f t="shared" si="379"/>
        <v>10.273403116651673</v>
      </c>
      <c r="AO164" s="12">
        <f t="shared" si="379"/>
        <v>0</v>
      </c>
      <c r="AP164" s="12"/>
      <c r="AQ164" s="12">
        <f t="shared" si="380" ref="AQ164:AR168">SUM(S$161:S$162)*(1-AQ$161)*AQ175</f>
        <v>1.5526740946389619</v>
      </c>
      <c r="AR164" s="12">
        <f t="shared" si="380"/>
        <v>4.4390663031749815</v>
      </c>
      <c r="AS164" s="12">
        <f>SUM(W$161:W$162)*(1-AS$161)*AS175</f>
        <v>10.273403116651673</v>
      </c>
      <c r="AT164" s="12"/>
      <c r="AU164" s="12">
        <f t="shared" si="381" ref="AU164:AV168">SUM(S$161:S$162)*(1-AU$161)*AU175</f>
        <v>4.6580222839168854</v>
      </c>
      <c r="AV164" s="12">
        <f t="shared" si="381"/>
        <v>8.323249318453092</v>
      </c>
      <c r="AW164" s="12">
        <f>SUM(W$161:W$162)*(1-AW$161)*AW175</f>
        <v>15.410104674977513</v>
      </c>
    </row>
    <row r="165" spans="1:49" ht="15">
      <c r="A165" t="s">
        <v>16</v>
      </c>
      <c r="B165" t="s">
        <v>118</v>
      </c>
      <c r="C165" t="s">
        <v>52</v>
      </c>
      <c r="D165" t="s">
        <v>75</v>
      </c>
      <c r="E165" s="43">
        <f t="shared" si="354"/>
        <v>100.65537861765586</v>
      </c>
      <c r="F165" s="43">
        <f t="shared" si="354"/>
        <v>102.9848470505062</v>
      </c>
      <c r="G165" s="43">
        <f t="shared" si="354"/>
        <v>104.71461826380103</v>
      </c>
      <c r="H165" s="43">
        <f t="shared" si="354"/>
        <v>107.07608031978086</v>
      </c>
      <c r="I165" s="43">
        <f t="shared" si="354"/>
        <v>108.02500301629409</v>
      </c>
      <c r="J165" s="43">
        <f t="shared" si="354"/>
        <v>102.94247686721741</v>
      </c>
      <c r="K165" s="43">
        <f t="shared" si="355"/>
        <v>102.94247686721741</v>
      </c>
      <c r="L165" s="43">
        <f t="shared" si="356"/>
        <v>102.94247686721741</v>
      </c>
      <c r="M165" s="303">
        <f t="shared" si="357"/>
        <v>88.057569275834283</v>
      </c>
      <c r="N165" s="307" t="str">
        <f t="shared" si="358"/>
        <v>Minibus</v>
      </c>
      <c r="O165" s="12">
        <f t="shared" si="382" ref="O165:R165">O153*O143</f>
        <v>100.65537861765586</v>
      </c>
      <c r="P165" s="12">
        <f t="shared" si="382"/>
        <v>102.9848470505062</v>
      </c>
      <c r="Q165" s="12">
        <f t="shared" si="382"/>
        <v>104.71461826380103</v>
      </c>
      <c r="R165" s="12">
        <f t="shared" si="382"/>
        <v>107.07608031978086</v>
      </c>
      <c r="S165" s="252">
        <f t="shared" si="375"/>
        <v>108.02500301629409</v>
      </c>
      <c r="T165" s="252">
        <f t="shared" si="375"/>
        <v>102.94247686721741</v>
      </c>
      <c r="U165" s="252">
        <f t="shared" si="383" ref="U165:V165">U153*U143</f>
        <v>91.910555056439378</v>
      </c>
      <c r="V165" s="252">
        <f t="shared" si="383"/>
        <v>89.502527279020299</v>
      </c>
      <c r="W165" s="252">
        <f t="shared" si="375"/>
        <v>88.057569275834283</v>
      </c>
      <c r="X165" s="330" t="s">
        <v>790</v>
      </c>
      <c r="Y165" s="12">
        <f t="shared" si="362"/>
        <v>100.65537861765586</v>
      </c>
      <c r="Z165" s="12">
        <f t="shared" si="362"/>
        <v>102.9848470505062</v>
      </c>
      <c r="AA165" s="12">
        <f t="shared" si="362"/>
        <v>104.71461826380103</v>
      </c>
      <c r="AB165" s="12">
        <f t="shared" si="362"/>
        <v>107.07608031978086</v>
      </c>
      <c r="AC165" s="252">
        <f t="shared" si="384" ref="AC165:AG165">AC153*AC143</f>
        <v>107.58812014918988</v>
      </c>
      <c r="AD165" s="252">
        <f t="shared" si="384"/>
        <v>103.66078313169706</v>
      </c>
      <c r="AE165" s="252">
        <f t="shared" si="384"/>
        <v>94.932678603784282</v>
      </c>
      <c r="AF165" s="252">
        <f t="shared" si="384"/>
        <v>93.107655527550875</v>
      </c>
      <c r="AG165" s="252">
        <f t="shared" si="384"/>
        <v>95.863617169229556</v>
      </c>
      <c r="AK165" s="12">
        <f t="shared" si="378"/>
        <v>29.267542206457421</v>
      </c>
      <c r="AL165" s="12">
        <f t="shared" si="378"/>
        <v>41.837678890252455</v>
      </c>
      <c r="AM165" s="12">
        <f t="shared" si="379"/>
        <v>62.197618892574596</v>
      </c>
      <c r="AN165" s="12">
        <f t="shared" si="379"/>
        <v>64.550412383969416</v>
      </c>
      <c r="AO165" s="12">
        <f t="shared" si="379"/>
        <v>0</v>
      </c>
      <c r="AP165" s="12"/>
      <c r="AQ165" s="12">
        <f t="shared" si="380"/>
        <v>9.7558474021524741</v>
      </c>
      <c r="AR165" s="12">
        <f t="shared" si="380"/>
        <v>27.89178592683497</v>
      </c>
      <c r="AS165" s="12">
        <f>SUM(W$161:W$162)*(1-AS$161)*AS176</f>
        <v>64.550412383969416</v>
      </c>
      <c r="AT165" s="12"/>
      <c r="AU165" s="12">
        <f t="shared" si="381"/>
        <v>29.267542206457421</v>
      </c>
      <c r="AV165" s="12">
        <f t="shared" si="381"/>
        <v>52.297098612815581</v>
      </c>
      <c r="AW165" s="12">
        <f>SUM(W$161:W$162)*(1-AW$161)*AW176</f>
        <v>96.825618575954152</v>
      </c>
    </row>
    <row r="166" spans="1:49" ht="15">
      <c r="A166" t="s">
        <v>16</v>
      </c>
      <c r="B166" t="s">
        <v>119</v>
      </c>
      <c r="C166" t="s">
        <v>54</v>
      </c>
      <c r="D166" t="s">
        <v>75</v>
      </c>
      <c r="E166" s="43">
        <f t="shared" si="354"/>
        <v>1.8199995725306073</v>
      </c>
      <c r="F166" s="43">
        <f t="shared" si="354"/>
        <v>2.7827386966557452</v>
      </c>
      <c r="G166" s="43">
        <f t="shared" si="354"/>
        <v>2.7728192749407472</v>
      </c>
      <c r="H166" s="43">
        <f t="shared" si="354"/>
        <v>2.8302114342409936</v>
      </c>
      <c r="I166" s="43">
        <f t="shared" si="354"/>
        <v>3.0846717206461203</v>
      </c>
      <c r="J166" s="43">
        <f t="shared" si="354"/>
        <v>3.3297080890228847</v>
      </c>
      <c r="K166" s="43">
        <f t="shared" si="355"/>
        <v>3.3297080890228847</v>
      </c>
      <c r="L166" s="43">
        <f t="shared" si="356"/>
        <v>3.3297080890228847</v>
      </c>
      <c r="M166" s="303">
        <f t="shared" si="357"/>
        <v>3.6601701812633691</v>
      </c>
      <c r="N166" s="307" t="str">
        <f t="shared" si="358"/>
        <v>BRT</v>
      </c>
      <c r="O166" s="12">
        <f t="shared" si="385" ref="O166:R166">O154*O144</f>
        <v>1.8199995725306073</v>
      </c>
      <c r="P166" s="12">
        <f t="shared" si="385"/>
        <v>2.7827386966557452</v>
      </c>
      <c r="Q166" s="12">
        <f t="shared" si="385"/>
        <v>2.7728192749407472</v>
      </c>
      <c r="R166" s="12">
        <f t="shared" si="385"/>
        <v>2.8302114342409936</v>
      </c>
      <c r="S166" s="252">
        <f t="shared" si="375"/>
        <v>3.0846717206461203</v>
      </c>
      <c r="T166" s="252">
        <f t="shared" si="375"/>
        <v>3.3297080890228847</v>
      </c>
      <c r="U166" s="252">
        <f t="shared" si="386" ref="U166:V166">U154*U144</f>
        <v>3.5145396284564123</v>
      </c>
      <c r="V166" s="252">
        <f t="shared" si="386"/>
        <v>3.6183645227001806</v>
      </c>
      <c r="W166" s="252">
        <f t="shared" si="375"/>
        <v>3.6601701812633691</v>
      </c>
      <c r="Y166" s="12">
        <f t="shared" si="362"/>
        <v>1.8199995725306073</v>
      </c>
      <c r="Z166" s="12">
        <f t="shared" si="362"/>
        <v>2.7827386966557452</v>
      </c>
      <c r="AA166" s="12">
        <f t="shared" si="362"/>
        <v>2.7728192749407472</v>
      </c>
      <c r="AB166" s="12">
        <f t="shared" si="362"/>
        <v>2.8302114342409936</v>
      </c>
      <c r="AC166" s="252">
        <f t="shared" si="387" ref="AC166:AG166">AC154*AC144</f>
        <v>2.7116416521028683</v>
      </c>
      <c r="AD166" s="252">
        <f t="shared" si="387"/>
        <v>2.9270457154666287</v>
      </c>
      <c r="AE166" s="252">
        <f t="shared" si="387"/>
        <v>3.089525533852381</v>
      </c>
      <c r="AF166" s="252">
        <f t="shared" si="387"/>
        <v>3.1807948594899256</v>
      </c>
      <c r="AG166" s="252">
        <f t="shared" si="387"/>
        <v>3.2175449500408209</v>
      </c>
      <c r="AK166" s="12">
        <f t="shared" si="378"/>
        <v>0.83573947934496562</v>
      </c>
      <c r="AL166" s="12">
        <f t="shared" si="378"/>
        <v>1.1946817989050986</v>
      </c>
      <c r="AM166" s="12">
        <f t="shared" si="379"/>
        <v>1.7760632328842463</v>
      </c>
      <c r="AN166" s="12">
        <f t="shared" si="379"/>
        <v>1.843247637834748</v>
      </c>
      <c r="AO166" s="12">
        <f t="shared" si="379"/>
        <v>0</v>
      </c>
      <c r="AP166" s="12"/>
      <c r="AQ166" s="12">
        <f t="shared" si="380"/>
        <v>0.27857982644832191</v>
      </c>
      <c r="AR166" s="12">
        <f t="shared" si="380"/>
        <v>0.79645453260339905</v>
      </c>
      <c r="AS166" s="12">
        <f>SUM(W$161:W$162)*(1-AS$161)*AS177</f>
        <v>1.843247637834748</v>
      </c>
      <c r="AT166" s="12"/>
      <c r="AU166" s="12">
        <f t="shared" si="381"/>
        <v>0.83573947934496562</v>
      </c>
      <c r="AV166" s="12">
        <f t="shared" si="381"/>
        <v>1.4933522486313735</v>
      </c>
      <c r="AW166" s="12">
        <f>SUM(W$161:W$162)*(1-AW$161)*AW177</f>
        <v>2.7648714567521226</v>
      </c>
    </row>
    <row r="167" spans="1:49" ht="15">
      <c r="A167" t="s">
        <v>16</v>
      </c>
      <c r="B167" t="s">
        <v>120</v>
      </c>
      <c r="C167" t="s">
        <v>74</v>
      </c>
      <c r="D167" t="str">
        <f>D166</f>
        <v>billion</v>
      </c>
      <c r="E167" s="43">
        <f t="shared" si="354"/>
        <v>8.6741621423932465</v>
      </c>
      <c r="F167" s="43">
        <f t="shared" si="354"/>
        <v>8.8749083635056305</v>
      </c>
      <c r="G167" s="43">
        <f t="shared" si="354"/>
        <v>9.0239745751619225</v>
      </c>
      <c r="H167" s="43">
        <f t="shared" si="354"/>
        <v>9.227477905515352</v>
      </c>
      <c r="I167" s="43">
        <f t="shared" si="354"/>
        <v>9.3092530619272011</v>
      </c>
      <c r="J167" s="43">
        <f t="shared" si="354"/>
        <v>8.8712570351325493</v>
      </c>
      <c r="K167" s="43">
        <f t="shared" si="355"/>
        <v>8.8712570351325493</v>
      </c>
      <c r="L167" s="43">
        <f t="shared" si="356"/>
        <v>8.8712570351325493</v>
      </c>
      <c r="M167" s="303">
        <f t="shared" si="357"/>
        <v>7.5885227819274288</v>
      </c>
      <c r="N167" s="307" t="str">
        <f t="shared" si="358"/>
        <v>Metro Rail</v>
      </c>
      <c r="O167" s="12">
        <f t="shared" si="388" ref="O167:R167">O155</f>
        <v>8.6741621423932465</v>
      </c>
      <c r="P167" s="12">
        <f t="shared" si="388"/>
        <v>8.8749083635056305</v>
      </c>
      <c r="Q167" s="12">
        <f t="shared" si="388"/>
        <v>9.0239745751619225</v>
      </c>
      <c r="R167" s="12">
        <f t="shared" si="388"/>
        <v>9.227477905515352</v>
      </c>
      <c r="S167" s="334">
        <f t="shared" si="389" ref="S167:W168">S155</f>
        <v>9.3092530619272011</v>
      </c>
      <c r="T167" s="334">
        <f t="shared" si="389"/>
        <v>8.8712570351325493</v>
      </c>
      <c r="U167" s="334">
        <f t="shared" si="390" ref="U167:V167">U155</f>
        <v>7.9205609089733473</v>
      </c>
      <c r="V167" s="334">
        <f t="shared" si="390"/>
        <v>7.7130446920400964</v>
      </c>
      <c r="W167" s="334">
        <f t="shared" si="389"/>
        <v>7.5885227819274288</v>
      </c>
      <c r="X167" s="279" t="s">
        <v>789</v>
      </c>
      <c r="Y167" s="12">
        <f t="shared" si="362"/>
        <v>8.6741621423932465</v>
      </c>
      <c r="Z167" s="12">
        <f t="shared" si="362"/>
        <v>8.8749083635056305</v>
      </c>
      <c r="AA167" s="12">
        <f t="shared" si="362"/>
        <v>9.0239745751619225</v>
      </c>
      <c r="AB167" s="12">
        <f t="shared" si="362"/>
        <v>9.227477905515352</v>
      </c>
      <c r="AC167" s="334">
        <f t="shared" si="391" ref="AC167:AG167">AC155</f>
        <v>13.150889621941634</v>
      </c>
      <c r="AD167" s="334">
        <f t="shared" si="391"/>
        <v>15.743515663160542</v>
      </c>
      <c r="AE167" s="334">
        <f t="shared" si="391"/>
        <v>14.41793190627997</v>
      </c>
      <c r="AF167" s="334">
        <f t="shared" si="391"/>
        <v>14.140755924020539</v>
      </c>
      <c r="AG167" s="334">
        <f t="shared" si="391"/>
        <v>14.559318508269149</v>
      </c>
      <c r="AK167" s="12">
        <f t="shared" si="378"/>
        <v>2.5221842100707983</v>
      </c>
      <c r="AL167" s="12">
        <f t="shared" si="378"/>
        <v>3.6054388284003323</v>
      </c>
      <c r="AM167" s="12">
        <f t="shared" si="379"/>
        <v>5.3599940564958368</v>
      </c>
      <c r="AN167" s="12">
        <f t="shared" si="379"/>
        <v>5.5627503573731989</v>
      </c>
      <c r="AO167" s="12">
        <f t="shared" si="379"/>
        <v>0</v>
      </c>
      <c r="AP167" s="12"/>
      <c r="AQ167" s="12">
        <f t="shared" si="380"/>
        <v>0.84072807002359951</v>
      </c>
      <c r="AR167" s="12">
        <f t="shared" si="380"/>
        <v>2.4036258856002215</v>
      </c>
      <c r="AS167" s="12">
        <f>SUM(W$161:W$162)*(1-AS$161)*AS178</f>
        <v>5.5627503573731989</v>
      </c>
      <c r="AT167" s="12"/>
      <c r="AU167" s="12">
        <f t="shared" si="381"/>
        <v>2.5221842100707983</v>
      </c>
      <c r="AV167" s="12">
        <f t="shared" si="381"/>
        <v>4.5067985355004163</v>
      </c>
      <c r="AW167" s="12">
        <f>SUM(W$161:W$162)*(1-AW$161)*AW178</f>
        <v>8.344125536059801</v>
      </c>
    </row>
    <row r="168" spans="1:49" ht="15.75" thickBot="1">
      <c r="A168" t="s">
        <v>16</v>
      </c>
      <c r="B168" t="s">
        <v>121</v>
      </c>
      <c r="C168" t="s">
        <v>71</v>
      </c>
      <c r="D168" t="s">
        <v>75</v>
      </c>
      <c r="E168" s="43">
        <f t="shared" si="354"/>
        <v>0.64854136839212595</v>
      </c>
      <c r="F168" s="43">
        <f t="shared" si="354"/>
        <v>0.6995709084876961</v>
      </c>
      <c r="G168" s="43">
        <f t="shared" si="354"/>
        <v>0.64248252977129328</v>
      </c>
      <c r="H168" s="43">
        <f t="shared" si="354"/>
        <v>0.63988638610905979</v>
      </c>
      <c r="I168" s="43">
        <f t="shared" si="354"/>
        <v>0.87980624466627066</v>
      </c>
      <c r="J168" s="43">
        <f t="shared" si="354"/>
        <v>1.1673187884898968</v>
      </c>
      <c r="K168" s="43">
        <f t="shared" si="355"/>
        <v>1.1673187884898968</v>
      </c>
      <c r="L168" s="43">
        <f t="shared" si="356"/>
        <v>1.1673187884898968</v>
      </c>
      <c r="M168" s="303">
        <f t="shared" si="357"/>
        <v>1.5904246596034544</v>
      </c>
      <c r="N168" s="312" t="str">
        <f t="shared" si="358"/>
        <v>Gautrain</v>
      </c>
      <c r="O168" s="313">
        <f t="shared" si="392" ref="O168:R168">O156</f>
        <v>0.64854136839212595</v>
      </c>
      <c r="P168" s="313">
        <f t="shared" si="392"/>
        <v>0.6995709084876961</v>
      </c>
      <c r="Q168" s="313">
        <f t="shared" si="392"/>
        <v>0.64248252977129328</v>
      </c>
      <c r="R168" s="313">
        <f t="shared" si="392"/>
        <v>0.63988638610905979</v>
      </c>
      <c r="S168" s="335">
        <f t="shared" si="389"/>
        <v>0.87980624466627066</v>
      </c>
      <c r="T168" s="335">
        <f t="shared" si="389"/>
        <v>1.1673187884898968</v>
      </c>
      <c r="U168" s="335">
        <f t="shared" si="393" ref="U168:V168">U156</f>
        <v>1.3742480365516063</v>
      </c>
      <c r="V168" s="335">
        <f t="shared" si="393"/>
        <v>1.5073494303226469</v>
      </c>
      <c r="W168" s="335">
        <f t="shared" si="389"/>
        <v>1.5904246596034544</v>
      </c>
      <c r="X168" s="345" t="s">
        <v>791</v>
      </c>
      <c r="Y168" s="313">
        <f t="shared" si="362"/>
        <v>0.64854136839212595</v>
      </c>
      <c r="Z168" s="313">
        <f t="shared" si="362"/>
        <v>0.6995709084876961</v>
      </c>
      <c r="AA168" s="313">
        <f t="shared" si="362"/>
        <v>0.64248252977129328</v>
      </c>
      <c r="AB168" s="313">
        <f t="shared" si="362"/>
        <v>0.63988638610905979</v>
      </c>
      <c r="AC168" s="335">
        <f t="shared" si="394" ref="AC168:AG168">AC156</f>
        <v>1.5754943318568988</v>
      </c>
      <c r="AD168" s="335">
        <f t="shared" si="394"/>
        <v>2.7778929189983712</v>
      </c>
      <c r="AE168" s="335">
        <f t="shared" si="394"/>
        <v>4.7174800074688887</v>
      </c>
      <c r="AF168" s="335">
        <f t="shared" si="394"/>
        <v>6.0954867421708432</v>
      </c>
      <c r="AG168" s="335">
        <f t="shared" si="394"/>
        <v>6.9818259377376126</v>
      </c>
      <c r="AK168" s="12">
        <f t="shared" si="378"/>
        <v>0.23836857838727282</v>
      </c>
      <c r="AL168" s="12">
        <f t="shared" si="378"/>
        <v>0.3407456618578773</v>
      </c>
      <c r="AM168" s="12">
        <f t="shared" si="379"/>
        <v>0.50656655382648685</v>
      </c>
      <c r="AN168" s="12">
        <f t="shared" si="379"/>
        <v>0.5257288065304011</v>
      </c>
      <c r="AO168" s="12">
        <f t="shared" si="379"/>
        <v>0</v>
      </c>
      <c r="AP168" s="12"/>
      <c r="AQ168" s="12">
        <f t="shared" si="380"/>
        <v>0.079456192795757608</v>
      </c>
      <c r="AR168" s="12">
        <f t="shared" si="380"/>
        <v>0.22716377457191819</v>
      </c>
      <c r="AS168" s="12">
        <f>SUM(W$161:W$162)*(1-AS$161)*AS179</f>
        <v>0.5257288065304011</v>
      </c>
      <c r="AT168" s="12"/>
      <c r="AU168" s="12">
        <f t="shared" si="381"/>
        <v>0.23836857838727282</v>
      </c>
      <c r="AV168" s="12">
        <f t="shared" si="381"/>
        <v>0.42593207732234672</v>
      </c>
      <c r="AW168" s="12">
        <f>SUM(W$161:W$162)*(1-AW$161)*AW179</f>
        <v>0.78859320979560188</v>
      </c>
    </row>
    <row r="169" spans="1:47" ht="15.75" thickTop="1">
      <c r="A169" t="s">
        <v>16</v>
      </c>
      <c r="C169" s="8" t="s">
        <v>5</v>
      </c>
      <c r="E169" s="12">
        <f t="shared" si="395" ref="E169:M169">SUM(E161:E168)</f>
        <v>269.10909348688449</v>
      </c>
      <c r="F169" s="12">
        <f t="shared" si="395"/>
        <v>279.81127922002509</v>
      </c>
      <c r="G169" s="12">
        <f t="shared" si="395"/>
        <v>270.85917031016783</v>
      </c>
      <c r="H169" s="12">
        <f t="shared" si="395"/>
        <v>276.06567390405286</v>
      </c>
      <c r="I169" s="12">
        <f t="shared" si="395"/>
        <v>331.90288909097177</v>
      </c>
      <c r="J169" s="12">
        <f t="shared" si="395"/>
        <v>409.17450985683843</v>
      </c>
      <c r="K169" s="12">
        <f t="shared" si="396" ref="K169:L169">SUM(K161:K168)</f>
        <v>409.17450985683843</v>
      </c>
      <c r="L169" s="12">
        <f t="shared" si="396"/>
        <v>409.17450985683843</v>
      </c>
      <c r="M169" s="12">
        <f t="shared" si="395"/>
        <v>541.48628900518929</v>
      </c>
      <c r="N169" s="35"/>
      <c r="O169" s="12">
        <f t="shared" si="397" ref="O169:R169">SUM(O161:O168)</f>
        <v>269.10909348688449</v>
      </c>
      <c r="P169" s="12">
        <f t="shared" si="397"/>
        <v>279.81127922002509</v>
      </c>
      <c r="Q169" s="12">
        <f t="shared" si="397"/>
        <v>270.85917031016783</v>
      </c>
      <c r="R169" s="12">
        <f t="shared" si="397"/>
        <v>276.06567390405286</v>
      </c>
      <c r="S169" s="12">
        <f>SUM(S161:S168)</f>
        <v>331.90288909097177</v>
      </c>
      <c r="T169" s="12">
        <f>SUM(T161:T168)</f>
        <v>409.17450985683843</v>
      </c>
      <c r="U169" s="12">
        <f>SUM(U161:U168)</f>
        <v>495.44757420560165</v>
      </c>
      <c r="V169" s="12">
        <f>SUM(V161:V168)</f>
        <v>527.61265662568883</v>
      </c>
      <c r="W169" s="12">
        <f>SUM(W161:W168)</f>
        <v>541.48628900518929</v>
      </c>
      <c r="Y169" s="12">
        <f t="shared" si="398" ref="Y169:AB169">SUM(Y161:Y168)</f>
        <v>269.10909348688449</v>
      </c>
      <c r="Z169" s="12">
        <f t="shared" si="398"/>
        <v>279.81127922002509</v>
      </c>
      <c r="AA169" s="12">
        <f t="shared" si="398"/>
        <v>270.85917031016783</v>
      </c>
      <c r="AB169" s="12">
        <f t="shared" si="398"/>
        <v>276.06567390405286</v>
      </c>
      <c r="AC169" s="12">
        <f>SUM(AC161:AC168)</f>
        <v>318.78444343677262</v>
      </c>
      <c r="AD169" s="12">
        <f>SUM(AD161:AD168)</f>
        <v>379.75884049548802</v>
      </c>
      <c r="AE169" s="12">
        <f>SUM(AE161:AE168)</f>
        <v>455.38895886195792</v>
      </c>
      <c r="AF169" s="12">
        <f>SUM(AF161:AF168)</f>
        <v>484.57323260820579</v>
      </c>
      <c r="AG169" s="12">
        <f>SUM(AG161:AG168)</f>
        <v>481.95153392699285</v>
      </c>
      <c r="AU169" t="s">
        <v>602</v>
      </c>
    </row>
    <row r="170" spans="1:49" ht="15.75" thickBot="1">
      <c r="A170" t="s">
        <v>16</v>
      </c>
      <c r="C170" t="s">
        <v>783</v>
      </c>
      <c r="J170"/>
      <c r="N170" s="36"/>
      <c r="O170" s="111">
        <f t="shared" si="399" ref="O170">SUM(O161:O163)/O169</f>
        <v>0.52503386937918872</v>
      </c>
      <c r="P170" s="111">
        <f t="shared" si="400" ref="P170">SUM(P161:P163)/P169</f>
        <v>0.52920972009328504</v>
      </c>
      <c r="Q170" s="111">
        <f t="shared" si="401" ref="Q170">SUM(Q161:Q163)/Q169</f>
        <v>0.50594414611115546</v>
      </c>
      <c r="R170" s="111">
        <f t="shared" si="402" ref="R170">SUM(R161:R163)/R169</f>
        <v>0.50441084426170402</v>
      </c>
      <c r="S170" s="111">
        <f t="shared" si="403" ref="S170">SUM(S161:S163)/S169</f>
        <v>0.58273561071985003</v>
      </c>
      <c r="T170" s="111">
        <f t="shared" si="404" ref="T170">SUM(T161:T163)/T169</f>
        <v>0.67570222562748317</v>
      </c>
      <c r="U170" s="111">
        <f>SUM(U161:U163)/U169</f>
        <v>0.75911122275773579</v>
      </c>
      <c r="V170" s="111">
        <f t="shared" si="405" ref="V170">SUM(V161:V163)/V169</f>
        <v>0.77903127246866255</v>
      </c>
      <c r="W170" s="111">
        <f t="shared" si="406" ref="W170">SUM(W161:W163)/W169</f>
        <v>0.78778534005937217</v>
      </c>
      <c r="Y170" s="111">
        <f t="shared" si="407" ref="Y170:AD170">SUM(Y161:Y163)/Y169</f>
        <v>0.52503386937918872</v>
      </c>
      <c r="Z170" s="111">
        <f t="shared" si="407"/>
        <v>0.52920972009328504</v>
      </c>
      <c r="AA170" s="111">
        <f t="shared" si="407"/>
        <v>0.50594414611115546</v>
      </c>
      <c r="AB170" s="111">
        <f t="shared" si="407"/>
        <v>0.50441084426170402</v>
      </c>
      <c r="AC170" s="111">
        <f t="shared" si="407"/>
        <v>0.5523070338112781</v>
      </c>
      <c r="AD170" s="111">
        <f t="shared" si="407"/>
        <v>0.62448517419687199</v>
      </c>
      <c r="AE170" s="111">
        <f>SUM(AE161:AE163)/AE169</f>
        <v>0.70754599145679786</v>
      </c>
      <c r="AF170" s="111">
        <f t="shared" si="408" ref="AF170">SUM(AF161:AF163)/AF169</f>
        <v>0.72710135910444762</v>
      </c>
      <c r="AG170" s="111">
        <f t="shared" si="409" ref="AG170">SUM(AG161:AG163)/AG169</f>
        <v>0.71614958995934119</v>
      </c>
      <c r="AK170" s="6">
        <v>1</v>
      </c>
      <c r="AL170" s="6">
        <v>1</v>
      </c>
      <c r="AM170" s="6">
        <v>1</v>
      </c>
      <c r="AN170" s="6">
        <v>1</v>
      </c>
      <c r="AO170" s="6">
        <v>1</v>
      </c>
      <c r="AP170" s="6"/>
      <c r="AQ170" s="6">
        <v>2</v>
      </c>
      <c r="AR170" s="6">
        <v>2</v>
      </c>
      <c r="AS170" s="6">
        <v>2</v>
      </c>
      <c r="AU170" s="6">
        <v>2</v>
      </c>
      <c r="AV170" s="6">
        <v>2</v>
      </c>
      <c r="AW170" s="6">
        <v>2</v>
      </c>
    </row>
    <row r="171" spans="1:50" ht="15.75" thickBot="1">
      <c r="A171" t="s">
        <v>16</v>
      </c>
      <c r="C171" s="6" t="s">
        <v>131</v>
      </c>
      <c r="D171" s="6"/>
      <c r="E171" s="6">
        <f>E4</f>
        <v>2017</v>
      </c>
      <c r="F171" s="6">
        <f t="shared" si="410" ref="F171:H171">F4</f>
        <v>2019</v>
      </c>
      <c r="G171" s="6">
        <f t="shared" si="410"/>
        <v>2020</v>
      </c>
      <c r="H171" s="6">
        <f t="shared" si="410"/>
        <v>2021</v>
      </c>
      <c r="I171" s="6">
        <v>2030</v>
      </c>
      <c r="J171" s="6">
        <v>2040</v>
      </c>
      <c r="K171" s="6">
        <v>2050</v>
      </c>
      <c r="L171" s="6">
        <v>2050</v>
      </c>
      <c r="M171" s="6">
        <v>2050</v>
      </c>
      <c r="N171" s="6"/>
      <c r="O171" s="242">
        <f t="shared" si="411" ref="O171:W171">O160</f>
        <v>2017</v>
      </c>
      <c r="P171" s="242">
        <f t="shared" si="411"/>
        <v>2019</v>
      </c>
      <c r="Q171" s="242">
        <f t="shared" si="411"/>
        <v>2020</v>
      </c>
      <c r="R171" s="242">
        <f t="shared" si="411"/>
        <v>2021</v>
      </c>
      <c r="S171" s="242">
        <f t="shared" si="411"/>
        <v>2030</v>
      </c>
      <c r="T171" s="242">
        <f t="shared" si="411"/>
        <v>2040</v>
      </c>
      <c r="U171" s="242">
        <f t="shared" si="412" ref="U171:V171">U160</f>
        <v>2050</v>
      </c>
      <c r="V171" s="242">
        <f t="shared" si="412"/>
        <v>2060</v>
      </c>
      <c r="W171" s="242">
        <f t="shared" si="411"/>
        <v>2070</v>
      </c>
      <c r="Y171" s="242">
        <f t="shared" si="413" ref="Y171:AG171">Y160</f>
        <v>2017</v>
      </c>
      <c r="Z171" s="242">
        <f t="shared" si="413"/>
        <v>2019</v>
      </c>
      <c r="AA171" s="242">
        <f t="shared" si="413"/>
        <v>2020</v>
      </c>
      <c r="AB171" s="242">
        <f t="shared" si="413"/>
        <v>2021</v>
      </c>
      <c r="AC171" s="242">
        <f t="shared" si="413"/>
        <v>2030</v>
      </c>
      <c r="AD171" s="242">
        <f t="shared" si="413"/>
        <v>2040</v>
      </c>
      <c r="AE171" s="242">
        <f t="shared" si="414" ref="AE171:AF171">AE160</f>
        <v>2050</v>
      </c>
      <c r="AF171" s="242">
        <f t="shared" si="414"/>
        <v>2060</v>
      </c>
      <c r="AG171" s="242">
        <f t="shared" si="413"/>
        <v>2070</v>
      </c>
      <c r="AH171" s="6"/>
      <c r="AK171" s="6">
        <v>2030</v>
      </c>
      <c r="AL171" s="6">
        <v>2040</v>
      </c>
      <c r="AM171" s="6">
        <v>2050</v>
      </c>
      <c r="AN171" s="6">
        <v>2050</v>
      </c>
      <c r="AO171" s="6">
        <v>2050</v>
      </c>
      <c r="AP171" s="6"/>
      <c r="AQ171" s="6">
        <v>2030</v>
      </c>
      <c r="AR171" s="6">
        <v>2040</v>
      </c>
      <c r="AS171" s="6">
        <v>2050</v>
      </c>
      <c r="AT171" s="6"/>
      <c r="AU171" s="6">
        <v>2030</v>
      </c>
      <c r="AV171" s="6">
        <v>2040</v>
      </c>
      <c r="AW171" s="6">
        <v>2050</v>
      </c>
      <c r="AX171" s="6"/>
    </row>
    <row r="172" spans="1:49" ht="15">
      <c r="A172" t="s">
        <v>16</v>
      </c>
      <c r="B172" t="str">
        <f t="shared" si="415" ref="B172:C179">B161</f>
        <v>TPPRCAR</v>
      </c>
      <c r="C172" t="str">
        <f t="shared" si="415"/>
        <v>Car</v>
      </c>
      <c r="E172" s="50">
        <f t="shared" si="416" ref="E172:E179">E161/E$169</f>
        <v>0.42002709550335088</v>
      </c>
      <c r="F172" s="50">
        <f>F161/F$169</f>
        <v>0.423367776074628</v>
      </c>
      <c r="G172" s="50">
        <f t="shared" si="417" ref="G172:H172">G161/G$169</f>
        <v>0.4047553168889243</v>
      </c>
      <c r="H172" s="50">
        <f t="shared" si="417"/>
        <v>0.40352867540936316</v>
      </c>
      <c r="I172" s="50">
        <f t="shared" si="418" ref="I172:M179">I161/I$169</f>
        <v>0.46618848857587997</v>
      </c>
      <c r="J172" s="50">
        <f t="shared" si="418"/>
        <v>0.54056178050198656</v>
      </c>
      <c r="K172" s="50">
        <f t="shared" si="419" ref="K172:L172">K161/K$169</f>
        <v>0.54056178050198656</v>
      </c>
      <c r="L172" s="50">
        <f t="shared" si="419"/>
        <v>0.54056178050198656</v>
      </c>
      <c r="M172" s="50">
        <f t="shared" si="418"/>
        <v>0.63022827204749776</v>
      </c>
      <c r="N172" s="36" t="str">
        <f>C172</f>
        <v>Car</v>
      </c>
      <c r="O172" s="50">
        <f t="shared" si="420" ref="O172:R172">O161/O$169</f>
        <v>0.42002709550335088</v>
      </c>
      <c r="P172" s="50">
        <f t="shared" si="420"/>
        <v>0.423367776074628</v>
      </c>
      <c r="Q172" s="50">
        <f t="shared" si="420"/>
        <v>0.4047553168889243</v>
      </c>
      <c r="R172" s="50">
        <f t="shared" si="420"/>
        <v>0.40352867540936316</v>
      </c>
      <c r="S172" s="249">
        <f t="shared" si="421" ref="S172:W179">S161/S$169</f>
        <v>0.46618848857587997</v>
      </c>
      <c r="T172" s="249">
        <f t="shared" si="421"/>
        <v>0.54056178050198656</v>
      </c>
      <c r="U172" s="249">
        <f t="shared" si="422" ref="U172:V172">U161/U$169</f>
        <v>0.60728897820618855</v>
      </c>
      <c r="V172" s="249">
        <f t="shared" si="422"/>
        <v>0.62322501797493002</v>
      </c>
      <c r="W172" s="249">
        <f t="shared" si="421"/>
        <v>0.63022827204749776</v>
      </c>
      <c r="Y172" s="50">
        <f t="shared" si="423" ref="Y172:AB179">O172</f>
        <v>0.42002709550335088</v>
      </c>
      <c r="Z172" s="50">
        <f t="shared" si="423"/>
        <v>0.423367776074628</v>
      </c>
      <c r="AA172" s="50">
        <f t="shared" si="423"/>
        <v>0.4047553168889243</v>
      </c>
      <c r="AB172" s="50">
        <f t="shared" si="423"/>
        <v>0.40352867540936316</v>
      </c>
      <c r="AC172" s="50">
        <f t="shared" si="424" ref="AC172:AG179">AC161/AC$169</f>
        <v>0.44184562704902253</v>
      </c>
      <c r="AD172" s="50">
        <f t="shared" si="424"/>
        <v>0.49958813935749757</v>
      </c>
      <c r="AE172" s="50">
        <f t="shared" si="425" ref="AE172:AF172">AE161/AE$169</f>
        <v>0.5660367931654382</v>
      </c>
      <c r="AF172" s="50">
        <f t="shared" si="425"/>
        <v>0.58168108728355794</v>
      </c>
      <c r="AG172" s="50">
        <f t="shared" si="424"/>
        <v>0.57291967196747284</v>
      </c>
      <c r="AK172" s="68"/>
      <c r="AL172" s="68"/>
      <c r="AM172" s="68"/>
      <c r="AN172" s="68"/>
      <c r="AO172" s="68"/>
      <c r="AQ172" s="68"/>
      <c r="AR172" s="68"/>
      <c r="AS172" s="68"/>
      <c r="AU172" s="198"/>
      <c r="AV172" s="198"/>
      <c r="AW172" s="198"/>
    </row>
    <row r="173" spans="1:49" ht="15">
      <c r="A173" t="s">
        <v>16</v>
      </c>
      <c r="B173" t="str">
        <f t="shared" si="415"/>
        <v>TPPRSUV</v>
      </c>
      <c r="C173" t="str">
        <f t="shared" si="415"/>
        <v>SUV</v>
      </c>
      <c r="E173" s="50">
        <f t="shared" si="416"/>
        <v>0.089255757794462084</v>
      </c>
      <c r="F173" s="50">
        <f t="shared" si="426" ref="F173:H173">F162/F$169</f>
        <v>0.089965652415858466</v>
      </c>
      <c r="G173" s="50">
        <f t="shared" si="426"/>
        <v>0.086010504838896426</v>
      </c>
      <c r="H173" s="50">
        <f t="shared" si="426"/>
        <v>0.085749843524489694</v>
      </c>
      <c r="I173" s="50">
        <f t="shared" si="418"/>
        <v>0.099065053822374502</v>
      </c>
      <c r="J173" s="50">
        <f t="shared" si="418"/>
        <v>0.11486937835667214</v>
      </c>
      <c r="K173" s="50">
        <f t="shared" si="427" ref="K173:L173">K162/K$169</f>
        <v>0.11486937835667214</v>
      </c>
      <c r="L173" s="50">
        <f t="shared" si="427"/>
        <v>0.11486937835667214</v>
      </c>
      <c r="M173" s="50">
        <f t="shared" si="418"/>
        <v>0.1339235078100933</v>
      </c>
      <c r="N173" s="36"/>
      <c r="O173" s="50">
        <f t="shared" si="428" ref="O173:R173">O162/O$169</f>
        <v>0.089255757794462084</v>
      </c>
      <c r="P173" s="50">
        <f t="shared" si="428"/>
        <v>0.089965652415858466</v>
      </c>
      <c r="Q173" s="50">
        <f t="shared" si="428"/>
        <v>0.086010504838896426</v>
      </c>
      <c r="R173" s="50">
        <f t="shared" si="428"/>
        <v>0.085749843524489694</v>
      </c>
      <c r="S173" s="249">
        <f t="shared" si="421"/>
        <v>0.099065053822374502</v>
      </c>
      <c r="T173" s="249">
        <f t="shared" si="421"/>
        <v>0.11486937835667214</v>
      </c>
      <c r="U173" s="249">
        <f t="shared" si="429" ref="U173:V173">U162/U$169</f>
        <v>0.12904890786881509</v>
      </c>
      <c r="V173" s="249">
        <f t="shared" si="429"/>
        <v>0.13243531631967267</v>
      </c>
      <c r="W173" s="249">
        <f t="shared" si="421"/>
        <v>0.1339235078100933</v>
      </c>
      <c r="Y173" s="50">
        <f t="shared" si="423"/>
        <v>0.089255757794462084</v>
      </c>
      <c r="Z173" s="50">
        <f t="shared" si="423"/>
        <v>0.089965652415858466</v>
      </c>
      <c r="AA173" s="50">
        <f t="shared" si="423"/>
        <v>0.086010504838896426</v>
      </c>
      <c r="AB173" s="50">
        <f t="shared" si="423"/>
        <v>0.085749843524489694</v>
      </c>
      <c r="AC173" s="249">
        <f t="shared" si="424"/>
        <v>0.093892195747917309</v>
      </c>
      <c r="AD173" s="249">
        <f t="shared" si="424"/>
        <v>0.10616247961346827</v>
      </c>
      <c r="AE173" s="249">
        <f t="shared" si="430" ref="AE173:AF173">AE162/AE$169</f>
        <v>0.12028281854765566</v>
      </c>
      <c r="AF173" s="249">
        <f t="shared" si="430"/>
        <v>0.1236072310477561</v>
      </c>
      <c r="AG173" s="249">
        <f t="shared" si="424"/>
        <v>0.12174543029308801</v>
      </c>
      <c r="AK173" s="68"/>
      <c r="AL173" s="68"/>
      <c r="AM173" s="68"/>
      <c r="AN173" s="68"/>
      <c r="AO173" s="68"/>
      <c r="AQ173" s="68"/>
      <c r="AR173" s="68"/>
      <c r="AS173" s="68"/>
      <c r="AU173" s="198"/>
      <c r="AV173" s="198"/>
      <c r="AW173" s="198"/>
    </row>
    <row r="174" spans="1:45" ht="15">
      <c r="A174" t="s">
        <v>16</v>
      </c>
      <c r="B174" t="str">
        <f t="shared" si="415"/>
        <v>TPPRMOT</v>
      </c>
      <c r="C174" t="str">
        <f t="shared" si="415"/>
        <v>Motorbike</v>
      </c>
      <c r="E174" s="50">
        <f t="shared" si="416"/>
        <v>0.015751016081375663</v>
      </c>
      <c r="F174" s="50">
        <f t="shared" si="431" ref="F174:H174">F163/F$169</f>
        <v>0.015876291602798551</v>
      </c>
      <c r="G174" s="50">
        <f t="shared" si="431"/>
        <v>0.015178324383334661</v>
      </c>
      <c r="H174" s="50">
        <f t="shared" si="431"/>
        <v>0.015132325327851118</v>
      </c>
      <c r="I174" s="50">
        <f t="shared" si="418"/>
        <v>0.0174820683215955</v>
      </c>
      <c r="J174" s="50">
        <f t="shared" si="418"/>
        <v>0.020271066768824494</v>
      </c>
      <c r="K174" s="50">
        <f t="shared" si="432" ref="K174:L174">K163/K$169</f>
        <v>0.020271066768824494</v>
      </c>
      <c r="L174" s="50">
        <f t="shared" si="432"/>
        <v>0.020271066768824494</v>
      </c>
      <c r="M174" s="50">
        <f t="shared" si="418"/>
        <v>0.023633560201781166</v>
      </c>
      <c r="N174" s="36"/>
      <c r="O174" s="50">
        <f t="shared" si="433" ref="O174:R174">O163/O$169</f>
        <v>0.015751016081375663</v>
      </c>
      <c r="P174" s="50">
        <f t="shared" si="433"/>
        <v>0.015876291602798551</v>
      </c>
      <c r="Q174" s="50">
        <f t="shared" si="433"/>
        <v>0.015178324383334661</v>
      </c>
      <c r="R174" s="50">
        <f t="shared" si="433"/>
        <v>0.015132325327851118</v>
      </c>
      <c r="S174" s="249">
        <f t="shared" si="421"/>
        <v>0.0174820683215955</v>
      </c>
      <c r="T174" s="249">
        <f t="shared" si="421"/>
        <v>0.020271066768824494</v>
      </c>
      <c r="U174" s="249">
        <f t="shared" si="434" ref="U174:V174">U163/U$169</f>
        <v>0.02277333668273207</v>
      </c>
      <c r="V174" s="249">
        <f t="shared" si="434"/>
        <v>0.023370938174059878</v>
      </c>
      <c r="W174" s="249">
        <f t="shared" si="421"/>
        <v>0.023633560201781166</v>
      </c>
      <c r="Y174" s="50">
        <f t="shared" si="423"/>
        <v>0.015751016081375663</v>
      </c>
      <c r="Z174" s="50">
        <f t="shared" si="423"/>
        <v>0.015876291602798551</v>
      </c>
      <c r="AA174" s="50">
        <f t="shared" si="423"/>
        <v>0.015178324383334661</v>
      </c>
      <c r="AB174" s="50">
        <f t="shared" si="423"/>
        <v>0.015132325327851118</v>
      </c>
      <c r="AC174" s="249">
        <f t="shared" si="424"/>
        <v>0.016569211014338347</v>
      </c>
      <c r="AD174" s="249">
        <f t="shared" si="424"/>
        <v>0.018734555225906158</v>
      </c>
      <c r="AE174" s="249">
        <f t="shared" si="435" ref="AE174:AF174">AE163/AE$169</f>
        <v>0.021226379743703935</v>
      </c>
      <c r="AF174" s="249">
        <f t="shared" si="435"/>
        <v>0.021813040773133428</v>
      </c>
      <c r="AG174" s="249">
        <f t="shared" si="424"/>
        <v>0.021484487698780235</v>
      </c>
      <c r="AK174" s="68"/>
      <c r="AL174" s="68"/>
      <c r="AM174" s="68"/>
      <c r="AN174" s="68"/>
      <c r="AO174" s="68"/>
      <c r="AQ174" s="68"/>
      <c r="AR174" s="68"/>
      <c r="AS174" s="68"/>
    </row>
    <row r="175" spans="1:49" ht="15">
      <c r="A175" t="s">
        <v>16</v>
      </c>
      <c r="B175" t="str">
        <f t="shared" si="415"/>
        <v>TPPUBUS</v>
      </c>
      <c r="C175" t="str">
        <f t="shared" si="415"/>
        <v>Bus</v>
      </c>
      <c r="E175" s="50">
        <f t="shared" si="416"/>
        <v>0.059528360561136653</v>
      </c>
      <c r="F175" s="50">
        <f t="shared" si="436" ref="F175:H175">F164/F$169</f>
        <v>0.058576500173918848</v>
      </c>
      <c r="G175" s="50">
        <f t="shared" si="436"/>
        <v>0.061528889749070191</v>
      </c>
      <c r="H175" s="50">
        <f t="shared" si="436"/>
        <v>0.061729870185562599</v>
      </c>
      <c r="I175" s="50">
        <f t="shared" si="418"/>
        <v>0.05179985724262761</v>
      </c>
      <c r="J175" s="50">
        <f t="shared" si="418"/>
        <v>0.040040671405478644</v>
      </c>
      <c r="K175" s="50">
        <f t="shared" si="437" ref="K175:L175">K164/K$169</f>
        <v>0.040040671405478644</v>
      </c>
      <c r="L175" s="50">
        <f t="shared" si="437"/>
        <v>0.040040671405478644</v>
      </c>
      <c r="M175" s="50">
        <f t="shared" si="418"/>
        <v>0.025881803601837866</v>
      </c>
      <c r="N175" s="36"/>
      <c r="O175" s="50">
        <f t="shared" si="438" ref="O175:R175">O164/O$169</f>
        <v>0.059528360561136653</v>
      </c>
      <c r="P175" s="50">
        <f t="shared" si="438"/>
        <v>0.058576500173918848</v>
      </c>
      <c r="Q175" s="50">
        <f t="shared" si="438"/>
        <v>0.061528889749070191</v>
      </c>
      <c r="R175" s="50">
        <f t="shared" si="438"/>
        <v>0.061729870185562599</v>
      </c>
      <c r="S175" s="249">
        <f t="shared" si="421"/>
        <v>0.05179985724262761</v>
      </c>
      <c r="T175" s="249">
        <f t="shared" si="421"/>
        <v>0.040040671405478644</v>
      </c>
      <c r="U175" s="249">
        <f t="shared" si="439" ref="U175:V175">U164/U$169</f>
        <v>0.029524529877993418</v>
      </c>
      <c r="V175" s="249">
        <f t="shared" si="439"/>
        <v>0.026998236795576953</v>
      </c>
      <c r="W175" s="249">
        <f t="shared" si="421"/>
        <v>0.025881803601837866</v>
      </c>
      <c r="Y175" s="50">
        <f t="shared" si="423"/>
        <v>0.059528360561136653</v>
      </c>
      <c r="Z175" s="50">
        <f t="shared" si="423"/>
        <v>0.058576500173918848</v>
      </c>
      <c r="AA175" s="50">
        <f t="shared" si="423"/>
        <v>0.061528889749070191</v>
      </c>
      <c r="AB175" s="50">
        <f t="shared" si="423"/>
        <v>0.061729870185562599</v>
      </c>
      <c r="AC175" s="249">
        <f t="shared" si="424"/>
        <v>0.055496457453223305</v>
      </c>
      <c r="AD175" s="249">
        <f t="shared" si="424"/>
        <v>0.046070915383328068</v>
      </c>
      <c r="AE175" s="249">
        <f t="shared" si="440" ref="AE175:AF175">AE164/AE$169</f>
        <v>0.035184670384084467</v>
      </c>
      <c r="AF175" s="249">
        <f t="shared" si="440"/>
        <v>0.03242994553233481</v>
      </c>
      <c r="AG175" s="249">
        <f t="shared" si="424"/>
        <v>0.033571495929869334</v>
      </c>
      <c r="AI175" s="215">
        <f>S175</f>
        <v>0.05179985724262761</v>
      </c>
      <c r="AK175" s="250">
        <f>AI175/$AI$180</f>
        <v>0.12414157204258654</v>
      </c>
      <c r="AL175" s="250">
        <f>AK175</f>
        <v>0.12414157204258654</v>
      </c>
      <c r="AM175" s="250">
        <f>AK175</f>
        <v>0.12414157204258654</v>
      </c>
      <c r="AN175" s="250">
        <f>AL175</f>
        <v>0.12414157204258654</v>
      </c>
      <c r="AO175" s="250">
        <f>AN175</f>
        <v>0.12414157204258654</v>
      </c>
      <c r="AP175" s="251"/>
      <c r="AQ175" s="250">
        <f>AK175</f>
        <v>0.12414157204258654</v>
      </c>
      <c r="AR175" s="250">
        <f>AL175</f>
        <v>0.12414157204258654</v>
      </c>
      <c r="AS175" s="250">
        <f>AN175</f>
        <v>0.12414157204258654</v>
      </c>
      <c r="AT175" s="251"/>
      <c r="AU175" s="250">
        <f>AQ175</f>
        <v>0.12414157204258654</v>
      </c>
      <c r="AV175" s="250">
        <f t="shared" si="441" ref="AV175:AW179">AR175</f>
        <v>0.12414157204258654</v>
      </c>
      <c r="AW175" s="250">
        <f t="shared" si="441"/>
        <v>0.12414157204258654</v>
      </c>
    </row>
    <row r="176" spans="1:49" ht="15">
      <c r="A176" t="s">
        <v>16</v>
      </c>
      <c r="B176" t="str">
        <f t="shared" si="415"/>
        <v>TPPUMBT</v>
      </c>
      <c r="C176" t="str">
        <f t="shared" si="415"/>
        <v>Minibus</v>
      </c>
      <c r="E176" s="50">
        <f t="shared" si="416"/>
        <v>0.37403187426128903</v>
      </c>
      <c r="F176" s="50">
        <f t="shared" si="442" ref="F176:H176">F165/F$169</f>
        <v>0.36805109264207225</v>
      </c>
      <c r="G176" s="50">
        <f t="shared" si="442"/>
        <v>0.38660170945620786</v>
      </c>
      <c r="H176" s="50">
        <f t="shared" si="442"/>
        <v>0.38786452080599976</v>
      </c>
      <c r="I176" s="50">
        <f t="shared" si="418"/>
        <v>0.32547171647754281</v>
      </c>
      <c r="J176" s="50">
        <f t="shared" si="418"/>
        <v>0.25158575225821084</v>
      </c>
      <c r="K176" s="50">
        <f t="shared" si="443" ref="K176:L176">K165/K$169</f>
        <v>0.25158575225821084</v>
      </c>
      <c r="L176" s="50">
        <f t="shared" si="443"/>
        <v>0.25158575225821084</v>
      </c>
      <c r="M176" s="50">
        <f t="shared" si="418"/>
        <v>0.16262197411796403</v>
      </c>
      <c r="N176" s="36"/>
      <c r="O176" s="50">
        <f t="shared" si="444" ref="O176:R176">O165/O$169</f>
        <v>0.37403187426128903</v>
      </c>
      <c r="P176" s="50">
        <f t="shared" si="444"/>
        <v>0.36805109264207225</v>
      </c>
      <c r="Q176" s="50">
        <f t="shared" si="444"/>
        <v>0.38660170945620786</v>
      </c>
      <c r="R176" s="50">
        <f t="shared" si="444"/>
        <v>0.38786452080599976</v>
      </c>
      <c r="S176" s="249">
        <f t="shared" si="421"/>
        <v>0.32547171647754281</v>
      </c>
      <c r="T176" s="249">
        <f t="shared" si="421"/>
        <v>0.25158575225821084</v>
      </c>
      <c r="U176" s="249">
        <f t="shared" si="445" ref="U176:V176">U165/U$169</f>
        <v>0.18551015251978645</v>
      </c>
      <c r="V176" s="249">
        <f t="shared" si="445"/>
        <v>0.16963680866078473</v>
      </c>
      <c r="W176" s="249">
        <f t="shared" si="421"/>
        <v>0.16262197411796403</v>
      </c>
      <c r="Y176" s="50">
        <f t="shared" si="423"/>
        <v>0.37403187426128903</v>
      </c>
      <c r="Z176" s="50">
        <f t="shared" si="423"/>
        <v>0.36805109264207225</v>
      </c>
      <c r="AA176" s="50">
        <f t="shared" si="423"/>
        <v>0.38660170945620786</v>
      </c>
      <c r="AB176" s="50">
        <f t="shared" si="423"/>
        <v>0.38786452080599976</v>
      </c>
      <c r="AC176" s="249">
        <f t="shared" si="424"/>
        <v>0.3374948883618557</v>
      </c>
      <c r="AD176" s="249">
        <f t="shared" si="424"/>
        <v>0.27296476626178418</v>
      </c>
      <c r="AE176" s="249">
        <f t="shared" si="446" ref="AE176:AF176">AE165/AE$169</f>
        <v>0.20846504236955213</v>
      </c>
      <c r="AF176" s="249">
        <f t="shared" si="446"/>
        <v>0.1921436209474485</v>
      </c>
      <c r="AG176" s="249">
        <f t="shared" si="424"/>
        <v>0.19890717306805211</v>
      </c>
      <c r="AI176" s="215">
        <f>S176</f>
        <v>0.32547171647754281</v>
      </c>
      <c r="AK176" s="250">
        <f>1-SUM(AK177:AK179,AK175)</f>
        <v>0.78001316392955378</v>
      </c>
      <c r="AL176" s="250">
        <f t="shared" si="447" ref="AL176:AN176">1-SUM(AL177:AL179,AL175)</f>
        <v>0.78001316392955378</v>
      </c>
      <c r="AM176" s="250">
        <f t="shared" si="448" ref="AM176">1-SUM(AM177:AM179,AM175)</f>
        <v>0.78001316392955378</v>
      </c>
      <c r="AN176" s="250">
        <f t="shared" si="447"/>
        <v>0.78001316392955378</v>
      </c>
      <c r="AO176" s="250">
        <f t="shared" si="449" ref="AO176">1-SUM(AO177:AO179,AO175)</f>
        <v>0.78001316392955378</v>
      </c>
      <c r="AP176" s="251"/>
      <c r="AQ176" s="250">
        <f t="shared" si="450" ref="AQ176:AQ179">AK176</f>
        <v>0.78001316392955378</v>
      </c>
      <c r="AR176" s="250">
        <f>AL176</f>
        <v>0.78001316392955378</v>
      </c>
      <c r="AS176" s="250">
        <f>AN176</f>
        <v>0.78001316392955378</v>
      </c>
      <c r="AT176" s="251"/>
      <c r="AU176" s="250">
        <f t="shared" si="451" ref="AU176:AU178">AQ176</f>
        <v>0.78001316392955378</v>
      </c>
      <c r="AV176" s="250">
        <f t="shared" si="441"/>
        <v>0.78001316392955378</v>
      </c>
      <c r="AW176" s="250">
        <f t="shared" si="441"/>
        <v>0.78001316392955378</v>
      </c>
    </row>
    <row r="177" spans="1:49" ht="15">
      <c r="A177" t="s">
        <v>16</v>
      </c>
      <c r="B177" t="str">
        <f t="shared" si="415"/>
        <v>TPPUBRT</v>
      </c>
      <c r="C177" t="str">
        <f t="shared" si="415"/>
        <v>BRT</v>
      </c>
      <c r="E177" s="50">
        <f t="shared" si="416"/>
        <v>0.0067630548969884888</v>
      </c>
      <c r="F177" s="50">
        <f t="shared" si="452" ref="F177:H177">F166/F$169</f>
        <v>0.009945055483155071</v>
      </c>
      <c r="G177" s="50">
        <f t="shared" si="452"/>
        <v>0.010237125336260613</v>
      </c>
      <c r="H177" s="50">
        <f t="shared" si="452"/>
        <v>0.010251949814030986</v>
      </c>
      <c r="I177" s="50">
        <f t="shared" si="418"/>
        <v>0.0092938983721851179</v>
      </c>
      <c r="J177" s="50">
        <f t="shared" si="418"/>
        <v>0.0081376234560356156</v>
      </c>
      <c r="K177" s="50">
        <f t="shared" si="453" ref="K177:L177">K166/K$169</f>
        <v>0.0081376234560356156</v>
      </c>
      <c r="L177" s="50">
        <f t="shared" si="453"/>
        <v>0.0081376234560356156</v>
      </c>
      <c r="M177" s="50">
        <f t="shared" si="418"/>
        <v>0.0067594882005004783</v>
      </c>
      <c r="N177" s="36"/>
      <c r="O177" s="50">
        <f t="shared" si="454" ref="O177:R177">O166/O$169</f>
        <v>0.0067630548969884888</v>
      </c>
      <c r="P177" s="50">
        <f t="shared" si="454"/>
        <v>0.009945055483155071</v>
      </c>
      <c r="Q177" s="50">
        <f t="shared" si="454"/>
        <v>0.010237125336260613</v>
      </c>
      <c r="R177" s="50">
        <f t="shared" si="454"/>
        <v>0.010251949814030986</v>
      </c>
      <c r="S177" s="249">
        <f t="shared" si="421"/>
        <v>0.0092938983721851179</v>
      </c>
      <c r="T177" s="249">
        <f t="shared" si="421"/>
        <v>0.0081376234560356156</v>
      </c>
      <c r="U177" s="249">
        <f t="shared" si="455" ref="U177:V177">U166/U$169</f>
        <v>0.00709366603336712</v>
      </c>
      <c r="V177" s="249">
        <f t="shared" si="455"/>
        <v>0.0068579941691338242</v>
      </c>
      <c r="W177" s="249">
        <f t="shared" si="421"/>
        <v>0.0067594882005004783</v>
      </c>
      <c r="Y177" s="50">
        <f t="shared" si="423"/>
        <v>0.0067630548969884888</v>
      </c>
      <c r="Z177" s="50">
        <f t="shared" si="423"/>
        <v>0.009945055483155071</v>
      </c>
      <c r="AA177" s="50">
        <f t="shared" si="423"/>
        <v>0.010237125336260613</v>
      </c>
      <c r="AB177" s="50">
        <f t="shared" si="423"/>
        <v>0.010251949814030986</v>
      </c>
      <c r="AC177" s="249">
        <f t="shared" si="424"/>
        <v>0.0085061919046896424</v>
      </c>
      <c r="AD177" s="249">
        <f t="shared" si="424"/>
        <v>0.0077076433866492319</v>
      </c>
      <c r="AE177" s="249">
        <f t="shared" si="456" ref="AE177:AF177">AE166/AE$169</f>
        <v>0.0067843663613919745</v>
      </c>
      <c r="AF177" s="249">
        <f t="shared" si="456"/>
        <v>0.0065641158971356311</v>
      </c>
      <c r="AG177" s="249">
        <f t="shared" si="424"/>
        <v>0.0066760757535595317</v>
      </c>
      <c r="AI177" s="215">
        <f>S177</f>
        <v>0.0092938983721851179</v>
      </c>
      <c r="AK177" s="250">
        <f>AI177/$AI$180</f>
        <v>0.022273404131655301</v>
      </c>
      <c r="AL177" s="250">
        <f t="shared" si="457" ref="AL177:AO177">AK177</f>
        <v>0.022273404131655301</v>
      </c>
      <c r="AM177" s="250">
        <f>AK177</f>
        <v>0.022273404131655301</v>
      </c>
      <c r="AN177" s="250">
        <f>AL177</f>
        <v>0.022273404131655301</v>
      </c>
      <c r="AO177" s="250">
        <f t="shared" si="457"/>
        <v>0.022273404131655301</v>
      </c>
      <c r="AP177" s="251"/>
      <c r="AQ177" s="250">
        <f t="shared" si="450"/>
        <v>0.022273404131655301</v>
      </c>
      <c r="AR177" s="250">
        <f>AL177</f>
        <v>0.022273404131655301</v>
      </c>
      <c r="AS177" s="250">
        <f>AN177</f>
        <v>0.022273404131655301</v>
      </c>
      <c r="AT177" s="251"/>
      <c r="AU177" s="250">
        <f t="shared" si="451"/>
        <v>0.022273404131655301</v>
      </c>
      <c r="AV177" s="250">
        <f t="shared" si="441"/>
        <v>0.022273404131655301</v>
      </c>
      <c r="AW177" s="250">
        <f t="shared" si="441"/>
        <v>0.022273404131655301</v>
      </c>
    </row>
    <row r="178" spans="1:49" ht="15">
      <c r="A178" t="s">
        <v>16</v>
      </c>
      <c r="B178" t="str">
        <f t="shared" si="415"/>
        <v>TPPUMER</v>
      </c>
      <c r="C178" t="str">
        <f t="shared" si="415"/>
        <v>Metro Rail</v>
      </c>
      <c r="D178" s="214">
        <f>INDEX($Y$5:$Y$8,MATCH($D$3,$P$5:$P$8,0))</f>
        <v>0</v>
      </c>
      <c r="E178" s="50">
        <f t="shared" si="416"/>
        <v>0.032232883809316527</v>
      </c>
      <c r="F178" s="50">
        <f t="shared" si="458" ref="F178:H178">F167/F$169</f>
        <v>0.031717478967411422</v>
      </c>
      <c r="G178" s="50">
        <f t="shared" si="458"/>
        <v>0.033316112446288362</v>
      </c>
      <c r="H178" s="50">
        <f t="shared" si="458"/>
        <v>0.033424937533966567</v>
      </c>
      <c r="I178" s="50">
        <f t="shared" si="418"/>
        <v>0.028048123014004899</v>
      </c>
      <c r="J178" s="50">
        <f t="shared" si="418"/>
        <v>0.021680864329101088</v>
      </c>
      <c r="K178" s="50">
        <f t="shared" si="459" ref="K178:L178">K167/K$169</f>
        <v>0.021680864329101088</v>
      </c>
      <c r="L178" s="50">
        <f t="shared" si="459"/>
        <v>0.021680864329101088</v>
      </c>
      <c r="M178" s="50">
        <f t="shared" si="418"/>
        <v>0.014014247333702488</v>
      </c>
      <c r="N178" s="36"/>
      <c r="O178" s="50">
        <f t="shared" si="460" ref="O178:R178">O167/O$169</f>
        <v>0.032232883809316527</v>
      </c>
      <c r="P178" s="50">
        <f t="shared" si="460"/>
        <v>0.031717478967411422</v>
      </c>
      <c r="Q178" s="50">
        <f t="shared" si="460"/>
        <v>0.033316112446288362</v>
      </c>
      <c r="R178" s="50">
        <f t="shared" si="460"/>
        <v>0.033424937533966567</v>
      </c>
      <c r="S178" s="249">
        <f t="shared" si="421"/>
        <v>0.028048123014004899</v>
      </c>
      <c r="T178" s="249">
        <f t="shared" si="421"/>
        <v>0.021680864329101088</v>
      </c>
      <c r="U178" s="249">
        <f t="shared" si="461" ref="U178:V178">U167/U$169</f>
        <v>0.015986678149899389</v>
      </c>
      <c r="V178" s="249">
        <f t="shared" si="461"/>
        <v>0.014618763585711445</v>
      </c>
      <c r="W178" s="249">
        <f t="shared" si="421"/>
        <v>0.014014247333702488</v>
      </c>
      <c r="Y178" s="50">
        <f t="shared" si="423"/>
        <v>0.032232883809316527</v>
      </c>
      <c r="Z178" s="50">
        <f t="shared" si="423"/>
        <v>0.031717478967411422</v>
      </c>
      <c r="AA178" s="50">
        <f t="shared" si="423"/>
        <v>0.033316112446288362</v>
      </c>
      <c r="AB178" s="50">
        <f t="shared" si="423"/>
        <v>0.033424937533966567</v>
      </c>
      <c r="AC178" s="249">
        <f t="shared" si="424"/>
        <v>0.041253235196058016</v>
      </c>
      <c r="AD178" s="249">
        <f t="shared" si="424"/>
        <v>0.041456613999082383</v>
      </c>
      <c r="AE178" s="249">
        <f t="shared" si="462" ref="AE178:AF178">AE167/AE$169</f>
        <v>0.031660697137478204</v>
      </c>
      <c r="AF178" s="249">
        <f t="shared" si="462"/>
        <v>0.02918187587025433</v>
      </c>
      <c r="AG178" s="249">
        <f t="shared" si="424"/>
        <v>0.030209092581650811</v>
      </c>
      <c r="AI178" s="215">
        <f>S178</f>
        <v>0.028048123014004899</v>
      </c>
      <c r="AK178" s="250">
        <f>AI178/$AI$180</f>
        <v>0.067219067177988867</v>
      </c>
      <c r="AL178" s="250">
        <f>AK178*(1+$D$178)</f>
        <v>0.067219067177988867</v>
      </c>
      <c r="AM178" s="250">
        <f>AK178*(1+$D$178)</f>
        <v>0.067219067177988867</v>
      </c>
      <c r="AN178" s="250">
        <f>AL178*(1+$D$178)</f>
        <v>0.067219067177988867</v>
      </c>
      <c r="AO178" s="250">
        <f>AN178*(1+$D$178)</f>
        <v>0.067219067177988867</v>
      </c>
      <c r="AP178" s="251"/>
      <c r="AQ178" s="250">
        <f>AK178</f>
        <v>0.067219067177988867</v>
      </c>
      <c r="AR178" s="250">
        <f>AL178</f>
        <v>0.067219067177988867</v>
      </c>
      <c r="AS178" s="250">
        <f>AN178</f>
        <v>0.067219067177988867</v>
      </c>
      <c r="AT178" s="251"/>
      <c r="AU178" s="250">
        <f t="shared" si="451"/>
        <v>0.067219067177988867</v>
      </c>
      <c r="AV178" s="250">
        <f t="shared" si="441"/>
        <v>0.067219067177988867</v>
      </c>
      <c r="AW178" s="250">
        <f>AS178</f>
        <v>0.067219067177988867</v>
      </c>
    </row>
    <row r="179" spans="1:49" ht="15">
      <c r="A179" t="s">
        <v>16</v>
      </c>
      <c r="B179" t="str">
        <f t="shared" si="415"/>
        <v>TPPUGAT</v>
      </c>
      <c r="C179" t="str">
        <f t="shared" si="415"/>
        <v>Gautrain</v>
      </c>
      <c r="E179" s="50">
        <f t="shared" si="416"/>
        <v>0.0024099570920807019</v>
      </c>
      <c r="F179" s="50">
        <f t="shared" si="463" ref="F179:H179">F168/F$169</f>
        <v>0.0025001526401571533</v>
      </c>
      <c r="G179" s="50">
        <f t="shared" si="463"/>
        <v>0.0023720169010174917</v>
      </c>
      <c r="H179" s="50">
        <f t="shared" si="463"/>
        <v>0.0023178773987361191</v>
      </c>
      <c r="I179" s="50">
        <f t="shared" si="418"/>
        <v>0.0026507941737895606</v>
      </c>
      <c r="J179" s="50">
        <f t="shared" si="418"/>
        <v>0.0028528629236907184</v>
      </c>
      <c r="K179" s="50">
        <f t="shared" si="464" ref="K179:L179">K168/K$169</f>
        <v>0.0028528629236907184</v>
      </c>
      <c r="L179" s="50">
        <f t="shared" si="464"/>
        <v>0.0028528629236907184</v>
      </c>
      <c r="M179" s="50">
        <f t="shared" si="418"/>
        <v>0.0029371466866231449</v>
      </c>
      <c r="N179" s="36"/>
      <c r="O179" s="50">
        <f t="shared" si="465" ref="O179:R179">O168/O$169</f>
        <v>0.0024099570920807019</v>
      </c>
      <c r="P179" s="50">
        <f t="shared" si="465"/>
        <v>0.0025001526401571533</v>
      </c>
      <c r="Q179" s="50">
        <f t="shared" si="465"/>
        <v>0.0023720169010174917</v>
      </c>
      <c r="R179" s="50">
        <f t="shared" si="465"/>
        <v>0.0023178773987361191</v>
      </c>
      <c r="S179" s="249">
        <f t="shared" si="421"/>
        <v>0.0026507941737895606</v>
      </c>
      <c r="T179" s="249">
        <f t="shared" si="421"/>
        <v>0.0028528629236907184</v>
      </c>
      <c r="U179" s="249">
        <f t="shared" si="466" ref="U179:V179">U168/U$169</f>
        <v>0.0027737506612179287</v>
      </c>
      <c r="V179" s="249">
        <f t="shared" si="466"/>
        <v>0.002856924320130602</v>
      </c>
      <c r="W179" s="249">
        <f t="shared" si="421"/>
        <v>0.0029371466866231449</v>
      </c>
      <c r="Y179" s="50">
        <f t="shared" si="423"/>
        <v>0.0024099570920807019</v>
      </c>
      <c r="Z179" s="50">
        <f t="shared" si="423"/>
        <v>0.0025001526401571533</v>
      </c>
      <c r="AA179" s="50">
        <f t="shared" si="423"/>
        <v>0.0023720169010174917</v>
      </c>
      <c r="AB179" s="50">
        <f t="shared" si="423"/>
        <v>0.0023178773987361191</v>
      </c>
      <c r="AC179" s="249">
        <f t="shared" si="424"/>
        <v>0.004942193272895328</v>
      </c>
      <c r="AD179" s="249">
        <f t="shared" si="424"/>
        <v>0.0073148867722840436</v>
      </c>
      <c r="AE179" s="249">
        <f t="shared" si="467" ref="AE179:AF179">AE168/AE$169</f>
        <v>0.010359232290695257</v>
      </c>
      <c r="AF179" s="249">
        <f t="shared" si="467"/>
        <v>0.012579082648379085</v>
      </c>
      <c r="AG179" s="249">
        <f t="shared" si="424"/>
        <v>0.014486572707527135</v>
      </c>
      <c r="AI179" s="215">
        <f>S179</f>
        <v>0.0026507941737895606</v>
      </c>
      <c r="AK179" s="250">
        <f>AI179/$AI$180</f>
        <v>0.0063527927182154666</v>
      </c>
      <c r="AL179" s="250">
        <f t="shared" si="468" ref="AL179:AO179">AK179</f>
        <v>0.0063527927182154666</v>
      </c>
      <c r="AM179" s="250">
        <f>AK179</f>
        <v>0.0063527927182154666</v>
      </c>
      <c r="AN179" s="250">
        <f>AL179</f>
        <v>0.0063527927182154666</v>
      </c>
      <c r="AO179" s="250">
        <f t="shared" si="468"/>
        <v>0.0063527927182154666</v>
      </c>
      <c r="AP179" s="251"/>
      <c r="AQ179" s="250">
        <f t="shared" si="450"/>
        <v>0.0063527927182154666</v>
      </c>
      <c r="AR179" s="250">
        <f>AL179</f>
        <v>0.0063527927182154666</v>
      </c>
      <c r="AS179" s="250">
        <f>AN179</f>
        <v>0.0063527927182154666</v>
      </c>
      <c r="AT179" s="251"/>
      <c r="AU179" s="250">
        <f>AQ179</f>
        <v>0.0063527927182154666</v>
      </c>
      <c r="AV179" s="250">
        <f t="shared" si="441"/>
        <v>0.0063527927182154666</v>
      </c>
      <c r="AW179" s="250">
        <f t="shared" si="441"/>
        <v>0.0063527927182154666</v>
      </c>
    </row>
    <row r="180" spans="1:41" ht="15">
      <c r="A180" t="s">
        <v>16</v>
      </c>
      <c r="J180"/>
      <c r="N180" s="36"/>
      <c r="AI180" s="215">
        <f>SUM(AI175:AI179)</f>
        <v>0.41726438928014997</v>
      </c>
      <c r="AK180" s="29"/>
      <c r="AL180" s="29"/>
      <c r="AM180" s="29"/>
      <c r="AN180" s="29"/>
      <c r="AO180" s="29"/>
    </row>
    <row r="181" spans="1:33" ht="15">
      <c r="A181" t="s">
        <v>16</v>
      </c>
      <c r="C181" t="s">
        <v>133</v>
      </c>
      <c r="E181" s="29">
        <f t="shared" si="469" ref="E181">SUM(E172:E174)</f>
        <v>0.52503386937918861</v>
      </c>
      <c r="F181" s="29">
        <f t="shared" si="470" ref="F181:H181">SUM(F172:F174)</f>
        <v>0.52920972009328504</v>
      </c>
      <c r="G181" s="29">
        <f t="shared" si="470"/>
        <v>0.50594414611115535</v>
      </c>
      <c r="H181" s="29">
        <f t="shared" si="470"/>
        <v>0.50441084426170402</v>
      </c>
      <c r="I181" s="29">
        <f>SUM(I172:I174)</f>
        <v>0.58273561071984992</v>
      </c>
      <c r="J181" s="29">
        <f>SUM(J172:J174)</f>
        <v>0.67570222562748317</v>
      </c>
      <c r="K181" s="29">
        <f>SUM(K172:K174)</f>
        <v>0.67570222562748317</v>
      </c>
      <c r="L181" s="29">
        <f>SUM(L172:L174)</f>
        <v>0.67570222562748317</v>
      </c>
      <c r="M181" s="29">
        <f>SUM(M172:M174)</f>
        <v>0.78778534005937229</v>
      </c>
      <c r="N181" s="36"/>
      <c r="O181" s="29">
        <f t="shared" si="471" ref="O181:R181">SUM(O172:O174)</f>
        <v>0.52503386937918861</v>
      </c>
      <c r="P181" s="29">
        <f t="shared" si="471"/>
        <v>0.52920972009328504</v>
      </c>
      <c r="Q181" s="29">
        <f t="shared" si="471"/>
        <v>0.50594414611115535</v>
      </c>
      <c r="R181" s="29">
        <f t="shared" si="471"/>
        <v>0.50441084426170402</v>
      </c>
      <c r="S181" s="29">
        <f>SUM(S172:S174)</f>
        <v>0.58273561071984992</v>
      </c>
      <c r="T181" s="29">
        <f>SUM(T172:T174)</f>
        <v>0.67570222562748317</v>
      </c>
      <c r="U181" s="29">
        <f>SUM(U172:U174)</f>
        <v>0.75911122275773568</v>
      </c>
      <c r="V181" s="29">
        <f>SUM(V172:V174)</f>
        <v>0.77903127246866255</v>
      </c>
      <c r="W181" s="29">
        <f>SUM(W172:W174)</f>
        <v>0.78778534005937229</v>
      </c>
      <c r="Y181" s="50">
        <f t="shared" si="472" ref="Y181:AB182">O181</f>
        <v>0.52503386937918861</v>
      </c>
      <c r="Z181" s="50">
        <f t="shared" si="472"/>
        <v>0.52920972009328504</v>
      </c>
      <c r="AA181" s="50">
        <f t="shared" si="472"/>
        <v>0.50594414611115535</v>
      </c>
      <c r="AB181" s="50">
        <f t="shared" si="472"/>
        <v>0.50441084426170402</v>
      </c>
      <c r="AC181" s="249">
        <f>SUM(AC172:AC174)</f>
        <v>0.55230703381127821</v>
      </c>
      <c r="AD181" s="249">
        <f>SUM(AD172:AD174)</f>
        <v>0.62448517419687199</v>
      </c>
      <c r="AE181" s="249">
        <f>SUM(AE172:AE174)</f>
        <v>0.70754599145679775</v>
      </c>
      <c r="AF181" s="249">
        <f>SUM(AF172:AF174)</f>
        <v>0.7271013591044474</v>
      </c>
      <c r="AG181" s="249">
        <f>SUM(AG172:AG174)</f>
        <v>0.71614958995934108</v>
      </c>
    </row>
    <row r="182" spans="1:33" ht="15">
      <c r="A182" t="s">
        <v>16</v>
      </c>
      <c r="C182" t="s">
        <v>134</v>
      </c>
      <c r="E182" s="29">
        <f t="shared" si="473" ref="E182">1-E181</f>
        <v>0.47496613062081139</v>
      </c>
      <c r="F182" s="29">
        <f t="shared" si="474" ref="F182:H182">1-F181</f>
        <v>0.47079027990671496</v>
      </c>
      <c r="G182" s="29">
        <f t="shared" si="474"/>
        <v>0.49405585388884465</v>
      </c>
      <c r="H182" s="29">
        <f t="shared" si="474"/>
        <v>0.49558915573829598</v>
      </c>
      <c r="I182" s="29">
        <f>1-I181</f>
        <v>0.41726438928015008</v>
      </c>
      <c r="J182" s="29">
        <f>1-J181</f>
        <v>0.32429777437251683</v>
      </c>
      <c r="K182" s="29">
        <f>1-K181</f>
        <v>0.32429777437251683</v>
      </c>
      <c r="L182" s="29">
        <f>1-L181</f>
        <v>0.32429777437251683</v>
      </c>
      <c r="M182" s="29">
        <f>1-M181</f>
        <v>0.21221465994062771</v>
      </c>
      <c r="N182" s="36"/>
      <c r="O182" s="29">
        <f t="shared" si="475" ref="O182:R182">1-O181</f>
        <v>0.47496613062081139</v>
      </c>
      <c r="P182" s="29">
        <f t="shared" si="475"/>
        <v>0.47079027990671496</v>
      </c>
      <c r="Q182" s="29">
        <f t="shared" si="475"/>
        <v>0.49405585388884465</v>
      </c>
      <c r="R182" s="29">
        <f t="shared" si="475"/>
        <v>0.49558915573829598</v>
      </c>
      <c r="S182" s="29">
        <f>1-S181</f>
        <v>0.41726438928015008</v>
      </c>
      <c r="T182" s="29">
        <f>1-T181</f>
        <v>0.32429777437251683</v>
      </c>
      <c r="U182" s="29">
        <f>1-U181</f>
        <v>0.24088877724226432</v>
      </c>
      <c r="V182" s="29">
        <f>1-V181</f>
        <v>0.22096872753133745</v>
      </c>
      <c r="W182" s="29">
        <f>1-W181</f>
        <v>0.21221465994062771</v>
      </c>
      <c r="Y182" s="50">
        <f t="shared" si="472"/>
        <v>0.47496613062081139</v>
      </c>
      <c r="Z182" s="50">
        <f t="shared" si="472"/>
        <v>0.47079027990671496</v>
      </c>
      <c r="AA182" s="50">
        <f t="shared" si="472"/>
        <v>0.49405585388884465</v>
      </c>
      <c r="AB182" s="50">
        <f t="shared" si="472"/>
        <v>0.49558915573829598</v>
      </c>
      <c r="AC182" s="249">
        <f>1-AC181</f>
        <v>0.44769296618872179</v>
      </c>
      <c r="AD182" s="249">
        <f>1-AD181</f>
        <v>0.37551482580312801</v>
      </c>
      <c r="AE182" s="249">
        <f>1-AE181</f>
        <v>0.29245400854320225</v>
      </c>
      <c r="AF182" s="249">
        <f>1-AF181</f>
        <v>0.2728986408955526</v>
      </c>
      <c r="AG182" s="249">
        <f>1-AG181</f>
        <v>0.28385041004065892</v>
      </c>
    </row>
    <row r="183" spans="1:33" ht="15">
      <c r="A183" t="s">
        <v>16</v>
      </c>
      <c r="J183"/>
      <c r="N183" s="36"/>
      <c r="Y183" s="22">
        <f t="shared" si="476" ref="Y183:AD183">SUM(Y161:Y162)/SUM(O161:O162)</f>
        <v>1</v>
      </c>
      <c r="Z183" s="22">
        <f t="shared" si="476"/>
        <v>1</v>
      </c>
      <c r="AA183" s="22">
        <f t="shared" si="476"/>
        <v>1</v>
      </c>
      <c r="AB183" s="22">
        <f t="shared" si="476"/>
        <v>1</v>
      </c>
      <c r="AC183" s="22">
        <f t="shared" si="476"/>
        <v>0.91032213447769028</v>
      </c>
      <c r="AD183" s="22">
        <f t="shared" si="476"/>
        <v>0.85776062189281543</v>
      </c>
      <c r="AE183" s="22">
        <f>SUM(AE161:AE162)/SUM(V161:V162)</f>
        <v>0.78391157056352989</v>
      </c>
      <c r="AF183" s="22">
        <f>SUM(AF161:AF162)/SUM(V161:V162)</f>
        <v>0.85720417971801011</v>
      </c>
      <c r="AG183" s="22">
        <f>SUM(AG161:AG162)/SUM(W161:W162)</f>
        <v>0.80911779993370492</v>
      </c>
    </row>
    <row r="184" spans="1:14" ht="15">
      <c r="A184" t="s">
        <v>16</v>
      </c>
      <c r="J184"/>
      <c r="N184" s="36"/>
    </row>
    <row r="185" spans="1:14" ht="15.75" thickBot="1">
      <c r="A185" t="s">
        <v>16</v>
      </c>
      <c r="C185" s="6" t="s">
        <v>190</v>
      </c>
      <c r="E185" s="10">
        <f>E4</f>
        <v>2017</v>
      </c>
      <c r="F185" s="10">
        <f t="shared" si="477" ref="F185:H185">F4</f>
        <v>2019</v>
      </c>
      <c r="G185" s="10">
        <f t="shared" si="477"/>
        <v>2020</v>
      </c>
      <c r="H185" s="10">
        <f t="shared" si="477"/>
        <v>2021</v>
      </c>
      <c r="I185" s="10">
        <v>2030</v>
      </c>
      <c r="J185" s="10">
        <v>2040</v>
      </c>
      <c r="K185" s="10">
        <v>2050</v>
      </c>
      <c r="L185" s="10">
        <v>2060</v>
      </c>
      <c r="M185" s="10">
        <v>2070</v>
      </c>
      <c r="N185" s="36"/>
    </row>
    <row r="186" spans="1:51" ht="15">
      <c r="A186" t="s">
        <v>16</v>
      </c>
      <c r="B186" t="str">
        <f>B149</f>
        <v>TPPRCAR</v>
      </c>
      <c r="C186" t="str">
        <f>C149</f>
        <v>Car Priv.Veh. Vehicle km</v>
      </c>
      <c r="E186" s="9">
        <f>E149</f>
        <v>81.1386031348502</v>
      </c>
      <c r="F186" s="9">
        <f>F149</f>
        <v>84.616485002842012</v>
      </c>
      <c r="G186" s="9">
        <f t="shared" si="478" ref="G186:H186">G149</f>
        <v>78.308349507973659</v>
      </c>
      <c r="H186" s="9">
        <f t="shared" si="478"/>
        <v>79.571725511782603</v>
      </c>
      <c r="I186" s="12">
        <f t="shared" si="479" ref="I186:M193">I149</f>
        <v>110.5209330137772</v>
      </c>
      <c r="J186" s="12">
        <f t="shared" si="479"/>
        <v>157.98864398874304</v>
      </c>
      <c r="K186" s="12">
        <f t="shared" si="480" ref="K186:L186">K149</f>
        <v>214.91417935289618</v>
      </c>
      <c r="L186" s="12">
        <f t="shared" si="480"/>
        <v>234.87243386381823</v>
      </c>
      <c r="M186" s="12">
        <f t="shared" si="479"/>
        <v>243.75712018368034</v>
      </c>
      <c r="N186" s="36"/>
      <c r="AH186" s="198"/>
      <c r="AI186" s="198"/>
      <c r="AJ186" s="198"/>
      <c r="AK186" s="198"/>
      <c r="AL186" s="198"/>
      <c r="AM186" s="198"/>
      <c r="AN186" s="198"/>
      <c r="AO186" s="198"/>
      <c r="AP186" s="198"/>
      <c r="AQ186" s="198"/>
      <c r="AR186" s="198"/>
      <c r="AS186" s="198"/>
      <c r="AT186" s="198"/>
      <c r="AU186" s="198"/>
      <c r="AV186" s="198"/>
      <c r="AW186" s="198"/>
      <c r="AX186" s="198"/>
      <c r="AY186" s="198"/>
    </row>
    <row r="187" spans="1:51" ht="15">
      <c r="A187" t="s">
        <v>16</v>
      </c>
      <c r="B187" t="str">
        <f t="shared" si="481" ref="B187:C193">B150</f>
        <v>TPPRSUV</v>
      </c>
      <c r="C187" t="str">
        <f t="shared" si="481"/>
        <v>SUV Priv.Veh. Vehicle km</v>
      </c>
      <c r="E187" s="12">
        <f t="shared" si="482" ref="E187:E193">E150</f>
        <v>17.754191802068</v>
      </c>
      <c r="F187" s="12">
        <f t="shared" si="483" ref="F187:H187">F150</f>
        <v>17.98100306310393</v>
      </c>
      <c r="G187" s="12">
        <f t="shared" si="483"/>
        <v>16.640524270444406</v>
      </c>
      <c r="H187" s="12">
        <f t="shared" si="483"/>
        <v>16.908991671253805</v>
      </c>
      <c r="I187" s="12">
        <f t="shared" si="479"/>
        <v>23.485698265427658</v>
      </c>
      <c r="J187" s="12">
        <f t="shared" si="479"/>
        <v>33.572586847607901</v>
      </c>
      <c r="K187" s="12">
        <f t="shared" si="484" ref="K187:L187">K150</f>
        <v>45.669263112490441</v>
      </c>
      <c r="L187" s="12">
        <f t="shared" si="484"/>
        <v>49.91039219606138</v>
      </c>
      <c r="M187" s="12">
        <f t="shared" si="479"/>
        <v>51.798388039032076</v>
      </c>
      <c r="N187" s="36"/>
      <c r="AH187" s="198"/>
      <c r="AI187" s="198"/>
      <c r="AJ187" s="198"/>
      <c r="AK187" s="198"/>
      <c r="AL187" s="198"/>
      <c r="AM187" s="198"/>
      <c r="AN187" s="198"/>
      <c r="AO187" s="198"/>
      <c r="AP187" s="198"/>
      <c r="AQ187" s="198"/>
      <c r="AR187" s="198"/>
      <c r="AS187" s="198"/>
      <c r="AT187" s="198"/>
      <c r="AU187" s="198"/>
      <c r="AV187" s="198"/>
      <c r="AW187" s="198"/>
      <c r="AX187" s="198"/>
      <c r="AY187" s="198"/>
    </row>
    <row r="188" spans="1:51" ht="15">
      <c r="A188" t="s">
        <v>16</v>
      </c>
      <c r="B188" t="str">
        <f t="shared" si="481"/>
        <v>TPPRMOT</v>
      </c>
      <c r="C188" t="str">
        <f t="shared" si="481"/>
        <v>Motorbikes Priv.Veh. Vehicle km</v>
      </c>
      <c r="E188" s="12">
        <f t="shared" si="482"/>
        <v>5.9227912022632498</v>
      </c>
      <c r="F188" s="12">
        <f t="shared" si="485" ref="F188:H188">F151</f>
        <v>3.1731181876065753</v>
      </c>
      <c r="G188" s="12">
        <f t="shared" si="485"/>
        <v>2.9365631065490123</v>
      </c>
      <c r="H188" s="12">
        <f t="shared" si="485"/>
        <v>2.9839397066918476</v>
      </c>
      <c r="I188" s="12">
        <f t="shared" si="479"/>
        <v>4.1445349880166447</v>
      </c>
      <c r="J188" s="12">
        <f t="shared" si="479"/>
        <v>5.9245741495778637</v>
      </c>
      <c r="K188" s="12">
        <f t="shared" si="486" ref="K188:L188">K151</f>
        <v>8.0592817257336069</v>
      </c>
      <c r="L188" s="12">
        <f t="shared" si="486"/>
        <v>8.8077162698931843</v>
      </c>
      <c r="M188" s="12">
        <f t="shared" si="479"/>
        <v>9.1408920068880128</v>
      </c>
      <c r="N188" s="36"/>
      <c r="AH188" s="198"/>
      <c r="AI188" s="198"/>
      <c r="AJ188" s="198"/>
      <c r="AK188" s="198"/>
      <c r="AL188" s="198"/>
      <c r="AM188" s="198"/>
      <c r="AN188" s="198"/>
      <c r="AO188" s="198"/>
      <c r="AP188" s="198"/>
      <c r="AQ188" s="198"/>
      <c r="AR188" s="198"/>
      <c r="AS188" s="198"/>
      <c r="AT188" s="198"/>
      <c r="AU188" s="198"/>
      <c r="AV188" s="198"/>
      <c r="AW188" s="198"/>
      <c r="AX188" s="198"/>
      <c r="AY188" s="198"/>
    </row>
    <row r="189" spans="1:51" ht="15">
      <c r="A189" t="s">
        <v>16</v>
      </c>
      <c r="B189" t="str">
        <f t="shared" si="481"/>
        <v>TPPUBUS</v>
      </c>
      <c r="C189" t="str">
        <f t="shared" si="481"/>
        <v>Bus vehicle km</v>
      </c>
      <c r="E189" s="12">
        <f t="shared" si="482"/>
        <v>0.64296697178877804</v>
      </c>
      <c r="F189" s="12">
        <f t="shared" si="487" ref="F189:H189">F152</f>
        <v>0.65561461783585018</v>
      </c>
      <c r="G189" s="12">
        <f t="shared" si="487"/>
        <v>0.6666265611015576</v>
      </c>
      <c r="H189" s="12">
        <f t="shared" si="487"/>
        <v>0.68165992851148161</v>
      </c>
      <c r="I189" s="12">
        <f t="shared" si="479"/>
        <v>0.68770089093312015</v>
      </c>
      <c r="J189" s="12">
        <f t="shared" si="479"/>
        <v>0.65534488386701795</v>
      </c>
      <c r="K189" s="12">
        <f t="shared" si="488" ref="K189:L189">K152</f>
        <v>0.58511426830450586</v>
      </c>
      <c r="L189" s="12">
        <f t="shared" si="488"/>
        <v>0.56978445759695118</v>
      </c>
      <c r="M189" s="12">
        <f t="shared" si="479"/>
        <v>0.56058567140481308</v>
      </c>
      <c r="N189" s="36"/>
      <c r="AH189" s="198"/>
      <c r="AI189" s="198"/>
      <c r="AJ189" s="198"/>
      <c r="AK189" s="198"/>
      <c r="AL189" s="198"/>
      <c r="AM189" s="198"/>
      <c r="AN189" s="198"/>
      <c r="AO189" s="198"/>
      <c r="AP189" s="198"/>
      <c r="AQ189" s="198"/>
      <c r="AR189" s="198"/>
      <c r="AS189" s="198"/>
      <c r="AT189" s="198"/>
      <c r="AU189" s="198"/>
      <c r="AV189" s="198"/>
      <c r="AW189" s="198"/>
      <c r="AX189" s="198"/>
      <c r="AY189" s="198"/>
    </row>
    <row r="190" spans="1:51" ht="15">
      <c r="A190" t="s">
        <v>16</v>
      </c>
      <c r="B190" t="str">
        <f t="shared" si="481"/>
        <v>TPPUMBT</v>
      </c>
      <c r="C190" t="str">
        <f t="shared" si="481"/>
        <v>Minibus vehicle km</v>
      </c>
      <c r="E190" s="12">
        <f t="shared" si="482"/>
        <v>7.2130505455454896</v>
      </c>
      <c r="F190" s="12">
        <f t="shared" si="489" ref="F190:H190">F153</f>
        <v>7.3560605036075861</v>
      </c>
      <c r="G190" s="12">
        <f t="shared" si="489"/>
        <v>7.4796155902715018</v>
      </c>
      <c r="H190" s="12">
        <f t="shared" si="489"/>
        <v>7.6482914514129181</v>
      </c>
      <c r="I190" s="12">
        <f t="shared" si="479"/>
        <v>7.7160716440210066</v>
      </c>
      <c r="J190" s="12">
        <f t="shared" si="479"/>
        <v>7.3530340619441006</v>
      </c>
      <c r="K190" s="12">
        <f t="shared" si="490" ref="K190:L190">K153</f>
        <v>6.5650396468885273</v>
      </c>
      <c r="L190" s="12">
        <f t="shared" si="490"/>
        <v>6.3930376627871643</v>
      </c>
      <c r="M190" s="12">
        <f t="shared" si="479"/>
        <v>6.2898263768453058</v>
      </c>
      <c r="N190" s="36"/>
      <c r="AH190" s="198"/>
      <c r="AI190" s="198"/>
      <c r="AJ190" s="198"/>
      <c r="AK190" s="198"/>
      <c r="AL190" s="198"/>
      <c r="AM190" s="198"/>
      <c r="AN190" s="198"/>
      <c r="AO190" s="198"/>
      <c r="AP190" s="198"/>
      <c r="AQ190" s="198"/>
      <c r="AR190" s="198"/>
      <c r="AS190" s="198"/>
      <c r="AT190" s="198"/>
      <c r="AU190" s="198"/>
      <c r="AV190" s="198"/>
      <c r="AW190" s="198"/>
      <c r="AX190" s="198"/>
      <c r="AY190" s="198"/>
    </row>
    <row r="191" spans="1:51" ht="15">
      <c r="A191" t="s">
        <v>16</v>
      </c>
      <c r="B191" t="str">
        <f t="shared" si="481"/>
        <v>TPPUBRT</v>
      </c>
      <c r="C191" t="str">
        <f t="shared" si="481"/>
        <v>BRT vehicle km</v>
      </c>
      <c r="E191" s="12">
        <f t="shared" si="482"/>
        <v>0.072799982901224303</v>
      </c>
      <c r="F191" s="12">
        <f t="shared" si="491" ref="F191:H191">F154</f>
        <v>0.1113095478662298</v>
      </c>
      <c r="G191" s="12">
        <f t="shared" si="491"/>
        <v>0.11091277099762989</v>
      </c>
      <c r="H191" s="12">
        <f t="shared" si="491"/>
        <v>0.11320845736963975</v>
      </c>
      <c r="I191" s="12">
        <f t="shared" si="479"/>
        <v>0.12338686882584481</v>
      </c>
      <c r="J191" s="12">
        <f t="shared" si="479"/>
        <v>0.13318832356091539</v>
      </c>
      <c r="K191" s="12">
        <f t="shared" si="492" ref="K191:L191">K154</f>
        <v>0.1405815851382565</v>
      </c>
      <c r="L191" s="12">
        <f t="shared" si="492"/>
        <v>0.14473458090800723</v>
      </c>
      <c r="M191" s="12">
        <f t="shared" si="479"/>
        <v>0.14640680725053476</v>
      </c>
      <c r="N191" s="36"/>
      <c r="AH191" s="198"/>
      <c r="AI191" s="198"/>
      <c r="AJ191" s="198"/>
      <c r="AK191" s="198"/>
      <c r="AL191" s="198"/>
      <c r="AM191" s="198"/>
      <c r="AN191" s="198"/>
      <c r="AO191" s="198"/>
      <c r="AP191" s="198"/>
      <c r="AQ191" s="198"/>
      <c r="AR191" s="198"/>
      <c r="AS191" s="198"/>
      <c r="AT191" s="198"/>
      <c r="AU191" s="198"/>
      <c r="AV191" s="198"/>
      <c r="AW191" s="198"/>
      <c r="AX191" s="198"/>
      <c r="AY191" s="198"/>
    </row>
    <row r="192" spans="1:51" ht="15">
      <c r="A192" t="s">
        <v>16</v>
      </c>
      <c r="B192" t="str">
        <f t="shared" si="481"/>
        <v>TPPUMER</v>
      </c>
      <c r="C192" t="str">
        <f t="shared" si="481"/>
        <v>Metro Rail pkm</v>
      </c>
      <c r="E192" s="12">
        <f t="shared" si="482"/>
        <v>8.7048317578401608</v>
      </c>
      <c r="F192" s="12">
        <f t="shared" si="493" ref="F192:H192">F155</f>
        <v>8.8749083635056305</v>
      </c>
      <c r="G192" s="12">
        <f t="shared" si="493"/>
        <v>9.0239745751619225</v>
      </c>
      <c r="H192" s="12">
        <f t="shared" si="493"/>
        <v>9.227477905515352</v>
      </c>
      <c r="I192" s="12">
        <f t="shared" si="479"/>
        <v>9.3092530619272011</v>
      </c>
      <c r="J192" s="12">
        <f t="shared" si="479"/>
        <v>8.8712570351325493</v>
      </c>
      <c r="K192" s="12">
        <f t="shared" si="494" ref="K192:L192">K155</f>
        <v>7.9205609089733473</v>
      </c>
      <c r="L192" s="12">
        <f t="shared" si="494"/>
        <v>7.7130446920400964</v>
      </c>
      <c r="M192" s="12">
        <f t="shared" si="479"/>
        <v>7.5885227819274288</v>
      </c>
      <c r="N192" s="36"/>
      <c r="AH192" s="198"/>
      <c r="AI192" s="198"/>
      <c r="AJ192" s="198"/>
      <c r="AK192" s="198"/>
      <c r="AL192" s="198"/>
      <c r="AM192" s="198"/>
      <c r="AN192" s="198"/>
      <c r="AO192" s="198"/>
      <c r="AP192" s="198"/>
      <c r="AQ192" s="198"/>
      <c r="AR192" s="198"/>
      <c r="AS192" s="198"/>
      <c r="AT192" s="198"/>
      <c r="AU192" s="198"/>
      <c r="AV192" s="198"/>
      <c r="AW192" s="198"/>
      <c r="AX192" s="198"/>
      <c r="AY192" s="198"/>
    </row>
    <row r="193" spans="1:51" ht="15">
      <c r="A193" t="s">
        <v>16</v>
      </c>
      <c r="B193" t="str">
        <f t="shared" si="481"/>
        <v>TPPUGAT</v>
      </c>
      <c r="C193" t="str">
        <f t="shared" si="481"/>
        <v>Gautrain pkm</v>
      </c>
      <c r="E193" s="12">
        <f t="shared" si="482"/>
        <v>0.64854136839212595</v>
      </c>
      <c r="F193" s="12">
        <f t="shared" si="495" ref="F193:H193">F156</f>
        <v>0.6995709084876961</v>
      </c>
      <c r="G193" s="12">
        <f t="shared" si="495"/>
        <v>0.64248252977129328</v>
      </c>
      <c r="H193" s="12">
        <f t="shared" si="495"/>
        <v>0.63988638610905979</v>
      </c>
      <c r="I193" s="12">
        <f t="shared" si="479"/>
        <v>0.87980624466627066</v>
      </c>
      <c r="J193" s="12">
        <f t="shared" si="479"/>
        <v>1.1673187884898968</v>
      </c>
      <c r="K193" s="12">
        <f t="shared" si="496" ref="K193:L193">K156</f>
        <v>1.3742480365516063</v>
      </c>
      <c r="L193" s="12">
        <f t="shared" si="496"/>
        <v>1.5073494303226469</v>
      </c>
      <c r="M193" s="12">
        <f t="shared" si="479"/>
        <v>1.5904246596034544</v>
      </c>
      <c r="N193" s="36"/>
      <c r="AH193" s="198"/>
      <c r="AI193" s="198"/>
      <c r="AJ193" s="198"/>
      <c r="AK193" s="198"/>
      <c r="AL193" s="198"/>
      <c r="AM193" s="198"/>
      <c r="AN193" s="198"/>
      <c r="AO193" s="198"/>
      <c r="AP193" s="198"/>
      <c r="AQ193" s="198"/>
      <c r="AR193" s="198"/>
      <c r="AS193" s="198"/>
      <c r="AT193" s="198"/>
      <c r="AU193" s="198"/>
      <c r="AV193" s="198"/>
      <c r="AW193" s="198"/>
      <c r="AX193" s="198"/>
      <c r="AY193" s="198"/>
    </row>
    <row r="194" spans="5:51" ht="15">
      <c r="E194" s="12"/>
      <c r="G194" s="12"/>
      <c r="I194" s="12"/>
      <c r="J194" s="12"/>
      <c r="K194" s="12"/>
      <c r="L194" s="12"/>
      <c r="M194" s="12"/>
      <c r="N194" s="36"/>
      <c r="Q194" s="198"/>
      <c r="S194" s="198"/>
      <c r="T194" s="198"/>
      <c r="U194" s="198"/>
      <c r="V194" s="198"/>
      <c r="W194" s="198"/>
      <c r="X194" s="198"/>
      <c r="AA194" s="198"/>
      <c r="AB194" s="198"/>
      <c r="AD194" s="198"/>
      <c r="AE194" s="198"/>
      <c r="AF194" s="198"/>
      <c r="AG194" s="198"/>
      <c r="AH194" s="198"/>
      <c r="AI194" s="198"/>
      <c r="AJ194" s="198"/>
      <c r="AK194" s="198"/>
      <c r="AL194" s="198"/>
      <c r="AM194" s="198"/>
      <c r="AN194" s="198"/>
      <c r="AO194" s="198"/>
      <c r="AP194" s="198"/>
      <c r="AQ194" s="198"/>
      <c r="AR194" s="198"/>
      <c r="AS194" s="198"/>
      <c r="AT194" s="198"/>
      <c r="AU194" s="198"/>
      <c r="AV194" s="198"/>
      <c r="AW194" s="198"/>
      <c r="AX194" s="198"/>
      <c r="AY194" s="198"/>
    </row>
    <row r="195" spans="5:66" ht="23.25">
      <c r="E195" t="s">
        <v>16</v>
      </c>
      <c r="F195" s="16" t="s">
        <v>18</v>
      </c>
      <c r="G195" s="16" t="s">
        <v>19</v>
      </c>
      <c r="H195" s="16" t="s">
        <v>20</v>
      </c>
      <c r="I195" s="16" t="s">
        <v>21</v>
      </c>
      <c r="J195" s="16" t="s">
        <v>22</v>
      </c>
      <c r="K195" s="16" t="s">
        <v>23</v>
      </c>
      <c r="L195" s="16" t="s">
        <v>24</v>
      </c>
      <c r="M195" s="16" t="s">
        <v>594</v>
      </c>
      <c r="N195" s="16" t="s">
        <v>623</v>
      </c>
      <c r="O195" s="16" t="s">
        <v>766</v>
      </c>
      <c r="P195" s="17" t="s">
        <v>25</v>
      </c>
      <c r="Q195" s="18">
        <v>2017</v>
      </c>
      <c r="R195" s="18">
        <f t="shared" si="497" ref="R195:AT195">1+Q195</f>
        <v>2018</v>
      </c>
      <c r="S195" s="18">
        <f t="shared" si="497"/>
        <v>2019</v>
      </c>
      <c r="T195" s="18">
        <f t="shared" si="497"/>
        <v>2020</v>
      </c>
      <c r="U195" s="18">
        <f>1+S195</f>
        <v>2020</v>
      </c>
      <c r="V195" s="18">
        <f>1+S195</f>
        <v>2020</v>
      </c>
      <c r="W195" s="18">
        <f>1+T195</f>
        <v>2021</v>
      </c>
      <c r="X195" s="18">
        <f t="shared" si="497"/>
        <v>2022</v>
      </c>
      <c r="Y195" s="18">
        <f t="shared" si="497"/>
        <v>2023</v>
      </c>
      <c r="Z195" s="18">
        <f t="shared" si="497"/>
        <v>2024</v>
      </c>
      <c r="AA195" s="18">
        <f t="shared" si="497"/>
        <v>2025</v>
      </c>
      <c r="AB195" s="18">
        <f t="shared" si="497"/>
        <v>2026</v>
      </c>
      <c r="AC195" s="18">
        <f t="shared" si="497"/>
        <v>2027</v>
      </c>
      <c r="AD195" s="18">
        <f t="shared" si="497"/>
        <v>2028</v>
      </c>
      <c r="AE195" s="18">
        <f t="shared" si="497"/>
        <v>2029</v>
      </c>
      <c r="AF195" s="18">
        <f>1+AD195</f>
        <v>2029</v>
      </c>
      <c r="AG195" s="18">
        <f>1+AD195</f>
        <v>2029</v>
      </c>
      <c r="AH195" s="18">
        <f>1+AE195</f>
        <v>2030</v>
      </c>
      <c r="AI195" s="18">
        <f t="shared" si="497"/>
        <v>2031</v>
      </c>
      <c r="AJ195" s="18">
        <f t="shared" si="497"/>
        <v>2032</v>
      </c>
      <c r="AK195" s="18">
        <f t="shared" si="497"/>
        <v>2033</v>
      </c>
      <c r="AL195" s="18">
        <f t="shared" si="497"/>
        <v>2034</v>
      </c>
      <c r="AM195" s="18">
        <f t="shared" si="497"/>
        <v>2035</v>
      </c>
      <c r="AN195" s="18">
        <f>1+AL195</f>
        <v>2035</v>
      </c>
      <c r="AO195" s="18">
        <f>1+AM195</f>
        <v>2036</v>
      </c>
      <c r="AP195" s="18">
        <f t="shared" si="497"/>
        <v>2037</v>
      </c>
      <c r="AQ195" s="18">
        <f>1+AO195</f>
        <v>2037</v>
      </c>
      <c r="AR195" s="18">
        <f t="shared" si="497"/>
        <v>2038</v>
      </c>
      <c r="AS195" s="18">
        <f t="shared" si="497"/>
        <v>2039</v>
      </c>
      <c r="AT195" s="18">
        <f t="shared" si="497"/>
        <v>2040</v>
      </c>
      <c r="AU195" s="18">
        <v>2045</v>
      </c>
      <c r="AV195" s="18">
        <v>2050</v>
      </c>
      <c r="AW195" s="18">
        <v>2060</v>
      </c>
      <c r="AX195" s="18">
        <v>2070</v>
      </c>
      <c r="AY195" s="18"/>
      <c r="BB195" s="18"/>
      <c r="BC195" s="18"/>
      <c r="BM195" s="18"/>
      <c r="BN195" s="18"/>
    </row>
    <row r="196" spans="5:65" s="102" customFormat="1" ht="15">
      <c r="E196" s="101" t="s">
        <v>16</v>
      </c>
      <c r="F196" s="102" t="s">
        <v>376</v>
      </c>
      <c r="G196" s="102">
        <v>1</v>
      </c>
      <c r="H196" s="102">
        <v>2017</v>
      </c>
      <c r="I196" s="102">
        <v>2019</v>
      </c>
      <c r="J196" s="102">
        <v>2020</v>
      </c>
      <c r="K196" s="102">
        <v>2021</v>
      </c>
      <c r="L196" s="102">
        <v>2030</v>
      </c>
      <c r="M196" s="102">
        <v>2040</v>
      </c>
      <c r="N196" s="107">
        <v>2050</v>
      </c>
      <c r="O196" s="102">
        <v>2060</v>
      </c>
      <c r="P196" s="107">
        <v>2070</v>
      </c>
      <c r="Q196" s="101">
        <f t="shared" si="498" ref="Q196:T197">MATCH(N$214,$E$185:$M$185,$G196)</f>
        <v>1</v>
      </c>
      <c r="R196" s="101">
        <f t="shared" si="498"/>
        <v>1</v>
      </c>
      <c r="S196" s="101">
        <f t="shared" si="498"/>
        <v>2</v>
      </c>
      <c r="T196" s="101">
        <f t="shared" si="498"/>
        <v>3</v>
      </c>
      <c r="U196" s="101">
        <f>MATCH(Q$214,$E$185:$M$185,$G196)</f>
        <v>3</v>
      </c>
      <c r="V196" s="101">
        <f t="shared" si="499" ref="V196:Y197">MATCH(Q$214,$E$185:$M$185,$G196)</f>
        <v>3</v>
      </c>
      <c r="W196" s="101">
        <f t="shared" si="499"/>
        <v>4</v>
      </c>
      <c r="X196" s="101">
        <f t="shared" si="499"/>
        <v>4</v>
      </c>
      <c r="Y196" s="101">
        <f t="shared" si="499"/>
        <v>4</v>
      </c>
      <c r="Z196" s="101">
        <f t="shared" si="500" ref="Z196:AE197">MATCH(W$214,$E$185:$M$185,$G196)</f>
        <v>4</v>
      </c>
      <c r="AA196" s="101">
        <f t="shared" si="500"/>
        <v>4</v>
      </c>
      <c r="AB196" s="101">
        <f t="shared" si="500"/>
        <v>4</v>
      </c>
      <c r="AC196" s="101">
        <f t="shared" si="500"/>
        <v>4</v>
      </c>
      <c r="AD196" s="101">
        <f t="shared" si="500"/>
        <v>4</v>
      </c>
      <c r="AE196" s="101">
        <f t="shared" si="500"/>
        <v>4</v>
      </c>
      <c r="AF196" s="101">
        <f>MATCH(AB$214,$E$185:$M$185,$G196)</f>
        <v>4</v>
      </c>
      <c r="AG196" s="101">
        <f t="shared" si="501" ref="AG196:AJ197">MATCH(AB$214,$E$185:$M$185,$G196)</f>
        <v>4</v>
      </c>
      <c r="AH196" s="101">
        <f t="shared" si="501"/>
        <v>5</v>
      </c>
      <c r="AI196" s="101">
        <f t="shared" si="501"/>
        <v>5</v>
      </c>
      <c r="AJ196" s="101">
        <f t="shared" si="501"/>
        <v>5</v>
      </c>
      <c r="AK196" s="101">
        <f t="shared" si="502" ref="AK196:AM197">MATCH(AH$214,$E$185:$M$185,$G196)</f>
        <v>5</v>
      </c>
      <c r="AL196" s="101">
        <f t="shared" si="502"/>
        <v>5</v>
      </c>
      <c r="AM196" s="101">
        <f t="shared" si="502"/>
        <v>5</v>
      </c>
      <c r="AN196" s="101">
        <f t="shared" si="503" ref="AN196:AP197">MATCH(AJ$214,$E$185:$M$185,$G196)</f>
        <v>5</v>
      </c>
      <c r="AO196" s="101">
        <f t="shared" si="503"/>
        <v>5</v>
      </c>
      <c r="AP196" s="101">
        <f t="shared" si="503"/>
        <v>5</v>
      </c>
      <c r="AQ196" s="101">
        <f>MATCH(AL$214,$E$185:$M$185,$G196)</f>
        <v>5</v>
      </c>
      <c r="AR196" s="101">
        <f>MATCH(AM$214,$E$185:$M$185,$G196)</f>
        <v>5</v>
      </c>
      <c r="AS196" s="101">
        <f>MATCH(AO$214,$E$185:$M$185,$G196)</f>
        <v>5</v>
      </c>
      <c r="AT196" s="101">
        <f t="shared" si="504" ref="AT196:AV197">MATCH(AQ$214,$E$185:$M$185,$G196)</f>
        <v>6</v>
      </c>
      <c r="AU196" s="101">
        <f t="shared" si="504"/>
        <v>6</v>
      </c>
      <c r="AV196" s="101">
        <f t="shared" si="504"/>
        <v>7</v>
      </c>
      <c r="AW196" s="102">
        <f>MATCH(AT$214,$G$210:$O$210,$G196)</f>
        <v>8</v>
      </c>
      <c r="AX196" s="102">
        <f>MATCH(AU$214,$G$210:$O$210,$G196)</f>
        <v>9</v>
      </c>
      <c r="BM196" s="101"/>
    </row>
    <row r="197" spans="5:65" ht="15">
      <c r="E197" s="36" t="s">
        <v>16</v>
      </c>
      <c r="F197" t="s">
        <v>377</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6">
        <f t="shared" si="498"/>
        <v>1</v>
      </c>
      <c r="R197" s="36" t="e">
        <f t="shared" si="498"/>
        <v>#N/A</v>
      </c>
      <c r="S197" s="36">
        <f t="shared" si="498"/>
        <v>2</v>
      </c>
      <c r="T197" s="36">
        <f t="shared" si="498"/>
        <v>3</v>
      </c>
      <c r="U197" s="36">
        <f>MATCH(Q$214,$E$185:$M$185,$G197)</f>
        <v>3</v>
      </c>
      <c r="V197" s="36">
        <f t="shared" si="499"/>
        <v>3</v>
      </c>
      <c r="W197" s="36">
        <f t="shared" si="499"/>
        <v>4</v>
      </c>
      <c r="X197" s="36" t="e">
        <f t="shared" si="499"/>
        <v>#N/A</v>
      </c>
      <c r="Y197" s="36" t="e">
        <f t="shared" si="499"/>
        <v>#N/A</v>
      </c>
      <c r="Z197" s="36" t="e">
        <f t="shared" si="500"/>
        <v>#N/A</v>
      </c>
      <c r="AA197" s="36" t="e">
        <f t="shared" si="500"/>
        <v>#N/A</v>
      </c>
      <c r="AB197" s="36" t="e">
        <f t="shared" si="500"/>
        <v>#N/A</v>
      </c>
      <c r="AC197" s="36" t="e">
        <f t="shared" si="500"/>
        <v>#N/A</v>
      </c>
      <c r="AD197" s="36" t="e">
        <f t="shared" si="500"/>
        <v>#N/A</v>
      </c>
      <c r="AE197" s="36" t="e">
        <f t="shared" si="500"/>
        <v>#N/A</v>
      </c>
      <c r="AF197" s="36" t="e">
        <f>MATCH(AB$214,$E$185:$M$185,$G197)</f>
        <v>#N/A</v>
      </c>
      <c r="AG197" s="36" t="e">
        <f t="shared" si="501"/>
        <v>#N/A</v>
      </c>
      <c r="AH197" s="36">
        <f t="shared" si="501"/>
        <v>5</v>
      </c>
      <c r="AI197" s="36" t="e">
        <f t="shared" si="501"/>
        <v>#N/A</v>
      </c>
      <c r="AJ197" s="36" t="e">
        <f t="shared" si="501"/>
        <v>#N/A</v>
      </c>
      <c r="AK197" s="36" t="e">
        <f t="shared" si="502"/>
        <v>#N/A</v>
      </c>
      <c r="AL197" s="36" t="e">
        <f t="shared" si="502"/>
        <v>#N/A</v>
      </c>
      <c r="AM197" s="36" t="e">
        <f t="shared" si="502"/>
        <v>#N/A</v>
      </c>
      <c r="AN197" s="36" t="e">
        <f t="shared" si="503"/>
        <v>#N/A</v>
      </c>
      <c r="AO197" s="36" t="e">
        <f t="shared" si="503"/>
        <v>#N/A</v>
      </c>
      <c r="AP197" s="36" t="e">
        <f t="shared" si="503"/>
        <v>#N/A</v>
      </c>
      <c r="AQ197" s="36" t="e">
        <f>MATCH(AL$214,$E$185:$M$185,$G197)</f>
        <v>#N/A</v>
      </c>
      <c r="AR197" s="36" t="e">
        <f>MATCH(AM$214,$E$185:$M$185,$G197)</f>
        <v>#N/A</v>
      </c>
      <c r="AS197" s="36" t="e">
        <f>MATCH(AO$214,$E$185:$M$185,$G197)</f>
        <v>#N/A</v>
      </c>
      <c r="AT197" s="36">
        <f t="shared" si="504"/>
        <v>6</v>
      </c>
      <c r="AU197" s="36" t="e">
        <f t="shared" si="504"/>
        <v>#N/A</v>
      </c>
      <c r="AV197" s="36">
        <f t="shared" si="504"/>
        <v>7</v>
      </c>
      <c r="AW197">
        <f>MATCH(AT$214,$G$210:$O$210,$G197)</f>
        <v>8</v>
      </c>
      <c r="AX197">
        <f>MATCH(AU$214,$G$210:$O$210,$G197)</f>
        <v>9</v>
      </c>
      <c r="BM197" s="36"/>
    </row>
    <row r="198" spans="5:50" ht="15">
      <c r="E198" s="36" t="s">
        <v>16</v>
      </c>
      <c r="F198" t="s">
        <v>375</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si="505" ref="Z198:AE198">MATCH(W$214,$G$211:$M$211,$G198)</f>
        <v>5</v>
      </c>
      <c r="AA198">
        <f t="shared" si="505"/>
        <v>5</v>
      </c>
      <c r="AB198">
        <f t="shared" si="505"/>
        <v>5</v>
      </c>
      <c r="AC198">
        <f t="shared" si="505"/>
        <v>5</v>
      </c>
      <c r="AD198">
        <f t="shared" si="505"/>
        <v>5</v>
      </c>
      <c r="AE198">
        <f t="shared" si="505"/>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5:66" s="104" customFormat="1" ht="15">
      <c r="E199" s="103" t="s">
        <v>16</v>
      </c>
      <c r="F199" s="104" t="s">
        <v>378</v>
      </c>
      <c r="N199" s="109"/>
      <c r="Q199" s="71">
        <f t="shared" si="506" ref="Q199">IF(ISNA(Q196),-1,IF(ISNA(Q198),99,IF(ISNA(Q197),Q196,0)))</f>
        <v>0</v>
      </c>
      <c r="R199" s="71">
        <f t="shared" si="507" ref="R199:AX199">IF(ISNA(R196),-1,IF(ISNA(R198),99,IF(ISNA(R197),R196,0)))</f>
        <v>1</v>
      </c>
      <c r="S199" s="71">
        <f t="shared" si="507"/>
        <v>0</v>
      </c>
      <c r="T199" s="71">
        <f t="shared" si="507"/>
        <v>0</v>
      </c>
      <c r="U199" s="71">
        <f t="shared" si="508" ref="U199:V199">IF(ISNA(U196),-1,IF(ISNA(U198),99,IF(ISNA(U197),U196,0)))</f>
        <v>0</v>
      </c>
      <c r="V199" s="71">
        <f t="shared" si="508"/>
        <v>0</v>
      </c>
      <c r="W199" s="71">
        <f t="shared" si="507"/>
        <v>0</v>
      </c>
      <c r="X199" s="71">
        <f t="shared" si="507"/>
        <v>4</v>
      </c>
      <c r="Y199" s="71">
        <f t="shared" si="507"/>
        <v>4</v>
      </c>
      <c r="Z199" s="71">
        <f t="shared" si="507"/>
        <v>4</v>
      </c>
      <c r="AA199" s="71">
        <f t="shared" si="507"/>
        <v>4</v>
      </c>
      <c r="AB199" s="71">
        <f t="shared" si="507"/>
        <v>4</v>
      </c>
      <c r="AC199" s="71">
        <f t="shared" si="507"/>
        <v>4</v>
      </c>
      <c r="AD199" s="71">
        <f t="shared" si="507"/>
        <v>4</v>
      </c>
      <c r="AE199" s="71">
        <f t="shared" si="507"/>
        <v>4</v>
      </c>
      <c r="AF199" s="71">
        <f t="shared" si="509" ref="AF199:AG199">IF(ISNA(AF196),-1,IF(ISNA(AF198),99,IF(ISNA(AF197),AF196,0)))</f>
        <v>4</v>
      </c>
      <c r="AG199" s="71">
        <f t="shared" si="509"/>
        <v>4</v>
      </c>
      <c r="AH199" s="71">
        <f t="shared" si="507"/>
        <v>0</v>
      </c>
      <c r="AI199" s="71">
        <f t="shared" si="507"/>
        <v>5</v>
      </c>
      <c r="AJ199" s="71">
        <f t="shared" si="507"/>
        <v>5</v>
      </c>
      <c r="AK199" s="71">
        <f t="shared" si="507"/>
        <v>5</v>
      </c>
      <c r="AL199" s="71">
        <f t="shared" si="507"/>
        <v>5</v>
      </c>
      <c r="AM199" s="71">
        <f t="shared" si="507"/>
        <v>5</v>
      </c>
      <c r="AN199" s="71">
        <f t="shared" si="510" ref="AN199">IF(ISNA(AN196),-1,IF(ISNA(AN198),99,IF(ISNA(AN197),AN196,0)))</f>
        <v>5</v>
      </c>
      <c r="AO199" s="71">
        <f t="shared" si="507"/>
        <v>5</v>
      </c>
      <c r="AP199" s="71">
        <f t="shared" si="511" ref="AP199">IF(ISNA(AP196),-1,IF(ISNA(AP198),99,IF(ISNA(AP197),AP196,0)))</f>
        <v>5</v>
      </c>
      <c r="AQ199" s="71">
        <f t="shared" si="507"/>
        <v>5</v>
      </c>
      <c r="AR199" s="71">
        <f t="shared" si="507"/>
        <v>5</v>
      </c>
      <c r="AS199" s="71">
        <f t="shared" si="507"/>
        <v>5</v>
      </c>
      <c r="AT199" s="71">
        <f t="shared" si="507"/>
        <v>0</v>
      </c>
      <c r="AU199" s="71">
        <f t="shared" si="507"/>
        <v>6</v>
      </c>
      <c r="AV199" s="71">
        <f t="shared" si="507"/>
        <v>0</v>
      </c>
      <c r="AW199" s="71">
        <f t="shared" si="507"/>
        <v>0</v>
      </c>
      <c r="AX199" s="71">
        <f t="shared" si="507"/>
        <v>0</v>
      </c>
      <c r="AY199" s="71"/>
      <c r="BB199" s="71"/>
      <c r="BC199" s="71"/>
      <c r="BM199" s="71"/>
      <c r="BN199" s="71"/>
    </row>
    <row r="200" spans="5:66" ht="15">
      <c r="E200" t="s">
        <v>16</v>
      </c>
      <c r="F200" s="20" t="str">
        <f t="shared" si="512" ref="F200:F207">IF(E200="*","","COM_PROJ")</f>
        <v/>
      </c>
      <c r="G200" s="48" t="str">
        <f t="shared" si="513" ref="G200:G207">B172</f>
        <v>TPPRCAR</v>
      </c>
      <c r="H200" s="21"/>
      <c r="J200" s="21" t="str">
        <f t="shared" si="514" ref="J200:M207">IF($E200="*","","-")</f>
        <v/>
      </c>
      <c r="L200" s="21" t="str">
        <f t="shared" si="514"/>
        <v/>
      </c>
      <c r="M200" s="21" t="str">
        <f t="shared" si="514"/>
        <v/>
      </c>
      <c r="N200" s="20" t="str">
        <f t="shared" si="515" ref="N200:N207">IF(E200="*","",0)</f>
        <v/>
      </c>
      <c r="O200" s="20"/>
      <c r="P200" s="20"/>
      <c r="Q200" s="9">
        <f>E186</f>
        <v>81.1386031348502</v>
      </c>
      <c r="R200" s="9" cm="1">
        <f t="array" ref="R200">IF(R$199=-1,S200,IF(R$199=99,Q200,IF(R$199=0,INDEX($E186:$M186,0,R$197),(INDEX($E186:$M186,0,R$199+1)-INDEX($E186:$M186,0,R$199))/(INDEX($E$185:$M$185,0,R$199+1)-INDEX($E$185:$M$185,0,R$199))+Q200)))</f>
        <v>82.877544068846106</v>
      </c>
      <c r="S200" s="9" cm="1">
        <f t="array" ref="S200">IF(S$199=-1,T200,IF(S$199=99,R200,IF(S$199=0,INDEX($E186:$M186,0,S$197),(INDEX($E186:$M186,0,S$199+1)-INDEX($E186:$M186,0,S$199))/(INDEX($E$185:$M$185,0,S$199+1)-INDEX($E$185:$M$185,0,S$199))+R200)))</f>
        <v>84.616485002842012</v>
      </c>
      <c r="T200" s="9" cm="1">
        <f t="array" ref="T200">IF(T$199=-1,W200,IF(T$199=99,S200,IF(T$199=0,INDEX($E186:$M186,0,T$197),(INDEX($E186:$M186,0,T$199+1)-INDEX($E186:$M186,0,T$199))/(INDEX($E$185:$M$185,0,T$199+1)-INDEX($E$185:$M$185,0,T$199))+S200)))</f>
        <v>78.308349507973659</v>
      </c>
      <c r="U200" s="9" cm="1">
        <f t="array" ref="U200">IF(U$199=-1,W200,IF(U$199=99,S200,IF(U$199=0,INDEX($E186:$M186,0,U$197),(INDEX($E186:$M186,0,U$199+1)-INDEX($E186:$M186,0,U$199))/(INDEX($E$185:$M$185,0,U$199+1)-INDEX($E$185:$M$185,0,U$199))+S200)))</f>
        <v>78.308349507973659</v>
      </c>
      <c r="V200" s="9" cm="1">
        <f t="array" ref="V200">IF(V$199=-1,W200,IF(V$199=99,S200,IF(V$199=0,INDEX($E186:$M186,0,V$197),(INDEX($E186:$M186,0,V$199+1)-INDEX($E186:$M186,0,V$199))/(INDEX($E$185:$M$185,0,V$199+1)-INDEX($E$185:$M$185,0,V$199))+S200)))</f>
        <v>78.308349507973659</v>
      </c>
      <c r="W200" s="9" cm="1">
        <f t="array" ref="W200">IF(W$199=-1,X200,IF(W$199=99,T200,IF(W$199=0,INDEX($E186:$M186,0,W$197),(INDEX($E186:$M186,0,W$199+1)-INDEX($E186:$M186,0,W$199))/(INDEX($E$185:$M$185,0,W$199+1)-INDEX($E$185:$M$185,0,W$199))+T200)))</f>
        <v>79.571725511782603</v>
      </c>
      <c r="X200" s="9" cm="1">
        <f t="array" ref="X200">IF(X$199=-1,Y200,IF(X$199=99,W200,IF(X$199=0,INDEX($E186:$M186,0,X$197),(INDEX($E186:$M186,0,X$199+1)-INDEX($E186:$M186,0,X$199))/(INDEX($E$185:$M$185,0,X$199+1)-INDEX($E$185:$M$185,0,X$199))+W200)))</f>
        <v>83.010526345337553</v>
      </c>
      <c r="Y200" s="9" cm="1">
        <f t="array" ref="Y200">IF(Y$199=-1,Z200,IF(Y$199=99,X200,IF(Y$199=0,INDEX($E186:$M186,0,Y$197),(INDEX($E186:$M186,0,Y$199+1)-INDEX($E186:$M186,0,Y$199))/(INDEX($E$185:$M$185,0,Y$199+1)-INDEX($E$185:$M$185,0,Y$199))+X200)))</f>
        <v>86.449327178892503</v>
      </c>
      <c r="Z200" s="9" cm="1">
        <f t="array" ref="Z200">IF(Z$199=-1,AA200,IF(Z$199=99,Y200,IF(Z$199=0,INDEX($E186:$M186,0,Z$197),(INDEX($E186:$M186,0,Z$199+1)-INDEX($E186:$M186,0,Z$199))/(INDEX($E$185:$M$185,0,Z$199+1)-INDEX($E$185:$M$185,0,Z$199))+Y200)))</f>
        <v>89.888128012447453</v>
      </c>
      <c r="AA200" s="9" cm="1">
        <f t="array" ref="AA200">IF(AA$199=-1,AB200,IF(AA$199=99,Z200,IF(AA$199=0,INDEX($E186:$M186,0,AA$197),(INDEX($E186:$M186,0,AA$199+1)-INDEX($E186:$M186,0,AA$199))/(INDEX($E$185:$M$185,0,AA$199+1)-INDEX($E$185:$M$185,0,AA$199))+Z200)))</f>
        <v>93.326928846002403</v>
      </c>
      <c r="AB200" s="9" cm="1">
        <f t="array" ref="AB200">IF(AB$199=-1,AC200,IF(AB$199=99,AA200,IF(AB$199=0,INDEX($E186:$M186,0,AB$197),(INDEX($E186:$M186,0,AB$199+1)-INDEX($E186:$M186,0,AB$199))/(INDEX($E$185:$M$185,0,AB$199+1)-INDEX($E$185:$M$185,0,AB$199))+AA200)))</f>
        <v>96.765729679557353</v>
      </c>
      <c r="AC200" s="9" cm="1">
        <f t="array" ref="AC200">IF(AC$199=-1,AD200,IF(AC$199=99,AB200,IF(AC$199=0,INDEX($E186:$M186,0,AC$197),(INDEX($E186:$M186,0,AC$199+1)-INDEX($E186:$M186,0,AC$199))/(INDEX($E$185:$M$185,0,AC$199+1)-INDEX($E$185:$M$185,0,AC$199))+AB200)))</f>
        <v>100.2045305131123</v>
      </c>
      <c r="AD200" s="9" cm="1">
        <f t="array" ref="AD200">IF(AD$199=-1,AE200,IF(AD$199=99,AC200,IF(AD$199=0,INDEX($E186:$M186,0,AD$197),(INDEX($E186:$M186,0,AD$199+1)-INDEX($E186:$M186,0,AD$199))/(INDEX($E$185:$M$185,0,AD$199+1)-INDEX($E$185:$M$185,0,AD$199))+AC200)))</f>
        <v>103.64333134666725</v>
      </c>
      <c r="AE200" s="9" cm="1">
        <f t="array" ref="AE200">IF(AE$199=-1,AH200,IF(AE$199=99,AD200,IF(AE$199=0,INDEX($E186:$M186,0,AE$197),(INDEX($E186:$M186,0,AE$199+1)-INDEX($E186:$M186,0,AE$199))/(INDEX($E$185:$M$185,0,AE$199+1)-INDEX($E$185:$M$185,0,AE$199))+AD200)))</f>
        <v>107.0821321802222</v>
      </c>
      <c r="AF200" s="9" cm="1">
        <f t="array" ref="AF200">IF(AF$199=-1,AH200,IF(AF$199=99,AD200,IF(AF$199=0,INDEX($E186:$M186,0,AF$197),(INDEX($E186:$M186,0,AF$199+1)-INDEX($E186:$M186,0,AF$199))/(INDEX($E$185:$M$185,0,AF$199+1)-INDEX($E$185:$M$185,0,AF$199))+AD200)))</f>
        <v>107.0821321802222</v>
      </c>
      <c r="AG200" s="9" cm="1">
        <f t="array" ref="AG200">IF(AG$199=-1,AH200,IF(AG$199=99,AD200,IF(AG$199=0,INDEX($E186:$M186,0,AG$197),(INDEX($E186:$M186,0,AG$199+1)-INDEX($E186:$M186,0,AG$199))/(INDEX($E$185:$M$185,0,AG$199+1)-INDEX($E$185:$M$185,0,AG$199))+AD200)))</f>
        <v>107.0821321802222</v>
      </c>
      <c r="AH200" s="9" cm="1">
        <f t="array" ref="AH200">IF(AH$199=-1,AI200,IF(AH$199=99,AE200,IF(AH$199=0,INDEX($E186:$M186,0,AH$197),(INDEX($E186:$M186,0,AH$199+1)-INDEX($E186:$M186,0,AH$199))/(INDEX($E$185:$M$185,0,AH$199+1)-INDEX($E$185:$M$185,0,AH$199))+AE200)))</f>
        <v>110.5209330137772</v>
      </c>
      <c r="AI200" s="9" cm="1">
        <f t="array" ref="AI200">IF(AI$199=-1,AJ200,IF(AI$199=99,AH200,IF(AI$199=0,INDEX($E186:$M186,0,AI$197),(INDEX($E186:$M186,0,AI$199+1)-INDEX($E186:$M186,0,AI$199))/(INDEX($E$185:$M$185,0,AI$199+1)-INDEX($E$185:$M$185,0,AI$199))+AH200)))</f>
        <v>115.26770411127379</v>
      </c>
      <c r="AJ200" s="9" cm="1">
        <f t="array" ref="AJ200">IF(AJ$199=-1,AK200,IF(AJ$199=99,AI200,IF(AJ$199=0,INDEX($E186:$M186,0,AJ$197),(INDEX($E186:$M186,0,AJ$199+1)-INDEX($E186:$M186,0,AJ$199))/(INDEX($E$185:$M$185,0,AJ$199+1)-INDEX($E$185:$M$185,0,AJ$199))+AI200)))</f>
        <v>120.01447520877036</v>
      </c>
      <c r="AK200" s="9" cm="1">
        <f t="array" ref="AK200">IF(AK$199=-1,AL200,IF(AK$199=99,AJ200,IF(AK$199=0,INDEX($E186:$M186,0,AK$197),(INDEX($E186:$M186,0,AK$199+1)-INDEX($E186:$M186,0,AK$199))/(INDEX($E$185:$M$185,0,AK$199+1)-INDEX($E$185:$M$185,0,AK$199))+AJ200)))</f>
        <v>124.76124630626694</v>
      </c>
      <c r="AL200" s="9" cm="1">
        <f t="array" ref="AL200">IF(AL$199=-1,AM200,IF(AL$199=99,AK200,IF(AL$199=0,INDEX($E186:$M186,0,AL$197),(INDEX($E186:$M186,0,AL$199+1)-INDEX($E186:$M186,0,AL$199))/(INDEX($E$185:$M$185,0,AL$199+1)-INDEX($E$185:$M$185,0,AL$199))+AK200)))</f>
        <v>129.50801740376352</v>
      </c>
      <c r="AM200" s="9" cm="1">
        <f t="array" ref="AM200">IF(AM$199=-1,AO200,IF(AM$199=99,AL200,IF(AM$199=0,INDEX($E186:$M186,0,AM$197),(INDEX($E186:$M186,0,AM$199+1)-INDEX($E186:$M186,0,AM$199))/(INDEX($E$185:$M$185,0,AM$199+1)-INDEX($E$185:$M$185,0,AM$199))+AL200)))</f>
        <v>134.25478850126009</v>
      </c>
      <c r="AN200" s="9" cm="1">
        <f t="array" ref="AN200">IF(AN$199=-1,AP200,IF(AN$199=99,AL200,IF(AN$199=0,INDEX($E186:$M186,0,AN$197),(INDEX($E186:$M186,0,AN$199+1)-INDEX($E186:$M186,0,AN$199))/(INDEX($E$185:$M$185,0,AN$199+1)-INDEX($E$185:$M$185,0,AN$199))+AL200)))</f>
        <v>134.25478850126009</v>
      </c>
      <c r="AO200" s="9" cm="1">
        <f t="array" ref="AO200">IF(AO$199=-1,AQ200,IF(AO$199=99,AM200,IF(AO$199=0,INDEX($E186:$M186,0,AO$197),(INDEX($E186:$M186,0,AO$199+1)-INDEX($E186:$M186,0,AO$199))/(INDEX($E$185:$M$185,0,AO$199+1)-INDEX($E$185:$M$185,0,AO$199))+AM200)))</f>
        <v>139.00155959875667</v>
      </c>
      <c r="AP200" s="9" cm="1">
        <f t="array" ref="AP200">IF(AP$199=-1,AR200,IF(AP$199=99,AO200,IF(AP$199=0,INDEX($E186:$M186,0,AP$197),(INDEX($E186:$M186,0,AP$199+1)-INDEX($E186:$M186,0,AP$199))/(INDEX($E$185:$M$185,0,AP$199+1)-INDEX($E$185:$M$185,0,AP$199))+AO200)))</f>
        <v>143.74833069625325</v>
      </c>
      <c r="AQ200" s="9" cm="1">
        <f t="array" ref="AQ200">IF(AQ$199=-1,AR200,IF(AQ$199=99,AO200,IF(AQ$199=0,INDEX($E186:$M186,0,AQ$197),(INDEX($E186:$M186,0,AQ$199+1)-INDEX($E186:$M186,0,AQ$199))/(INDEX($E$185:$M$185,0,AQ$199+1)-INDEX($E$185:$M$185,0,AQ$199))+AO200)))</f>
        <v>143.74833069625325</v>
      </c>
      <c r="AR200" s="9" cm="1">
        <f t="array" ref="AR200">IF(AR$199=-1,AS200,IF(AR$199=99,AQ200,IF(AR$199=0,INDEX($E186:$M186,0,AR$197),(INDEX($E186:$M186,0,AR$199+1)-INDEX($E186:$M186,0,AR$199))/(INDEX($E$185:$M$185,0,AR$199+1)-INDEX($E$185:$M$185,0,AR$199))+AQ200)))</f>
        <v>148.49510179374982</v>
      </c>
      <c r="AS200" s="9" cm="1">
        <f t="array" ref="AS200">IF(AS$199=-1,AT200,IF(AS$199=99,AR200,IF(AS$199=0,INDEX($E186:$M186,0,AS$197),(INDEX($E186:$M186,0,AS$199+1)-INDEX($E186:$M186,0,AS$199))/(INDEX($E$185:$M$185,0,AS$199+1)-INDEX($E$185:$M$185,0,AS$199))+AR200)))</f>
        <v>153.2418728912464</v>
      </c>
      <c r="AT200" s="9" cm="1">
        <f t="array" ref="AT200">IF(AT$199=-1,AU200,IF(AT$199=99,AS200,IF(AT$199=0,INDEX($E186:$M186,0,AT$197),(INDEX($E186:$M186,0,AT$199+1)-INDEX($E186:$M186,0,AT$199))/(INDEX($E$185:$M$185,0,AT$199+1)-INDEX($E$185:$M$185,0,AT$199))+AS200)))</f>
        <v>157.98864398874304</v>
      </c>
      <c r="AU200" s="243">
        <f>(AT200+AV200)/2</f>
        <v>186.4514116708196</v>
      </c>
      <c r="AV200" s="9" cm="1">
        <f t="array" ref="AV200">IF(AV$199=-1,AW200,IF(AV$199=99,AU200,IF(AV$199=0,INDEX($E186:$M186,0,AV$197),(INDEX($E186:$M186,0,AV$199+1)-INDEX($E186:$M186,0,AV$199))/(INDEX($E$185:$M$185,0,AV$199+1)-INDEX($E$185:$M$185,0,AV$199))+AU200)))</f>
        <v>214.91417935289618</v>
      </c>
      <c r="AW200" s="9" cm="1">
        <f t="array" ref="AW200">IF(AW$199=-1,AX200,IF(AW$199=99,AV200,IF(AW$199=0,INDEX($E186:$M186,0,AW$197),(INDEX($E186:$M186,0,AW$199+1)-INDEX($E186:$M186,0,AW$199))/(INDEX($E$185:$M$185,0,AW$199+1)-INDEX($E$185:$M$185,0,AW$199))+AV200)))</f>
        <v>234.87243386381823</v>
      </c>
      <c r="AX200" s="9" cm="1">
        <f t="array" ref="AX200">IF(AX$199=-1,AY200,IF(AX$199=99,AW200,IF(AX$199=0,INDEX($E186:$M186,0,AX$197),(INDEX($E186:$M186,0,AX$199+1)-INDEX($E186:$M186,0,AX$199))/(INDEX($E$185:$M$185,0,AX$199+1)-INDEX($E$185:$M$185,0,AX$199))+AW200)))</f>
        <v>243.75712018368034</v>
      </c>
      <c r="AY200" s="9"/>
      <c r="BB200" s="9"/>
      <c r="BC200" s="9"/>
      <c r="BM200" s="9"/>
      <c r="BN200" s="50"/>
    </row>
    <row r="201" spans="5:66" ht="15">
      <c r="E201" t="s">
        <v>16</v>
      </c>
      <c r="F201" s="20" t="str">
        <f t="shared" si="512"/>
        <v/>
      </c>
      <c r="G201" s="48" t="str">
        <f t="shared" si="513"/>
        <v>TPPRSUV</v>
      </c>
      <c r="H201" s="21"/>
      <c r="J201" s="21" t="str">
        <f t="shared" si="514"/>
        <v/>
      </c>
      <c r="L201" s="21" t="str">
        <f t="shared" si="514"/>
        <v/>
      </c>
      <c r="M201" s="21" t="str">
        <f t="shared" si="514"/>
        <v/>
      </c>
      <c r="N201" s="20" t="str">
        <f t="shared" si="515"/>
        <v/>
      </c>
      <c r="O201" s="20"/>
      <c r="P201" s="20"/>
      <c r="Q201" s="9">
        <f t="shared" si="516" ref="Q201:Q207">E187</f>
        <v>17.754191802068</v>
      </c>
      <c r="R201" s="9" cm="1">
        <f t="array" ref="R201">IF(R$199=-1,S201,IF(R$199=99,Q201,IF(R$199=0,INDEX($E187:$M187,0,R$197),(INDEX($E187:$M187,0,R$199+1)-INDEX($E187:$M187,0,R$199))/(INDEX($E$185:$M$185,0,R$199+1)-INDEX($E$185:$M$185,0,R$199))+Q201)))</f>
        <v>17.867597432585967</v>
      </c>
      <c r="S201" s="9" cm="1">
        <f t="array" ref="S201">IF(S$199=-1,T201,IF(S$199=99,R201,IF(S$199=0,INDEX($E187:$M187,0,S$197),(INDEX($E187:$M187,0,S$199+1)-INDEX($E187:$M187,0,S$199))/(INDEX($E$185:$M$185,0,S$199+1)-INDEX($E$185:$M$185,0,S$199))+R201)))</f>
        <v>17.98100306310393</v>
      </c>
      <c r="T201" s="9" cm="1">
        <f t="array" ref="T201">IF(T$199=-1,W201,IF(T$199=99,S201,IF(T$199=0,INDEX($E187:$M187,0,T$197),(INDEX($E187:$M187,0,T$199+1)-INDEX($E187:$M187,0,T$199))/(INDEX($E$185:$M$185,0,T$199+1)-INDEX($E$185:$M$185,0,T$199))+S201)))</f>
        <v>16.640524270444406</v>
      </c>
      <c r="U201" s="9" cm="1">
        <f t="array" ref="U201">IF(U$199=-1,W201,IF(U$199=99,S201,IF(U$199=0,INDEX($E187:$M187,0,U$197),(INDEX($E187:$M187,0,U$199+1)-INDEX($E187:$M187,0,U$199))/(INDEX($E$185:$M$185,0,U$199+1)-INDEX($E$185:$M$185,0,U$199))+S201)))</f>
        <v>16.640524270444406</v>
      </c>
      <c r="V201" s="9" cm="1">
        <f t="array" ref="V201">IF(V$199=-1,W201,IF(V$199=99,S201,IF(V$199=0,INDEX($E187:$M187,0,V$197),(INDEX($E187:$M187,0,V$199+1)-INDEX($E187:$M187,0,V$199))/(INDEX($E$185:$M$185,0,V$199+1)-INDEX($E$185:$M$185,0,V$199))+S201)))</f>
        <v>16.640524270444406</v>
      </c>
      <c r="W201" s="9" cm="1">
        <f t="array" ref="W201">IF(W$199=-1,X201,IF(W$199=99,T201,IF(W$199=0,INDEX($E187:$M187,0,W$197),(INDEX($E187:$M187,0,W$199+1)-INDEX($E187:$M187,0,W$199))/(INDEX($E$185:$M$185,0,W$199+1)-INDEX($E$185:$M$185,0,W$199))+T201)))</f>
        <v>16.908991671253805</v>
      </c>
      <c r="X201" s="9" cm="1">
        <f t="array" ref="X201">IF(X$199=-1,Y201,IF(X$199=99,W201,IF(X$199=0,INDEX($E187:$M187,0,X$197),(INDEX($E187:$M187,0,X$199+1)-INDEX($E187:$M187,0,X$199))/(INDEX($E$185:$M$185,0,X$199+1)-INDEX($E$185:$M$185,0,X$199))+W201)))</f>
        <v>17.639736848384231</v>
      </c>
      <c r="Y201" s="9" cm="1">
        <f t="array" ref="Y201">IF(Y$199=-1,Z201,IF(Y$199=99,X201,IF(Y$199=0,INDEX($E187:$M187,0,Y$197),(INDEX($E187:$M187,0,Y$199+1)-INDEX($E187:$M187,0,Y$199))/(INDEX($E$185:$M$185,0,Y$199+1)-INDEX($E$185:$M$185,0,Y$199))+X201)))</f>
        <v>18.370482025514658</v>
      </c>
      <c r="Z201" s="9" cm="1">
        <f t="array" ref="Z201">IF(Z$199=-1,AA201,IF(Z$199=99,Y201,IF(Z$199=0,INDEX($E187:$M187,0,Z$197),(INDEX($E187:$M187,0,Z$199+1)-INDEX($E187:$M187,0,Z$199))/(INDEX($E$185:$M$185,0,Z$199+1)-INDEX($E$185:$M$185,0,Z$199))+Y201)))</f>
        <v>19.101227202645084</v>
      </c>
      <c r="AA201" s="9" cm="1">
        <f t="array" ref="AA201">IF(AA$199=-1,AB201,IF(AA$199=99,Z201,IF(AA$199=0,INDEX($E187:$M187,0,AA$197),(INDEX($E187:$M187,0,AA$199+1)-INDEX($E187:$M187,0,AA$199))/(INDEX($E$185:$M$185,0,AA$199+1)-INDEX($E$185:$M$185,0,AA$199))+Z201)))</f>
        <v>19.831972379775511</v>
      </c>
      <c r="AB201" s="9" cm="1">
        <f t="array" ref="AB201">IF(AB$199=-1,AC201,IF(AB$199=99,AA201,IF(AB$199=0,INDEX($E187:$M187,0,AB$197),(INDEX($E187:$M187,0,AB$199+1)-INDEX($E187:$M187,0,AB$199))/(INDEX($E$185:$M$185,0,AB$199+1)-INDEX($E$185:$M$185,0,AB$199))+AA201)))</f>
        <v>20.562717556905937</v>
      </c>
      <c r="AC201" s="9" cm="1">
        <f t="array" ref="AC201">IF(AC$199=-1,AD201,IF(AC$199=99,AB201,IF(AC$199=0,INDEX($E187:$M187,0,AC$197),(INDEX($E187:$M187,0,AC$199+1)-INDEX($E187:$M187,0,AC$199))/(INDEX($E$185:$M$185,0,AC$199+1)-INDEX($E$185:$M$185,0,AC$199))+AB201)))</f>
        <v>21.293462734036364</v>
      </c>
      <c r="AD201" s="9" cm="1">
        <f t="array" ref="AD201">IF(AD$199=-1,AE201,IF(AD$199=99,AC201,IF(AD$199=0,INDEX($E187:$M187,0,AD$197),(INDEX($E187:$M187,0,AD$199+1)-INDEX($E187:$M187,0,AD$199))/(INDEX($E$185:$M$185,0,AD$199+1)-INDEX($E$185:$M$185,0,AD$199))+AC201)))</f>
        <v>22.024207911166791</v>
      </c>
      <c r="AE201" s="9" cm="1">
        <f t="array" ref="AE201">IF(AE$199=-1,AH201,IF(AE$199=99,AD201,IF(AE$199=0,INDEX($E187:$M187,0,AE$197),(INDEX($E187:$M187,0,AE$199+1)-INDEX($E187:$M187,0,AE$199))/(INDEX($E$185:$M$185,0,AE$199+1)-INDEX($E$185:$M$185,0,AE$199))+AD201)))</f>
        <v>22.754953088297217</v>
      </c>
      <c r="AF201" s="9" cm="1">
        <f t="array" ref="AF201">IF(AF$199=-1,AH201,IF(AF$199=99,AD201,IF(AF$199=0,INDEX($E187:$M187,0,AF$197),(INDEX($E187:$M187,0,AF$199+1)-INDEX($E187:$M187,0,AF$199))/(INDEX($E$185:$M$185,0,AF$199+1)-INDEX($E$185:$M$185,0,AF$199))+AD201)))</f>
        <v>22.754953088297217</v>
      </c>
      <c r="AG201" s="9" cm="1">
        <f t="array" ref="AG201">IF(AG$199=-1,AH201,IF(AG$199=99,AD201,IF(AG$199=0,INDEX($E187:$M187,0,AG$197),(INDEX($E187:$M187,0,AG$199+1)-INDEX($E187:$M187,0,AG$199))/(INDEX($E$185:$M$185,0,AG$199+1)-INDEX($E$185:$M$185,0,AG$199))+AD201)))</f>
        <v>22.754953088297217</v>
      </c>
      <c r="AH201" s="9" cm="1">
        <f t="array" ref="AH201">IF(AH$199=-1,AI201,IF(AH$199=99,AE201,IF(AH$199=0,INDEX($E187:$M187,0,AH$197),(INDEX($E187:$M187,0,AH$199+1)-INDEX($E187:$M187,0,AH$199))/(INDEX($E$185:$M$185,0,AH$199+1)-INDEX($E$185:$M$185,0,AH$199))+AE201)))</f>
        <v>23.485698265427658</v>
      </c>
      <c r="AI201" s="9" cm="1">
        <f t="array" ref="AI201">IF(AI$199=-1,AJ201,IF(AI$199=99,AH201,IF(AI$199=0,INDEX($E187:$M187,0,AI$197),(INDEX($E187:$M187,0,AI$199+1)-INDEX($E187:$M187,0,AI$199))/(INDEX($E$185:$M$185,0,AI$199+1)-INDEX($E$185:$M$185,0,AI$199))+AH201)))</f>
        <v>24.494387123645684</v>
      </c>
      <c r="AJ201" s="9" cm="1">
        <f t="array" ref="AJ201">IF(AJ$199=-1,AK201,IF(AJ$199=99,AI201,IF(AJ$199=0,INDEX($E187:$M187,0,AJ$197),(INDEX($E187:$M187,0,AJ$199+1)-INDEX($E187:$M187,0,AJ$199))/(INDEX($E$185:$M$185,0,AJ$199+1)-INDEX($E$185:$M$185,0,AJ$199))+AI201)))</f>
        <v>25.503075981863709</v>
      </c>
      <c r="AK201" s="9" cm="1">
        <f t="array" ref="AK201">IF(AK$199=-1,AL201,IF(AK$199=99,AJ201,IF(AK$199=0,INDEX($E187:$M187,0,AK$197),(INDEX($E187:$M187,0,AK$199+1)-INDEX($E187:$M187,0,AK$199))/(INDEX($E$185:$M$185,0,AK$199+1)-INDEX($E$185:$M$185,0,AK$199))+AJ201)))</f>
        <v>26.511764840081735</v>
      </c>
      <c r="AL201" s="9" cm="1">
        <f t="array" ref="AL201">IF(AL$199=-1,AM201,IF(AL$199=99,AK201,IF(AL$199=0,INDEX($E187:$M187,0,AL$197),(INDEX($E187:$M187,0,AL$199+1)-INDEX($E187:$M187,0,AL$199))/(INDEX($E$185:$M$185,0,AL$199+1)-INDEX($E$185:$M$185,0,AL$199))+AK201)))</f>
        <v>27.520453698299761</v>
      </c>
      <c r="AM201" s="9" cm="1">
        <f t="array" ref="AM201">IF(AM$199=-1,AO201,IF(AM$199=99,AL201,IF(AM$199=0,INDEX($E187:$M187,0,AM$197),(INDEX($E187:$M187,0,AM$199+1)-INDEX($E187:$M187,0,AM$199))/(INDEX($E$185:$M$185,0,AM$199+1)-INDEX($E$185:$M$185,0,AM$199))+AL201)))</f>
        <v>28.529142556517787</v>
      </c>
      <c r="AN201" s="9" cm="1">
        <f t="array" ref="AN201">IF(AN$199=-1,AP201,IF(AN$199=99,AL201,IF(AN$199=0,INDEX($E187:$M187,0,AN$197),(INDEX($E187:$M187,0,AN$199+1)-INDEX($E187:$M187,0,AN$199))/(INDEX($E$185:$M$185,0,AN$199+1)-INDEX($E$185:$M$185,0,AN$199))+AL201)))</f>
        <v>28.529142556517787</v>
      </c>
      <c r="AO201" s="9" cm="1">
        <f t="array" ref="AO201">IF(AO$199=-1,AQ201,IF(AO$199=99,AM201,IF(AO$199=0,INDEX($E187:$M187,0,AO$197),(INDEX($E187:$M187,0,AO$199+1)-INDEX($E187:$M187,0,AO$199))/(INDEX($E$185:$M$185,0,AO$199+1)-INDEX($E$185:$M$185,0,AO$199))+AM201)))</f>
        <v>29.537831414735813</v>
      </c>
      <c r="AP201" s="9" cm="1">
        <f t="array" ref="AP201">IF(AP$199=-1,AR201,IF(AP$199=99,AO201,IF(AP$199=0,INDEX($E187:$M187,0,AP$197),(INDEX($E187:$M187,0,AP$199+1)-INDEX($E187:$M187,0,AP$199))/(INDEX($E$185:$M$185,0,AP$199+1)-INDEX($E$185:$M$185,0,AP$199))+AO201)))</f>
        <v>30.546520272953838</v>
      </c>
      <c r="AQ201" s="9" cm="1">
        <f t="array" ref="AQ201">IF(AQ$199=-1,AR201,IF(AQ$199=99,AO201,IF(AQ$199=0,INDEX($E187:$M187,0,AQ$197),(INDEX($E187:$M187,0,AQ$199+1)-INDEX($E187:$M187,0,AQ$199))/(INDEX($E$185:$M$185,0,AQ$199+1)-INDEX($E$185:$M$185,0,AQ$199))+AO201)))</f>
        <v>30.546520272953838</v>
      </c>
      <c r="AR201" s="9" cm="1">
        <f t="array" ref="AR201">IF(AR$199=-1,AS201,IF(AR$199=99,AQ201,IF(AR$199=0,INDEX($E187:$M187,0,AR$197),(INDEX($E187:$M187,0,AR$199+1)-INDEX($E187:$M187,0,AR$199))/(INDEX($E$185:$M$185,0,AR$199+1)-INDEX($E$185:$M$185,0,AR$199))+AQ201)))</f>
        <v>31.555209131171864</v>
      </c>
      <c r="AS201" s="9" cm="1">
        <f t="array" ref="AS201">IF(AS$199=-1,AT201,IF(AS$199=99,AR201,IF(AS$199=0,INDEX($E187:$M187,0,AS$197),(INDEX($E187:$M187,0,AS$199+1)-INDEX($E187:$M187,0,AS$199))/(INDEX($E$185:$M$185,0,AS$199+1)-INDEX($E$185:$M$185,0,AS$199))+AR201)))</f>
        <v>32.563897989389886</v>
      </c>
      <c r="AT201" s="9" cm="1">
        <f t="array" ref="AT201">IF(AT$199=-1,AU201,IF(AT$199=99,AS201,IF(AT$199=0,INDEX($E187:$M187,0,AT$197),(INDEX($E187:$M187,0,AT$199+1)-INDEX($E187:$M187,0,AT$199))/(INDEX($E$185:$M$185,0,AT$199+1)-INDEX($E$185:$M$185,0,AT$199))+AS201)))</f>
        <v>33.572586847607901</v>
      </c>
      <c r="AU201" s="243">
        <f t="shared" si="517" ref="AU201:AU207">(AT201+AV201)/2</f>
        <v>39.620924980049168</v>
      </c>
      <c r="AV201" s="9" cm="1">
        <f t="array" ref="AV201">IF(AV$199=-1,AW201,IF(AV$199=99,AU201,IF(AV$199=0,INDEX($E187:$M187,0,AV$197),(INDEX($E187:$M187,0,AV$199+1)-INDEX($E187:$M187,0,AV$199))/(INDEX($E$185:$M$185,0,AV$199+1)-INDEX($E$185:$M$185,0,AV$199))+AU201)))</f>
        <v>45.669263112490441</v>
      </c>
      <c r="AW201" s="9" cm="1">
        <f t="array" ref="AW201">IF(AW$199=-1,AX201,IF(AW$199=99,AV201,IF(AW$199=0,INDEX($E187:$M187,0,AW$197),(INDEX($E187:$M187,0,AW$199+1)-INDEX($E187:$M187,0,AW$199))/(INDEX($E$185:$M$185,0,AW$199+1)-INDEX($E$185:$M$185,0,AW$199))+AV201)))</f>
        <v>49.91039219606138</v>
      </c>
      <c r="AX201" s="9" cm="1">
        <f t="array" ref="AX201">IF(AX$199=-1,AY201,IF(AX$199=99,AW201,IF(AX$199=0,INDEX($E187:$M187,0,AX$197),(INDEX($E187:$M187,0,AX$199+1)-INDEX($E187:$M187,0,AX$199))/(INDEX($E$185:$M$185,0,AX$199+1)-INDEX($E$185:$M$185,0,AX$199))+AW201)))</f>
        <v>51.798388039032076</v>
      </c>
      <c r="AY201" s="9"/>
      <c r="BB201" s="9"/>
      <c r="BC201" s="9"/>
      <c r="BM201" s="9"/>
      <c r="BN201" s="50"/>
    </row>
    <row r="202" spans="5:66" ht="15">
      <c r="E202" t="s">
        <v>16</v>
      </c>
      <c r="F202" s="20" t="str">
        <f t="shared" si="512"/>
        <v/>
      </c>
      <c r="G202" s="48" t="str">
        <f t="shared" si="513"/>
        <v>TPPRMOT</v>
      </c>
      <c r="H202" s="21"/>
      <c r="J202" s="21" t="str">
        <f t="shared" si="514"/>
        <v/>
      </c>
      <c r="L202" s="21" t="str">
        <f t="shared" si="514"/>
        <v/>
      </c>
      <c r="M202" s="21" t="str">
        <f t="shared" si="514"/>
        <v/>
      </c>
      <c r="N202" s="20" t="str">
        <f t="shared" si="515"/>
        <v/>
      </c>
      <c r="O202" s="20"/>
      <c r="P202" s="20"/>
      <c r="Q202" s="9">
        <f t="shared" si="516"/>
        <v>5.9227912022632498</v>
      </c>
      <c r="R202" s="9" cm="1">
        <f t="array" ref="R202">IF(R$199=-1,S202,IF(R$199=99,Q202,IF(R$199=0,INDEX($E188:$M188,0,R$197),(INDEX($E188:$M188,0,R$199+1)-INDEX($E188:$M188,0,R$199))/(INDEX($E$185:$M$185,0,R$199+1)-INDEX($E$185:$M$185,0,R$199))+Q202)))</f>
        <v>4.5479546949349121</v>
      </c>
      <c r="S202" s="9" cm="1">
        <f t="array" ref="S202">IF(S$199=-1,T202,IF(S$199=99,R202,IF(S$199=0,INDEX($E188:$M188,0,S$197),(INDEX($E188:$M188,0,S$199+1)-INDEX($E188:$M188,0,S$199))/(INDEX($E$185:$M$185,0,S$199+1)-INDEX($E$185:$M$185,0,S$199))+R202)))</f>
        <v>3.1731181876065753</v>
      </c>
      <c r="T202" s="9" cm="1">
        <f t="array" ref="T202">IF(T$199=-1,W202,IF(T$199=99,S202,IF(T$199=0,INDEX($E188:$M188,0,T$197),(INDEX($E188:$M188,0,T$199+1)-INDEX($E188:$M188,0,T$199))/(INDEX($E$185:$M$185,0,T$199+1)-INDEX($E$185:$M$185,0,T$199))+S202)))</f>
        <v>2.9365631065490123</v>
      </c>
      <c r="U202" s="9" cm="1">
        <f t="array" ref="U202">IF(U$199=-1,W202,IF(U$199=99,S202,IF(U$199=0,INDEX($E188:$M188,0,U$197),(INDEX($E188:$M188,0,U$199+1)-INDEX($E188:$M188,0,U$199))/(INDEX($E$185:$M$185,0,U$199+1)-INDEX($E$185:$M$185,0,U$199))+S202)))</f>
        <v>2.9365631065490123</v>
      </c>
      <c r="V202" s="9" cm="1">
        <f t="array" ref="V202">IF(V$199=-1,W202,IF(V$199=99,S202,IF(V$199=0,INDEX($E188:$M188,0,V$197),(INDEX($E188:$M188,0,V$199+1)-INDEX($E188:$M188,0,V$199))/(INDEX($E$185:$M$185,0,V$199+1)-INDEX($E$185:$M$185,0,V$199))+S202)))</f>
        <v>2.9365631065490123</v>
      </c>
      <c r="W202" s="9" cm="1">
        <f t="array" ref="W202">IF(W$199=-1,X202,IF(W$199=99,T202,IF(W$199=0,INDEX($E188:$M188,0,W$197),(INDEX($E188:$M188,0,W$199+1)-INDEX($E188:$M188,0,W$199))/(INDEX($E$185:$M$185,0,W$199+1)-INDEX($E$185:$M$185,0,W$199))+T202)))</f>
        <v>2.9839397066918476</v>
      </c>
      <c r="X202" s="9" cm="1">
        <f t="array" ref="X202">IF(X$199=-1,Y202,IF(X$199=99,W202,IF(X$199=0,INDEX($E188:$M188,0,X$197),(INDEX($E188:$M188,0,X$199+1)-INDEX($E188:$M188,0,X$199))/(INDEX($E$185:$M$185,0,X$199+1)-INDEX($E$185:$M$185,0,X$199))+W202)))</f>
        <v>3.1128947379501586</v>
      </c>
      <c r="Y202" s="9" cm="1">
        <f t="array" ref="Y202">IF(Y$199=-1,Z202,IF(Y$199=99,X202,IF(Y$199=0,INDEX($E188:$M188,0,Y$197),(INDEX($E188:$M188,0,Y$199+1)-INDEX($E188:$M188,0,Y$199))/(INDEX($E$185:$M$185,0,Y$199+1)-INDEX($E$185:$M$185,0,Y$199))+X202)))</f>
        <v>3.2418497692084696</v>
      </c>
      <c r="Z202" s="9" cm="1">
        <f t="array" ref="Z202">IF(Z$199=-1,AA202,IF(Z$199=99,Y202,IF(Z$199=0,INDEX($E188:$M188,0,Z$197),(INDEX($E188:$M188,0,Z$199+1)-INDEX($E188:$M188,0,Z$199))/(INDEX($E$185:$M$185,0,Z$199+1)-INDEX($E$185:$M$185,0,Z$199))+Y202)))</f>
        <v>3.3708048004667805</v>
      </c>
      <c r="AA202" s="9" cm="1">
        <f t="array" ref="AA202">IF(AA$199=-1,AB202,IF(AA$199=99,Z202,IF(AA$199=0,INDEX($E188:$M188,0,AA$197),(INDEX($E188:$M188,0,AA$199+1)-INDEX($E188:$M188,0,AA$199))/(INDEX($E$185:$M$185,0,AA$199+1)-INDEX($E$185:$M$185,0,AA$199))+Z202)))</f>
        <v>3.4997598317250915</v>
      </c>
      <c r="AB202" s="9" cm="1">
        <f t="array" ref="AB202">IF(AB$199=-1,AC202,IF(AB$199=99,AA202,IF(AB$199=0,INDEX($E188:$M188,0,AB$197),(INDEX($E188:$M188,0,AB$199+1)-INDEX($E188:$M188,0,AB$199))/(INDEX($E$185:$M$185,0,AB$199+1)-INDEX($E$185:$M$185,0,AB$199))+AA202)))</f>
        <v>3.6287148629834025</v>
      </c>
      <c r="AC202" s="9" cm="1">
        <f t="array" ref="AC202">IF(AC$199=-1,AD202,IF(AC$199=99,AB202,IF(AC$199=0,INDEX($E188:$M188,0,AC$197),(INDEX($E188:$M188,0,AC$199+1)-INDEX($E188:$M188,0,AC$199))/(INDEX($E$185:$M$185,0,AC$199+1)-INDEX($E$185:$M$185,0,AC$199))+AB202)))</f>
        <v>3.7576698942417135</v>
      </c>
      <c r="AD202" s="9" cm="1">
        <f t="array" ref="AD202">IF(AD$199=-1,AE202,IF(AD$199=99,AC202,IF(AD$199=0,INDEX($E188:$M188,0,AD$197),(INDEX($E188:$M188,0,AD$199+1)-INDEX($E188:$M188,0,AD$199))/(INDEX($E$185:$M$185,0,AD$199+1)-INDEX($E$185:$M$185,0,AD$199))+AC202)))</f>
        <v>3.8866249255000245</v>
      </c>
      <c r="AE202" s="9" cm="1">
        <f t="array" ref="AE202">IF(AE$199=-1,AH202,IF(AE$199=99,AD202,IF(AE$199=0,INDEX($E188:$M188,0,AE$197),(INDEX($E188:$M188,0,AE$199+1)-INDEX($E188:$M188,0,AE$199))/(INDEX($E$185:$M$185,0,AE$199+1)-INDEX($E$185:$M$185,0,AE$199))+AD202)))</f>
        <v>4.0155799567583355</v>
      </c>
      <c r="AF202" s="9" cm="1">
        <f t="array" ref="AF202">IF(AF$199=-1,AH202,IF(AF$199=99,AD202,IF(AF$199=0,INDEX($E188:$M188,0,AF$197),(INDEX($E188:$M188,0,AF$199+1)-INDEX($E188:$M188,0,AF$199))/(INDEX($E$185:$M$185,0,AF$199+1)-INDEX($E$185:$M$185,0,AF$199))+AD202)))</f>
        <v>4.0155799567583355</v>
      </c>
      <c r="AG202" s="9" cm="1">
        <f t="array" ref="AG202">IF(AG$199=-1,AH202,IF(AG$199=99,AD202,IF(AG$199=0,INDEX($E188:$M188,0,AG$197),(INDEX($E188:$M188,0,AG$199+1)-INDEX($E188:$M188,0,AG$199))/(INDEX($E$185:$M$185,0,AG$199+1)-INDEX($E$185:$M$185,0,AG$199))+AD202)))</f>
        <v>4.0155799567583355</v>
      </c>
      <c r="AH202" s="9" cm="1">
        <f t="array" ref="AH202">IF(AH$199=-1,AI202,IF(AH$199=99,AE202,IF(AH$199=0,INDEX($E188:$M188,0,AH$197),(INDEX($E188:$M188,0,AH$199+1)-INDEX($E188:$M188,0,AH$199))/(INDEX($E$185:$M$185,0,AH$199+1)-INDEX($E$185:$M$185,0,AH$199))+AE202)))</f>
        <v>4.1445349880166447</v>
      </c>
      <c r="AI202" s="9" cm="1">
        <f t="array" ref="AI202">IF(AI$199=-1,AJ202,IF(AI$199=99,AH202,IF(AI$199=0,INDEX($E188:$M188,0,AI$197),(INDEX($E188:$M188,0,AI$199+1)-INDEX($E188:$M188,0,AI$199))/(INDEX($E$185:$M$185,0,AI$199+1)-INDEX($E$185:$M$185,0,AI$199))+AH202)))</f>
        <v>4.3225389041727666</v>
      </c>
      <c r="AJ202" s="9" cm="1">
        <f t="array" ref="AJ202">IF(AJ$199=-1,AK202,IF(AJ$199=99,AI202,IF(AJ$199=0,INDEX($E188:$M188,0,AJ$197),(INDEX($E188:$M188,0,AJ$199+1)-INDEX($E188:$M188,0,AJ$199))/(INDEX($E$185:$M$185,0,AJ$199+1)-INDEX($E$185:$M$185,0,AJ$199))+AI202)))</f>
        <v>4.5005428203288886</v>
      </c>
      <c r="AK202" s="9" cm="1">
        <f t="array" ref="AK202">IF(AK$199=-1,AL202,IF(AK$199=99,AJ202,IF(AK$199=0,INDEX($E188:$M188,0,AK$197),(INDEX($E188:$M188,0,AK$199+1)-INDEX($E188:$M188,0,AK$199))/(INDEX($E$185:$M$185,0,AK$199+1)-INDEX($E$185:$M$185,0,AK$199))+AJ202)))</f>
        <v>4.6785467364850106</v>
      </c>
      <c r="AL202" s="9" cm="1">
        <f t="array" ref="AL202">IF(AL$199=-1,AM202,IF(AL$199=99,AK202,IF(AL$199=0,INDEX($E188:$M188,0,AL$197),(INDEX($E188:$M188,0,AL$199+1)-INDEX($E188:$M188,0,AL$199))/(INDEX($E$185:$M$185,0,AL$199+1)-INDEX($E$185:$M$185,0,AL$199))+AK202)))</f>
        <v>4.8565506526411326</v>
      </c>
      <c r="AM202" s="9" cm="1">
        <f t="array" ref="AM202">IF(AM$199=-1,AO202,IF(AM$199=99,AL202,IF(AM$199=0,INDEX($E188:$M188,0,AM$197),(INDEX($E188:$M188,0,AM$199+1)-INDEX($E188:$M188,0,AM$199))/(INDEX($E$185:$M$185,0,AM$199+1)-INDEX($E$185:$M$185,0,AM$199))+AL202)))</f>
        <v>5.0345545687972546</v>
      </c>
      <c r="AN202" s="9" cm="1">
        <f t="array" ref="AN202">IF(AN$199=-1,AP202,IF(AN$199=99,AL202,IF(AN$199=0,INDEX($E188:$M188,0,AN$197),(INDEX($E188:$M188,0,AN$199+1)-INDEX($E188:$M188,0,AN$199))/(INDEX($E$185:$M$185,0,AN$199+1)-INDEX($E$185:$M$185,0,AN$199))+AL202)))</f>
        <v>5.0345545687972546</v>
      </c>
      <c r="AO202" s="9" cm="1">
        <f t="array" ref="AO202">IF(AO$199=-1,AQ202,IF(AO$199=99,AM202,IF(AO$199=0,INDEX($E188:$M188,0,AO$197),(INDEX($E188:$M188,0,AO$199+1)-INDEX($E188:$M188,0,AO$199))/(INDEX($E$185:$M$185,0,AO$199+1)-INDEX($E$185:$M$185,0,AO$199))+AM202)))</f>
        <v>5.2125584849533766</v>
      </c>
      <c r="AP202" s="9" cm="1">
        <f t="array" ref="AP202">IF(AP$199=-1,AR202,IF(AP$199=99,AO202,IF(AP$199=0,INDEX($E188:$M188,0,AP$197),(INDEX($E188:$M188,0,AP$199+1)-INDEX($E188:$M188,0,AP$199))/(INDEX($E$185:$M$185,0,AP$199+1)-INDEX($E$185:$M$185,0,AP$199))+AO202)))</f>
        <v>5.3905624011094986</v>
      </c>
      <c r="AQ202" s="9" cm="1">
        <f t="array" ref="AQ202">IF(AQ$199=-1,AR202,IF(AQ$199=99,AO202,IF(AQ$199=0,INDEX($E188:$M188,0,AQ$197),(INDEX($E188:$M188,0,AQ$199+1)-INDEX($E188:$M188,0,AQ$199))/(INDEX($E$185:$M$185,0,AQ$199+1)-INDEX($E$185:$M$185,0,AQ$199))+AO202)))</f>
        <v>5.3905624011094986</v>
      </c>
      <c r="AR202" s="9" cm="1">
        <f t="array" ref="AR202">IF(AR$199=-1,AS202,IF(AR$199=99,AQ202,IF(AR$199=0,INDEX($E188:$M188,0,AR$197),(INDEX($E188:$M188,0,AR$199+1)-INDEX($E188:$M188,0,AR$199))/(INDEX($E$185:$M$185,0,AR$199+1)-INDEX($E$185:$M$185,0,AR$199))+AQ202)))</f>
        <v>5.5685663172656206</v>
      </c>
      <c r="AS202" s="9" cm="1">
        <f t="array" ref="AS202">IF(AS$199=-1,AT202,IF(AS$199=99,AR202,IF(AS$199=0,INDEX($E188:$M188,0,AS$197),(INDEX($E188:$M188,0,AS$199+1)-INDEX($E188:$M188,0,AS$199))/(INDEX($E$185:$M$185,0,AS$199+1)-INDEX($E$185:$M$185,0,AS$199))+AR202)))</f>
        <v>5.7465702334217426</v>
      </c>
      <c r="AT202" s="9" cm="1">
        <f t="array" ref="AT202">IF(AT$199=-1,AU202,IF(AT$199=99,AS202,IF(AT$199=0,INDEX($E188:$M188,0,AT$197),(INDEX($E188:$M188,0,AT$199+1)-INDEX($E188:$M188,0,AT$199))/(INDEX($E$185:$M$185,0,AT$199+1)-INDEX($E$185:$M$185,0,AT$199))+AS202)))</f>
        <v>5.9245741495778637</v>
      </c>
      <c r="AU202" s="243">
        <f t="shared" si="517"/>
        <v>6.9919279376557348</v>
      </c>
      <c r="AV202" s="9" cm="1">
        <f t="array" ref="AV202">IF(AV$199=-1,AW202,IF(AV$199=99,AU202,IF(AV$199=0,INDEX($E188:$M188,0,AV$197),(INDEX($E188:$M188,0,AV$199+1)-INDEX($E188:$M188,0,AV$199))/(INDEX($E$185:$M$185,0,AV$199+1)-INDEX($E$185:$M$185,0,AV$199))+AU202)))</f>
        <v>8.0592817257336069</v>
      </c>
      <c r="AW202" s="9" cm="1">
        <f t="array" ref="AW202">IF(AW$199=-1,AX202,IF(AW$199=99,AV202,IF(AW$199=0,INDEX($E188:$M188,0,AW$197),(INDEX($E188:$M188,0,AW$199+1)-INDEX($E188:$M188,0,AW$199))/(INDEX($E$185:$M$185,0,AW$199+1)-INDEX($E$185:$M$185,0,AW$199))+AV202)))</f>
        <v>8.8077162698931843</v>
      </c>
      <c r="AX202" s="9" cm="1">
        <f t="array" ref="AX202">IF(AX$199=-1,AY202,IF(AX$199=99,AW202,IF(AX$199=0,INDEX($E188:$M188,0,AX$197),(INDEX($E188:$M188,0,AX$199+1)-INDEX($E188:$M188,0,AX$199))/(INDEX($E$185:$M$185,0,AX$199+1)-INDEX($E$185:$M$185,0,AX$199))+AW202)))</f>
        <v>9.1408920068880128</v>
      </c>
      <c r="AY202" s="9"/>
      <c r="BB202" s="9"/>
      <c r="BC202" s="9"/>
      <c r="BM202" s="9"/>
      <c r="BN202" s="50"/>
    </row>
    <row r="203" spans="5:66" ht="15">
      <c r="E203" t="s">
        <v>16</v>
      </c>
      <c r="F203" s="20" t="str">
        <f t="shared" si="512"/>
        <v/>
      </c>
      <c r="G203" s="48" t="str">
        <f t="shared" si="513"/>
        <v>TPPUBUS</v>
      </c>
      <c r="H203" s="21"/>
      <c r="J203" s="21" t="str">
        <f t="shared" si="514"/>
        <v/>
      </c>
      <c r="L203" s="21" t="str">
        <f t="shared" si="514"/>
        <v/>
      </c>
      <c r="M203" s="21" t="str">
        <f t="shared" si="514"/>
        <v/>
      </c>
      <c r="N203" s="20" t="str">
        <f t="shared" si="515"/>
        <v/>
      </c>
      <c r="O203" s="20"/>
      <c r="P203" s="20"/>
      <c r="Q203" s="9">
        <f t="shared" si="516"/>
        <v>0.64296697178877804</v>
      </c>
      <c r="R203" s="9" cm="1">
        <f t="array" ref="R203">IF(R$199=-1,S203,IF(R$199=99,Q203,IF(R$199=0,INDEX($E189:$M189,0,R$197),(INDEX($E189:$M189,0,R$199+1)-INDEX($E189:$M189,0,R$199))/(INDEX($E$185:$M$185,0,R$199+1)-INDEX($E$185:$M$185,0,R$199))+Q203)))</f>
        <v>0.64929079481231411</v>
      </c>
      <c r="S203" s="9" cm="1">
        <f t="array" ref="S203">IF(S$199=-1,T203,IF(S$199=99,R203,IF(S$199=0,INDEX($E189:$M189,0,S$197),(INDEX($E189:$M189,0,S$199+1)-INDEX($E189:$M189,0,S$199))/(INDEX($E$185:$M$185,0,S$199+1)-INDEX($E$185:$M$185,0,S$199))+R203)))</f>
        <v>0.65561461783585018</v>
      </c>
      <c r="T203" s="9" cm="1">
        <f t="array" ref="T203">IF(T$199=-1,W203,IF(T$199=99,S203,IF(T$199=0,INDEX($E189:$M189,0,T$197),(INDEX($E189:$M189,0,T$199+1)-INDEX($E189:$M189,0,T$199))/(INDEX($E$185:$M$185,0,T$199+1)-INDEX($E$185:$M$185,0,T$199))+S203)))</f>
        <v>0.6666265611015576</v>
      </c>
      <c r="U203" s="9" cm="1">
        <f t="array" ref="U203">IF(U$199=-1,W203,IF(U$199=99,S203,IF(U$199=0,INDEX($E189:$M189,0,U$197),(INDEX($E189:$M189,0,U$199+1)-INDEX($E189:$M189,0,U$199))/(INDEX($E$185:$M$185,0,U$199+1)-INDEX($E$185:$M$185,0,U$199))+S203)))</f>
        <v>0.6666265611015576</v>
      </c>
      <c r="V203" s="9" cm="1">
        <f t="array" ref="V203">IF(V$199=-1,W203,IF(V$199=99,S203,IF(V$199=0,INDEX($E189:$M189,0,V$197),(INDEX($E189:$M189,0,V$199+1)-INDEX($E189:$M189,0,V$199))/(INDEX($E$185:$M$185,0,V$199+1)-INDEX($E$185:$M$185,0,V$199))+S203)))</f>
        <v>0.6666265611015576</v>
      </c>
      <c r="W203" s="9" cm="1">
        <f t="array" ref="W203">IF(W$199=-1,X203,IF(W$199=99,T203,IF(W$199=0,INDEX($E189:$M189,0,W$197),(INDEX($E189:$M189,0,W$199+1)-INDEX($E189:$M189,0,W$199))/(INDEX($E$185:$M$185,0,W$199+1)-INDEX($E$185:$M$185,0,W$199))+T203)))</f>
        <v>0.68165992851148161</v>
      </c>
      <c r="X203" s="9" cm="1">
        <f t="array" ref="X203">IF(X$199=-1,Y203,IF(X$199=99,W203,IF(X$199=0,INDEX($E189:$M189,0,X$197),(INDEX($E189:$M189,0,X$199+1)-INDEX($E189:$M189,0,X$199))/(INDEX($E$185:$M$185,0,X$199+1)-INDEX($E$185:$M$185,0,X$199))+W203)))</f>
        <v>0.68233114655833038</v>
      </c>
      <c r="Y203" s="9" cm="1">
        <f t="array" ref="Y203">IF(Y$199=-1,Z203,IF(Y$199=99,X203,IF(Y$199=0,INDEX($E189:$M189,0,Y$197),(INDEX($E189:$M189,0,Y$199+1)-INDEX($E189:$M189,0,Y$199))/(INDEX($E$185:$M$185,0,Y$199+1)-INDEX($E$185:$M$185,0,Y$199))+X203)))</f>
        <v>0.68300236460517916</v>
      </c>
      <c r="Z203" s="9" cm="1">
        <f t="array" ref="Z203">IF(Z$199=-1,AA203,IF(Z$199=99,Y203,IF(Z$199=0,INDEX($E189:$M189,0,Z$197),(INDEX($E189:$M189,0,Z$199+1)-INDEX($E189:$M189,0,Z$199))/(INDEX($E$185:$M$185,0,Z$199+1)-INDEX($E$185:$M$185,0,Z$199))+Y203)))</f>
        <v>0.68367358265202793</v>
      </c>
      <c r="AA203" s="9" cm="1">
        <f t="array" ref="AA203">IF(AA$199=-1,AB203,IF(AA$199=99,Z203,IF(AA$199=0,INDEX($E189:$M189,0,AA$197),(INDEX($E189:$M189,0,AA$199+1)-INDEX($E189:$M189,0,AA$199))/(INDEX($E$185:$M$185,0,AA$199+1)-INDEX($E$185:$M$185,0,AA$199))+Z203)))</f>
        <v>0.68434480069887671</v>
      </c>
      <c r="AB203" s="9" cm="1">
        <f t="array" ref="AB203">IF(AB$199=-1,AC203,IF(AB$199=99,AA203,IF(AB$199=0,INDEX($E189:$M189,0,AB$197),(INDEX($E189:$M189,0,AB$199+1)-INDEX($E189:$M189,0,AB$199))/(INDEX($E$185:$M$185,0,AB$199+1)-INDEX($E$185:$M$185,0,AB$199))+AA203)))</f>
        <v>0.68501601874572549</v>
      </c>
      <c r="AC203" s="9" cm="1">
        <f t="array" ref="AC203">IF(AC$199=-1,AD203,IF(AC$199=99,AB203,IF(AC$199=0,INDEX($E189:$M189,0,AC$197),(INDEX($E189:$M189,0,AC$199+1)-INDEX($E189:$M189,0,AC$199))/(INDEX($E$185:$M$185,0,AC$199+1)-INDEX($E$185:$M$185,0,AC$199))+AB203)))</f>
        <v>0.68568723679257426</v>
      </c>
      <c r="AD203" s="9" cm="1">
        <f t="array" ref="AD203">IF(AD$199=-1,AE203,IF(AD$199=99,AC203,IF(AD$199=0,INDEX($E189:$M189,0,AD$197),(INDEX($E189:$M189,0,AD$199+1)-INDEX($E189:$M189,0,AD$199))/(INDEX($E$185:$M$185,0,AD$199+1)-INDEX($E$185:$M$185,0,AD$199))+AC203)))</f>
        <v>0.68635845483942304</v>
      </c>
      <c r="AE203" s="9" cm="1">
        <f t="array" ref="AE203">IF(AE$199=-1,AH203,IF(AE$199=99,AD203,IF(AE$199=0,INDEX($E189:$M189,0,AE$197),(INDEX($E189:$M189,0,AE$199+1)-INDEX($E189:$M189,0,AE$199))/(INDEX($E$185:$M$185,0,AE$199+1)-INDEX($E$185:$M$185,0,AE$199))+AD203)))</f>
        <v>0.68702967288627181</v>
      </c>
      <c r="AF203" s="9" cm="1">
        <f t="array" ref="AF203">IF(AF$199=-1,AH203,IF(AF$199=99,AD203,IF(AF$199=0,INDEX($E189:$M189,0,AF$197),(INDEX($E189:$M189,0,AF$199+1)-INDEX($E189:$M189,0,AF$199))/(INDEX($E$185:$M$185,0,AF$199+1)-INDEX($E$185:$M$185,0,AF$199))+AD203)))</f>
        <v>0.68702967288627181</v>
      </c>
      <c r="AG203" s="9" cm="1">
        <f t="array" ref="AG203">IF(AG$199=-1,AH203,IF(AG$199=99,AD203,IF(AG$199=0,INDEX($E189:$M189,0,AG$197),(INDEX($E189:$M189,0,AG$199+1)-INDEX($E189:$M189,0,AG$199))/(INDEX($E$185:$M$185,0,AG$199+1)-INDEX($E$185:$M$185,0,AG$199))+AD203)))</f>
        <v>0.68702967288627181</v>
      </c>
      <c r="AH203" s="9" cm="1">
        <f t="array" ref="AH203">IF(AH$199=-1,AI203,IF(AH$199=99,AE203,IF(AH$199=0,INDEX($E189:$M189,0,AH$197),(INDEX($E189:$M189,0,AH$199+1)-INDEX($E189:$M189,0,AH$199))/(INDEX($E$185:$M$185,0,AH$199+1)-INDEX($E$185:$M$185,0,AH$199))+AE203)))</f>
        <v>0.68770089093312015</v>
      </c>
      <c r="AI203" s="9" cm="1">
        <f t="array" ref="AI203">IF(AI$199=-1,AJ203,IF(AI$199=99,AH203,IF(AI$199=0,INDEX($E189:$M189,0,AI$197),(INDEX($E189:$M189,0,AI$199+1)-INDEX($E189:$M189,0,AI$199))/(INDEX($E$185:$M$185,0,AI$199+1)-INDEX($E$185:$M$185,0,AI$199))+AH203)))</f>
        <v>0.68446529022650993</v>
      </c>
      <c r="AJ203" s="9" cm="1">
        <f t="array" ref="AJ203">IF(AJ$199=-1,AK203,IF(AJ$199=99,AI203,IF(AJ$199=0,INDEX($E189:$M189,0,AJ$197),(INDEX($E189:$M189,0,AJ$199+1)-INDEX($E189:$M189,0,AJ$199))/(INDEX($E$185:$M$185,0,AJ$199+1)-INDEX($E$185:$M$185,0,AJ$199))+AI203)))</f>
        <v>0.68122968951989971</v>
      </c>
      <c r="AK203" s="9" cm="1">
        <f t="array" ref="AK203">IF(AK$199=-1,AL203,IF(AK$199=99,AJ203,IF(AK$199=0,INDEX($E189:$M189,0,AK$197),(INDEX($E189:$M189,0,AK$199+1)-INDEX($E189:$M189,0,AK$199))/(INDEX($E$185:$M$185,0,AK$199+1)-INDEX($E$185:$M$185,0,AK$199))+AJ203)))</f>
        <v>0.67799408881328949</v>
      </c>
      <c r="AL203" s="9" cm="1">
        <f t="array" ref="AL203">IF(AL$199=-1,AM203,IF(AL$199=99,AK203,IF(AL$199=0,INDEX($E189:$M189,0,AL$197),(INDEX($E189:$M189,0,AL$199+1)-INDEX($E189:$M189,0,AL$199))/(INDEX($E$185:$M$185,0,AL$199+1)-INDEX($E$185:$M$185,0,AL$199))+AK203)))</f>
        <v>0.67475848810667927</v>
      </c>
      <c r="AM203" s="9" cm="1">
        <f t="array" ref="AM203">IF(AM$199=-1,AO203,IF(AM$199=99,AL203,IF(AM$199=0,INDEX($E189:$M189,0,AM$197),(INDEX($E189:$M189,0,AM$199+1)-INDEX($E189:$M189,0,AM$199))/(INDEX($E$185:$M$185,0,AM$199+1)-INDEX($E$185:$M$185,0,AM$199))+AL203)))</f>
        <v>0.67152288740006905</v>
      </c>
      <c r="AN203" s="9" cm="1">
        <f t="array" ref="AN203">IF(AN$199=-1,AP203,IF(AN$199=99,AL203,IF(AN$199=0,INDEX($E189:$M189,0,AN$197),(INDEX($E189:$M189,0,AN$199+1)-INDEX($E189:$M189,0,AN$199))/(INDEX($E$185:$M$185,0,AN$199+1)-INDEX($E$185:$M$185,0,AN$199))+AL203)))</f>
        <v>0.67152288740006905</v>
      </c>
      <c r="AO203" s="9" cm="1">
        <f t="array" ref="AO203">IF(AO$199=-1,AQ203,IF(AO$199=99,AM203,IF(AO$199=0,INDEX($E189:$M189,0,AO$197),(INDEX($E189:$M189,0,AO$199+1)-INDEX($E189:$M189,0,AO$199))/(INDEX($E$185:$M$185,0,AO$199+1)-INDEX($E$185:$M$185,0,AO$199))+AM203)))</f>
        <v>0.66828728669345883</v>
      </c>
      <c r="AP203" s="9" cm="1">
        <f t="array" ref="AP203">IF(AP$199=-1,AR203,IF(AP$199=99,AO203,IF(AP$199=0,INDEX($E189:$M189,0,AP$197),(INDEX($E189:$M189,0,AP$199+1)-INDEX($E189:$M189,0,AP$199))/(INDEX($E$185:$M$185,0,AP$199+1)-INDEX($E$185:$M$185,0,AP$199))+AO203)))</f>
        <v>0.66505168598684861</v>
      </c>
      <c r="AQ203" s="9" cm="1">
        <f t="array" ref="AQ203">IF(AQ$199=-1,AR203,IF(AQ$199=99,AO203,IF(AQ$199=0,INDEX($E189:$M189,0,AQ$197),(INDEX($E189:$M189,0,AQ$199+1)-INDEX($E189:$M189,0,AQ$199))/(INDEX($E$185:$M$185,0,AQ$199+1)-INDEX($E$185:$M$185,0,AQ$199))+AO203)))</f>
        <v>0.66505168598684861</v>
      </c>
      <c r="AR203" s="9" cm="1">
        <f t="array" ref="AR203">IF(AR$199=-1,AS203,IF(AR$199=99,AQ203,IF(AR$199=0,INDEX($E189:$M189,0,AR$197),(INDEX($E189:$M189,0,AR$199+1)-INDEX($E189:$M189,0,AR$199))/(INDEX($E$185:$M$185,0,AR$199+1)-INDEX($E$185:$M$185,0,AR$199))+AQ203)))</f>
        <v>0.66181608528023839</v>
      </c>
      <c r="AS203" s="9" cm="1">
        <f t="array" ref="AS203">IF(AS$199=-1,AT203,IF(AS$199=99,AR203,IF(AS$199=0,INDEX($E189:$M189,0,AS$197),(INDEX($E189:$M189,0,AS$199+1)-INDEX($E189:$M189,0,AS$199))/(INDEX($E$185:$M$185,0,AS$199+1)-INDEX($E$185:$M$185,0,AS$199))+AR203)))</f>
        <v>0.65858048457362817</v>
      </c>
      <c r="AT203" s="9" cm="1">
        <f t="array" ref="AT203">IF(AT$199=-1,AU203,IF(AT$199=99,AS203,IF(AT$199=0,INDEX($E189:$M189,0,AT$197),(INDEX($E189:$M189,0,AT$199+1)-INDEX($E189:$M189,0,AT$199))/(INDEX($E$185:$M$185,0,AT$199+1)-INDEX($E$185:$M$185,0,AT$199))+AS203)))</f>
        <v>0.65534488386701795</v>
      </c>
      <c r="AU203" s="243">
        <f t="shared" si="517"/>
        <v>0.6202295760857619</v>
      </c>
      <c r="AV203" s="9" cm="1">
        <f t="array" ref="AV203">IF(AV$199=-1,AW203,IF(AV$199=99,AU203,IF(AV$199=0,INDEX($E189:$M189,0,AV$197),(INDEX($E189:$M189,0,AV$199+1)-INDEX($E189:$M189,0,AV$199))/(INDEX($E$185:$M$185,0,AV$199+1)-INDEX($E$185:$M$185,0,AV$199))+AU203)))</f>
        <v>0.58511426830450586</v>
      </c>
      <c r="AW203" s="9" cm="1">
        <f t="array" ref="AW203">IF(AW$199=-1,AX203,IF(AW$199=99,AV203,IF(AW$199=0,INDEX($E189:$M189,0,AW$197),(INDEX($E189:$M189,0,AW$199+1)-INDEX($E189:$M189,0,AW$199))/(INDEX($E$185:$M$185,0,AW$199+1)-INDEX($E$185:$M$185,0,AW$199))+AV203)))</f>
        <v>0.56978445759695118</v>
      </c>
      <c r="AX203" s="9" cm="1">
        <f t="array" ref="AX203">IF(AX$199=-1,AY203,IF(AX$199=99,AW203,IF(AX$199=0,INDEX($E189:$M189,0,AX$197),(INDEX($E189:$M189,0,AX$199+1)-INDEX($E189:$M189,0,AX$199))/(INDEX($E$185:$M$185,0,AX$199+1)-INDEX($E$185:$M$185,0,AX$199))+AW203)))</f>
        <v>0.56058567140481308</v>
      </c>
      <c r="AY203" s="9"/>
      <c r="BB203" s="9"/>
      <c r="BC203" s="9"/>
      <c r="BM203" s="9"/>
      <c r="BN203" s="50"/>
    </row>
    <row r="204" spans="5:66" ht="15">
      <c r="E204" t="s">
        <v>16</v>
      </c>
      <c r="F204" s="20" t="str">
        <f t="shared" si="512"/>
        <v/>
      </c>
      <c r="G204" s="48" t="str">
        <f t="shared" si="513"/>
        <v>TPPUMBT</v>
      </c>
      <c r="H204" s="21"/>
      <c r="J204" s="21" t="str">
        <f t="shared" si="514"/>
        <v/>
      </c>
      <c r="L204" s="21" t="str">
        <f t="shared" si="514"/>
        <v/>
      </c>
      <c r="M204" s="21" t="str">
        <f t="shared" si="514"/>
        <v/>
      </c>
      <c r="N204" s="20" t="str">
        <f t="shared" si="515"/>
        <v/>
      </c>
      <c r="O204" s="20"/>
      <c r="P204" s="20"/>
      <c r="Q204" s="9">
        <f t="shared" si="516"/>
        <v>7.2130505455454896</v>
      </c>
      <c r="R204" s="9" cm="1">
        <f t="array" ref="R204">IF(R$199=-1,S204,IF(R$199=99,Q204,IF(R$199=0,INDEX($E190:$M190,0,R$197),(INDEX($E190:$M190,0,R$199+1)-INDEX($E190:$M190,0,R$199))/(INDEX($E$185:$M$185,0,R$199+1)-INDEX($E$185:$M$185,0,R$199))+Q204)))</f>
        <v>7.2845555245765379</v>
      </c>
      <c r="S204" s="9" cm="1">
        <f t="array" ref="S204">IF(S$199=-1,T204,IF(S$199=99,R204,IF(S$199=0,INDEX($E190:$M190,0,S$197),(INDEX($E190:$M190,0,S$199+1)-INDEX($E190:$M190,0,S$199))/(INDEX($E$185:$M$185,0,S$199+1)-INDEX($E$185:$M$185,0,S$199))+R204)))</f>
        <v>7.3560605036075861</v>
      </c>
      <c r="T204" s="9" cm="1">
        <f t="array" ref="T204">IF(T$199=-1,W204,IF(T$199=99,S204,IF(T$199=0,INDEX($E190:$M190,0,T$197),(INDEX($E190:$M190,0,T$199+1)-INDEX($E190:$M190,0,T$199))/(INDEX($E$185:$M$185,0,T$199+1)-INDEX($E$185:$M$185,0,T$199))+S204)))</f>
        <v>7.4796155902715018</v>
      </c>
      <c r="U204" s="9" cm="1">
        <f t="array" ref="U204">IF(U$199=-1,W204,IF(U$199=99,S204,IF(U$199=0,INDEX($E190:$M190,0,U$197),(INDEX($E190:$M190,0,U$199+1)-INDEX($E190:$M190,0,U$199))/(INDEX($E$185:$M$185,0,U$199+1)-INDEX($E$185:$M$185,0,U$199))+S204)))</f>
        <v>7.4796155902715018</v>
      </c>
      <c r="V204" s="9" cm="1">
        <f t="array" ref="V204">IF(V$199=-1,W204,IF(V$199=99,S204,IF(V$199=0,INDEX($E190:$M190,0,V$197),(INDEX($E190:$M190,0,V$199+1)-INDEX($E190:$M190,0,V$199))/(INDEX($E$185:$M$185,0,V$199+1)-INDEX($E$185:$M$185,0,V$199))+S204)))</f>
        <v>7.4796155902715018</v>
      </c>
      <c r="W204" s="9" cm="1">
        <f t="array" ref="W204">IF(W$199=-1,X204,IF(W$199=99,T204,IF(W$199=0,INDEX($E190:$M190,0,W$197),(INDEX($E190:$M190,0,W$199+1)-INDEX($E190:$M190,0,W$199))/(INDEX($E$185:$M$185,0,W$199+1)-INDEX($E$185:$M$185,0,W$199))+T204)))</f>
        <v>7.6482914514129181</v>
      </c>
      <c r="X204" s="9" cm="1">
        <f t="array" ref="X204">IF(X$199=-1,Y204,IF(X$199=99,W204,IF(X$199=0,INDEX($E190:$M190,0,X$197),(INDEX($E190:$M190,0,X$199+1)-INDEX($E190:$M190,0,X$199))/(INDEX($E$185:$M$185,0,X$199+1)-INDEX($E$185:$M$185,0,X$199))+W204)))</f>
        <v>7.6558225839249276</v>
      </c>
      <c r="Y204" s="9" cm="1">
        <f t="array" ref="Y204">IF(Y$199=-1,Z204,IF(Y$199=99,X204,IF(Y$199=0,INDEX($E190:$M190,0,Y$197),(INDEX($E190:$M190,0,Y$199+1)-INDEX($E190:$M190,0,Y$199))/(INDEX($E$185:$M$185,0,Y$199+1)-INDEX($E$185:$M$185,0,Y$199))+X204)))</f>
        <v>7.6633537164369372</v>
      </c>
      <c r="Z204" s="9" cm="1">
        <f t="array" ref="Z204">IF(Z$199=-1,AA204,IF(Z$199=99,Y204,IF(Z$199=0,INDEX($E190:$M190,0,Z$197),(INDEX($E190:$M190,0,Z$199+1)-INDEX($E190:$M190,0,Z$199))/(INDEX($E$185:$M$185,0,Z$199+1)-INDEX($E$185:$M$185,0,Z$199))+Y204)))</f>
        <v>7.6708848489489467</v>
      </c>
      <c r="AA204" s="9" cm="1">
        <f t="array" ref="AA204">IF(AA$199=-1,AB204,IF(AA$199=99,Z204,IF(AA$199=0,INDEX($E190:$M190,0,AA$197),(INDEX($E190:$M190,0,AA$199+1)-INDEX($E190:$M190,0,AA$199))/(INDEX($E$185:$M$185,0,AA$199+1)-INDEX($E$185:$M$185,0,AA$199))+Z204)))</f>
        <v>7.6784159814609563</v>
      </c>
      <c r="AB204" s="9" cm="1">
        <f t="array" ref="AB204">IF(AB$199=-1,AC204,IF(AB$199=99,AA204,IF(AB$199=0,INDEX($E190:$M190,0,AB$197),(INDEX($E190:$M190,0,AB$199+1)-INDEX($E190:$M190,0,AB$199))/(INDEX($E$185:$M$185,0,AB$199+1)-INDEX($E$185:$M$185,0,AB$199))+AA204)))</f>
        <v>7.6859471139729658</v>
      </c>
      <c r="AC204" s="9" cm="1">
        <f t="array" ref="AC204">IF(AC$199=-1,AD204,IF(AC$199=99,AB204,IF(AC$199=0,INDEX($E190:$M190,0,AC$197),(INDEX($E190:$M190,0,AC$199+1)-INDEX($E190:$M190,0,AC$199))/(INDEX($E$185:$M$185,0,AC$199+1)-INDEX($E$185:$M$185,0,AC$199))+AB204)))</f>
        <v>7.6934782464849754</v>
      </c>
      <c r="AD204" s="9" cm="1">
        <f t="array" ref="AD204">IF(AD$199=-1,AE204,IF(AD$199=99,AC204,IF(AD$199=0,INDEX($E190:$M190,0,AD$197),(INDEX($E190:$M190,0,AD$199+1)-INDEX($E190:$M190,0,AD$199))/(INDEX($E$185:$M$185,0,AD$199+1)-INDEX($E$185:$M$185,0,AD$199))+AC204)))</f>
        <v>7.7010093789969849</v>
      </c>
      <c r="AE204" s="9" cm="1">
        <f t="array" ref="AE204">IF(AE$199=-1,AH204,IF(AE$199=99,AD204,IF(AE$199=0,INDEX($E190:$M190,0,AE$197),(INDEX($E190:$M190,0,AE$199+1)-INDEX($E190:$M190,0,AE$199))/(INDEX($E$185:$M$185,0,AE$199+1)-INDEX($E$185:$M$185,0,AE$199))+AD204)))</f>
        <v>7.7085405115089944</v>
      </c>
      <c r="AF204" s="9" cm="1">
        <f t="array" ref="AF204">IF(AF$199=-1,AH204,IF(AF$199=99,AD204,IF(AF$199=0,INDEX($E190:$M190,0,AF$197),(INDEX($E190:$M190,0,AF$199+1)-INDEX($E190:$M190,0,AF$199))/(INDEX($E$185:$M$185,0,AF$199+1)-INDEX($E$185:$M$185,0,AF$199))+AD204)))</f>
        <v>7.7085405115089944</v>
      </c>
      <c r="AG204" s="9" cm="1">
        <f t="array" ref="AG204">IF(AG$199=-1,AH204,IF(AG$199=99,AD204,IF(AG$199=0,INDEX($E190:$M190,0,AG$197),(INDEX($E190:$M190,0,AG$199+1)-INDEX($E190:$M190,0,AG$199))/(INDEX($E$185:$M$185,0,AG$199+1)-INDEX($E$185:$M$185,0,AG$199))+AD204)))</f>
        <v>7.7085405115089944</v>
      </c>
      <c r="AH204" s="9" cm="1">
        <f t="array" ref="AH204">IF(AH$199=-1,AI204,IF(AH$199=99,AE204,IF(AH$199=0,INDEX($E190:$M190,0,AH$197),(INDEX($E190:$M190,0,AH$199+1)-INDEX($E190:$M190,0,AH$199))/(INDEX($E$185:$M$185,0,AH$199+1)-INDEX($E$185:$M$185,0,AH$199))+AE204)))</f>
        <v>7.7160716440210066</v>
      </c>
      <c r="AI204" s="9" cm="1">
        <f t="array" ref="AI204">IF(AI$199=-1,AJ204,IF(AI$199=99,AH204,IF(AI$199=0,INDEX($E190:$M190,0,AI$197),(INDEX($E190:$M190,0,AI$199+1)-INDEX($E190:$M190,0,AI$199))/(INDEX($E$185:$M$185,0,AI$199+1)-INDEX($E$185:$M$185,0,AI$199))+AH204)))</f>
        <v>7.679767885813316</v>
      </c>
      <c r="AJ204" s="9" cm="1">
        <f t="array" ref="AJ204">IF(AJ$199=-1,AK204,IF(AJ$199=99,AI204,IF(AJ$199=0,INDEX($E190:$M190,0,AJ$197),(INDEX($E190:$M190,0,AJ$199+1)-INDEX($E190:$M190,0,AJ$199))/(INDEX($E$185:$M$185,0,AJ$199+1)-INDEX($E$185:$M$185,0,AJ$199))+AI204)))</f>
        <v>7.6434641276056254</v>
      </c>
      <c r="AK204" s="9" cm="1">
        <f t="array" ref="AK204">IF(AK$199=-1,AL204,IF(AK$199=99,AJ204,IF(AK$199=0,INDEX($E190:$M190,0,AK$197),(INDEX($E190:$M190,0,AK$199+1)-INDEX($E190:$M190,0,AK$199))/(INDEX($E$185:$M$185,0,AK$199+1)-INDEX($E$185:$M$185,0,AK$199))+AJ204)))</f>
        <v>7.6071603693979348</v>
      </c>
      <c r="AL204" s="9" cm="1">
        <f t="array" ref="AL204">IF(AL$199=-1,AM204,IF(AL$199=99,AK204,IF(AL$199=0,INDEX($E190:$M190,0,AL$197),(INDEX($E190:$M190,0,AL$199+1)-INDEX($E190:$M190,0,AL$199))/(INDEX($E$185:$M$185,0,AL$199+1)-INDEX($E$185:$M$185,0,AL$199))+AK204)))</f>
        <v>7.5708566111902442</v>
      </c>
      <c r="AM204" s="9" cm="1">
        <f t="array" ref="AM204">IF(AM$199=-1,AO204,IF(AM$199=99,AL204,IF(AM$199=0,INDEX($E190:$M190,0,AM$197),(INDEX($E190:$M190,0,AM$199+1)-INDEX($E190:$M190,0,AM$199))/(INDEX($E$185:$M$185,0,AM$199+1)-INDEX($E$185:$M$185,0,AM$199))+AL204)))</f>
        <v>7.5345528529825536</v>
      </c>
      <c r="AN204" s="9" cm="1">
        <f t="array" ref="AN204">IF(AN$199=-1,AP204,IF(AN$199=99,AL204,IF(AN$199=0,INDEX($E190:$M190,0,AN$197),(INDEX($E190:$M190,0,AN$199+1)-INDEX($E190:$M190,0,AN$199))/(INDEX($E$185:$M$185,0,AN$199+1)-INDEX($E$185:$M$185,0,AN$199))+AL204)))</f>
        <v>7.5345528529825536</v>
      </c>
      <c r="AO204" s="9" cm="1">
        <f t="array" ref="AO204">IF(AO$199=-1,AQ204,IF(AO$199=99,AM204,IF(AO$199=0,INDEX($E190:$M190,0,AO$197),(INDEX($E190:$M190,0,AO$199+1)-INDEX($E190:$M190,0,AO$199))/(INDEX($E$185:$M$185,0,AO$199+1)-INDEX($E$185:$M$185,0,AO$199))+AM204)))</f>
        <v>7.498249094774863</v>
      </c>
      <c r="AP204" s="9" cm="1">
        <f t="array" ref="AP204">IF(AP$199=-1,AR204,IF(AP$199=99,AO204,IF(AP$199=0,INDEX($E190:$M190,0,AP$197),(INDEX($E190:$M190,0,AP$199+1)-INDEX($E190:$M190,0,AP$199))/(INDEX($E$185:$M$185,0,AP$199+1)-INDEX($E$185:$M$185,0,AP$199))+AO204)))</f>
        <v>7.4619453365671724</v>
      </c>
      <c r="AQ204" s="9" cm="1">
        <f t="array" ref="AQ204">IF(AQ$199=-1,AR204,IF(AQ$199=99,AO204,IF(AQ$199=0,INDEX($E190:$M190,0,AQ$197),(INDEX($E190:$M190,0,AQ$199+1)-INDEX($E190:$M190,0,AQ$199))/(INDEX($E$185:$M$185,0,AQ$199+1)-INDEX($E$185:$M$185,0,AQ$199))+AO204)))</f>
        <v>7.4619453365671724</v>
      </c>
      <c r="AR204" s="9" cm="1">
        <f t="array" ref="AR204">IF(AR$199=-1,AS204,IF(AR$199=99,AQ204,IF(AR$199=0,INDEX($E190:$M190,0,AR$197),(INDEX($E190:$M190,0,AR$199+1)-INDEX($E190:$M190,0,AR$199))/(INDEX($E$185:$M$185,0,AR$199+1)-INDEX($E$185:$M$185,0,AR$199))+AQ204)))</f>
        <v>7.4256415783594818</v>
      </c>
      <c r="AS204" s="9" cm="1">
        <f t="array" ref="AS204">IF(AS$199=-1,AT204,IF(AS$199=99,AR204,IF(AS$199=0,INDEX($E190:$M190,0,AS$197),(INDEX($E190:$M190,0,AS$199+1)-INDEX($E190:$M190,0,AS$199))/(INDEX($E$185:$M$185,0,AS$199+1)-INDEX($E$185:$M$185,0,AS$199))+AR204)))</f>
        <v>7.3893378201517912</v>
      </c>
      <c r="AT204" s="9" cm="1">
        <f t="array" ref="AT204">IF(AT$199=-1,AU204,IF(AT$199=99,AS204,IF(AT$199=0,INDEX($E190:$M190,0,AT$197),(INDEX($E190:$M190,0,AT$199+1)-INDEX($E190:$M190,0,AT$199))/(INDEX($E$185:$M$185,0,AT$199+1)-INDEX($E$185:$M$185,0,AT$199))+AS204)))</f>
        <v>7.3530340619441006</v>
      </c>
      <c r="AU204" s="243">
        <f t="shared" si="517"/>
        <v>6.9590368544163139</v>
      </c>
      <c r="AV204" s="9" cm="1">
        <f t="array" ref="AV204">IF(AV$199=-1,AW204,IF(AV$199=99,AU204,IF(AV$199=0,INDEX($E190:$M190,0,AV$197),(INDEX($E190:$M190,0,AV$199+1)-INDEX($E190:$M190,0,AV$199))/(INDEX($E$185:$M$185,0,AV$199+1)-INDEX($E$185:$M$185,0,AV$199))+AU204)))</f>
        <v>6.5650396468885273</v>
      </c>
      <c r="AW204" s="9" cm="1">
        <f t="array" ref="AW204">IF(AW$199=-1,AX204,IF(AW$199=99,AV204,IF(AW$199=0,INDEX($E190:$M190,0,AW$197),(INDEX($E190:$M190,0,AW$199+1)-INDEX($E190:$M190,0,AW$199))/(INDEX($E$185:$M$185,0,AW$199+1)-INDEX($E$185:$M$185,0,AW$199))+AV204)))</f>
        <v>6.3930376627871643</v>
      </c>
      <c r="AX204" s="9" cm="1">
        <f t="array" ref="AX204">IF(AX$199=-1,AY204,IF(AX$199=99,AW204,IF(AX$199=0,INDEX($E190:$M190,0,AX$197),(INDEX($E190:$M190,0,AX$199+1)-INDEX($E190:$M190,0,AX$199))/(INDEX($E$185:$M$185,0,AX$199+1)-INDEX($E$185:$M$185,0,AX$199))+AW204)))</f>
        <v>6.2898263768453058</v>
      </c>
      <c r="AY204" s="9"/>
      <c r="BB204" s="9"/>
      <c r="BC204" s="9"/>
      <c r="BM204" s="9"/>
      <c r="BN204" s="50"/>
    </row>
    <row r="205" spans="5:66" ht="15">
      <c r="E205" t="s">
        <v>16</v>
      </c>
      <c r="F205" s="20" t="str">
        <f t="shared" si="512"/>
        <v/>
      </c>
      <c r="G205" s="48" t="str">
        <f t="shared" si="513"/>
        <v>TPPUBRT</v>
      </c>
      <c r="H205" s="21"/>
      <c r="J205" s="21" t="str">
        <f t="shared" si="514"/>
        <v/>
      </c>
      <c r="L205" s="21" t="str">
        <f t="shared" si="514"/>
        <v/>
      </c>
      <c r="M205" s="21" t="str">
        <f t="shared" si="514"/>
        <v/>
      </c>
      <c r="N205" s="20" t="str">
        <f t="shared" si="515"/>
        <v/>
      </c>
      <c r="O205" s="20"/>
      <c r="P205" s="20"/>
      <c r="Q205" s="9">
        <f t="shared" si="516"/>
        <v>0.072799982901224303</v>
      </c>
      <c r="R205" s="9" cm="1">
        <f t="array" ref="R205">IF(R$199=-1,S205,IF(R$199=99,Q205,IF(R$199=0,INDEX($E191:$M191,0,R$197),(INDEX($E191:$M191,0,R$199+1)-INDEX($E191:$M191,0,R$199))/(INDEX($E$185:$M$185,0,R$199+1)-INDEX($E$185:$M$185,0,R$199))+Q205)))</f>
        <v>0.092054765383727061</v>
      </c>
      <c r="S205" s="9" cm="1">
        <f t="array" ref="S205">IF(S$199=-1,T205,IF(S$199=99,R205,IF(S$199=0,INDEX($E191:$M191,0,S$197),(INDEX($E191:$M191,0,S$199+1)-INDEX($E191:$M191,0,S$199))/(INDEX($E$185:$M$185,0,S$199+1)-INDEX($E$185:$M$185,0,S$199))+R205)))</f>
        <v>0.1113095478662298</v>
      </c>
      <c r="T205" s="9" cm="1">
        <f t="array" ref="T205">IF(T$199=-1,W205,IF(T$199=99,S205,IF(T$199=0,INDEX($E191:$M191,0,T$197),(INDEX($E191:$M191,0,T$199+1)-INDEX($E191:$M191,0,T$199))/(INDEX($E$185:$M$185,0,T$199+1)-INDEX($E$185:$M$185,0,T$199))+S205)))</f>
        <v>0.11091277099762989</v>
      </c>
      <c r="U205" s="9" cm="1">
        <f t="array" ref="U205">IF(U$199=-1,W205,IF(U$199=99,S205,IF(U$199=0,INDEX($E191:$M191,0,U$197),(INDEX($E191:$M191,0,U$199+1)-INDEX($E191:$M191,0,U$199))/(INDEX($E$185:$M$185,0,U$199+1)-INDEX($E$185:$M$185,0,U$199))+S205)))</f>
        <v>0.11091277099762989</v>
      </c>
      <c r="V205" s="9" cm="1">
        <f t="array" ref="V205">IF(V$199=-1,W205,IF(V$199=99,S205,IF(V$199=0,INDEX($E191:$M191,0,V$197),(INDEX($E191:$M191,0,V$199+1)-INDEX($E191:$M191,0,V$199))/(INDEX($E$185:$M$185,0,V$199+1)-INDEX($E$185:$M$185,0,V$199))+S205)))</f>
        <v>0.11091277099762989</v>
      </c>
      <c r="W205" s="9" cm="1">
        <f t="array" ref="W205">IF(W$199=-1,X205,IF(W$199=99,T205,IF(W$199=0,INDEX($E191:$M191,0,W$197),(INDEX($E191:$M191,0,W$199+1)-INDEX($E191:$M191,0,W$199))/(INDEX($E$185:$M$185,0,W$199+1)-INDEX($E$185:$M$185,0,W$199))+T205)))</f>
        <v>0.11320845736963975</v>
      </c>
      <c r="X205" s="9" cm="1">
        <f t="array" ref="X205">IF(X$199=-1,Y205,IF(X$199=99,W205,IF(X$199=0,INDEX($E191:$M191,0,X$197),(INDEX($E191:$M191,0,X$199+1)-INDEX($E191:$M191,0,X$199))/(INDEX($E$185:$M$185,0,X$199+1)-INDEX($E$185:$M$185,0,X$199))+W205)))</f>
        <v>0.11433939197588476</v>
      </c>
      <c r="Y205" s="9" cm="1">
        <f t="array" ref="Y205">IF(Y$199=-1,Z205,IF(Y$199=99,X205,IF(Y$199=0,INDEX($E191:$M191,0,Y$197),(INDEX($E191:$M191,0,Y$199+1)-INDEX($E191:$M191,0,Y$199))/(INDEX($E$185:$M$185,0,Y$199+1)-INDEX($E$185:$M$185,0,Y$199))+X205)))</f>
        <v>0.11547032658212977</v>
      </c>
      <c r="Z205" s="9" cm="1">
        <f t="array" ref="Z205">IF(Z$199=-1,AA205,IF(Z$199=99,Y205,IF(Z$199=0,INDEX($E191:$M191,0,Z$197),(INDEX($E191:$M191,0,Z$199+1)-INDEX($E191:$M191,0,Z$199))/(INDEX($E$185:$M$185,0,Z$199+1)-INDEX($E$185:$M$185,0,Z$199))+Y205)))</f>
        <v>0.11660126118837479</v>
      </c>
      <c r="AA205" s="9" cm="1">
        <f t="array" ref="AA205">IF(AA$199=-1,AB205,IF(AA$199=99,Z205,IF(AA$199=0,INDEX($E191:$M191,0,AA$197),(INDEX($E191:$M191,0,AA$199+1)-INDEX($E191:$M191,0,AA$199))/(INDEX($E$185:$M$185,0,AA$199+1)-INDEX($E$185:$M$185,0,AA$199))+Z205)))</f>
        <v>0.1177321957946198</v>
      </c>
      <c r="AB205" s="9" cm="1">
        <f t="array" ref="AB205">IF(AB$199=-1,AC205,IF(AB$199=99,AA205,IF(AB$199=0,INDEX($E191:$M191,0,AB$197),(INDEX($E191:$M191,0,AB$199+1)-INDEX($E191:$M191,0,AB$199))/(INDEX($E$185:$M$185,0,AB$199+1)-INDEX($E$185:$M$185,0,AB$199))+AA205)))</f>
        <v>0.11886313040086481</v>
      </c>
      <c r="AC205" s="9" cm="1">
        <f t="array" ref="AC205">IF(AC$199=-1,AD205,IF(AC$199=99,AB205,IF(AC$199=0,INDEX($E191:$M191,0,AC$197),(INDEX($E191:$M191,0,AC$199+1)-INDEX($E191:$M191,0,AC$199))/(INDEX($E$185:$M$185,0,AC$199+1)-INDEX($E$185:$M$185,0,AC$199))+AB205)))</f>
        <v>0.11999406500710982</v>
      </c>
      <c r="AD205" s="9" cm="1">
        <f t="array" ref="AD205">IF(AD$199=-1,AE205,IF(AD$199=99,AC205,IF(AD$199=0,INDEX($E191:$M191,0,AD$197),(INDEX($E191:$M191,0,AD$199+1)-INDEX($E191:$M191,0,AD$199))/(INDEX($E$185:$M$185,0,AD$199+1)-INDEX($E$185:$M$185,0,AD$199))+AC205)))</f>
        <v>0.12112499961335484</v>
      </c>
      <c r="AE205" s="9" cm="1">
        <f t="array" ref="AE205">IF(AE$199=-1,AH205,IF(AE$199=99,AD205,IF(AE$199=0,INDEX($E191:$M191,0,AE$197),(INDEX($E191:$M191,0,AE$199+1)-INDEX($E191:$M191,0,AE$199))/(INDEX($E$185:$M$185,0,AE$199+1)-INDEX($E$185:$M$185,0,AE$199))+AD205)))</f>
        <v>0.12225593421959985</v>
      </c>
      <c r="AF205" s="9" cm="1">
        <f t="array" ref="AF205">IF(AF$199=-1,AH205,IF(AF$199=99,AD205,IF(AF$199=0,INDEX($E191:$M191,0,AF$197),(INDEX($E191:$M191,0,AF$199+1)-INDEX($E191:$M191,0,AF$199))/(INDEX($E$185:$M$185,0,AF$199+1)-INDEX($E$185:$M$185,0,AF$199))+AD205)))</f>
        <v>0.12225593421959985</v>
      </c>
      <c r="AG205" s="9" cm="1">
        <f t="array" ref="AG205">IF(AG$199=-1,AH205,IF(AG$199=99,AD205,IF(AG$199=0,INDEX($E191:$M191,0,AG$197),(INDEX($E191:$M191,0,AG$199+1)-INDEX($E191:$M191,0,AG$199))/(INDEX($E$185:$M$185,0,AG$199+1)-INDEX($E$185:$M$185,0,AG$199))+AD205)))</f>
        <v>0.12225593421959985</v>
      </c>
      <c r="AH205" s="9" cm="1">
        <f t="array" ref="AH205">IF(AH$199=-1,AI205,IF(AH$199=99,AE205,IF(AH$199=0,INDEX($E191:$M191,0,AH$197),(INDEX($E191:$M191,0,AH$199+1)-INDEX($E191:$M191,0,AH$199))/(INDEX($E$185:$M$185,0,AH$199+1)-INDEX($E$185:$M$185,0,AH$199))+AE205)))</f>
        <v>0.12338686882584481</v>
      </c>
      <c r="AI205" s="9" cm="1">
        <f t="array" ref="AI205">IF(AI$199=-1,AJ205,IF(AI$199=99,AH205,IF(AI$199=0,INDEX($E191:$M191,0,AI$197),(INDEX($E191:$M191,0,AI$199+1)-INDEX($E191:$M191,0,AI$199))/(INDEX($E$185:$M$185,0,AI$199+1)-INDEX($E$185:$M$185,0,AI$199))+AH205)))</f>
        <v>0.12436701429935186</v>
      </c>
      <c r="AJ205" s="9" cm="1">
        <f t="array" ref="AJ205">IF(AJ$199=-1,AK205,IF(AJ$199=99,AI205,IF(AJ$199=0,INDEX($E191:$M191,0,AJ$197),(INDEX($E191:$M191,0,AJ$199+1)-INDEX($E191:$M191,0,AJ$199))/(INDEX($E$185:$M$185,0,AJ$199+1)-INDEX($E$185:$M$185,0,AJ$199))+AI205)))</f>
        <v>0.12534715977285893</v>
      </c>
      <c r="AK205" s="9" cm="1">
        <f t="array" ref="AK205">IF(AK$199=-1,AL205,IF(AK$199=99,AJ205,IF(AK$199=0,INDEX($E191:$M191,0,AK$197),(INDEX($E191:$M191,0,AK$199+1)-INDEX($E191:$M191,0,AK$199))/(INDEX($E$185:$M$185,0,AK$199+1)-INDEX($E$185:$M$185,0,AK$199))+AJ205)))</f>
        <v>0.12632730524636598</v>
      </c>
      <c r="AL205" s="9" cm="1">
        <f t="array" ref="AL205">IF(AL$199=-1,AM205,IF(AL$199=99,AK205,IF(AL$199=0,INDEX($E191:$M191,0,AL$197),(INDEX($E191:$M191,0,AL$199+1)-INDEX($E191:$M191,0,AL$199))/(INDEX($E$185:$M$185,0,AL$199+1)-INDEX($E$185:$M$185,0,AL$199))+AK205)))</f>
        <v>0.12730745071987304</v>
      </c>
      <c r="AM205" s="9" cm="1">
        <f t="array" ref="AM205">IF(AM$199=-1,AO205,IF(AM$199=99,AL205,IF(AM$199=0,INDEX($E191:$M191,0,AM$197),(INDEX($E191:$M191,0,AM$199+1)-INDEX($E191:$M191,0,AM$199))/(INDEX($E$185:$M$185,0,AM$199+1)-INDEX($E$185:$M$185,0,AM$199))+AL205)))</f>
        <v>0.12828759619338009</v>
      </c>
      <c r="AN205" s="9" cm="1">
        <f t="array" ref="AN205">IF(AN$199=-1,AP205,IF(AN$199=99,AL205,IF(AN$199=0,INDEX($E191:$M191,0,AN$197),(INDEX($E191:$M191,0,AN$199+1)-INDEX($E191:$M191,0,AN$199))/(INDEX($E$185:$M$185,0,AN$199+1)-INDEX($E$185:$M$185,0,AN$199))+AL205)))</f>
        <v>0.12828759619338009</v>
      </c>
      <c r="AO205" s="9" cm="1">
        <f t="array" ref="AO205">IF(AO$199=-1,AQ205,IF(AO$199=99,AM205,IF(AO$199=0,INDEX($E191:$M191,0,AO$197),(INDEX($E191:$M191,0,AO$199+1)-INDEX($E191:$M191,0,AO$199))/(INDEX($E$185:$M$185,0,AO$199+1)-INDEX($E$185:$M$185,0,AO$199))+AM205)))</f>
        <v>0.12926774166688715</v>
      </c>
      <c r="AP205" s="9" cm="1">
        <f t="array" ref="AP205">IF(AP$199=-1,AR205,IF(AP$199=99,AO205,IF(AP$199=0,INDEX($E191:$M191,0,AP$197),(INDEX($E191:$M191,0,AP$199+1)-INDEX($E191:$M191,0,AP$199))/(INDEX($E$185:$M$185,0,AP$199+1)-INDEX($E$185:$M$185,0,AP$199))+AO205)))</f>
        <v>0.1302478871403942</v>
      </c>
      <c r="AQ205" s="9" cm="1">
        <f t="array" ref="AQ205">IF(AQ$199=-1,AR205,IF(AQ$199=99,AO205,IF(AQ$199=0,INDEX($E191:$M191,0,AQ$197),(INDEX($E191:$M191,0,AQ$199+1)-INDEX($E191:$M191,0,AQ$199))/(INDEX($E$185:$M$185,0,AQ$199+1)-INDEX($E$185:$M$185,0,AQ$199))+AO205)))</f>
        <v>0.1302478871403942</v>
      </c>
      <c r="AR205" s="9" cm="1">
        <f t="array" ref="AR205">IF(AR$199=-1,AS205,IF(AR$199=99,AQ205,IF(AR$199=0,INDEX($E191:$M191,0,AR$197),(INDEX($E191:$M191,0,AR$199+1)-INDEX($E191:$M191,0,AR$199))/(INDEX($E$185:$M$185,0,AR$199+1)-INDEX($E$185:$M$185,0,AR$199))+AQ205)))</f>
        <v>0.13122803261390126</v>
      </c>
      <c r="AS205" s="9" cm="1">
        <f t="array" ref="AS205">IF(AS$199=-1,AT205,IF(AS$199=99,AR205,IF(AS$199=0,INDEX($E191:$M191,0,AS$197),(INDEX($E191:$M191,0,AS$199+1)-INDEX($E191:$M191,0,AS$199))/(INDEX($E$185:$M$185,0,AS$199+1)-INDEX($E$185:$M$185,0,AS$199))+AR205)))</f>
        <v>0.13220817808740831</v>
      </c>
      <c r="AT205" s="9" cm="1">
        <f t="array" ref="AT205">IF(AT$199=-1,AU205,IF(AT$199=99,AS205,IF(AT$199=0,INDEX($E191:$M191,0,AT$197),(INDEX($E191:$M191,0,AT$199+1)-INDEX($E191:$M191,0,AT$199))/(INDEX($E$185:$M$185,0,AT$199+1)-INDEX($E$185:$M$185,0,AT$199))+AS205)))</f>
        <v>0.13318832356091539</v>
      </c>
      <c r="AU205" s="243">
        <f t="shared" si="517"/>
        <v>0.13688495434958595</v>
      </c>
      <c r="AV205" s="9" cm="1">
        <f t="array" ref="AV205">IF(AV$199=-1,AW205,IF(AV$199=99,AU205,IF(AV$199=0,INDEX($E191:$M191,0,AV$197),(INDEX($E191:$M191,0,AV$199+1)-INDEX($E191:$M191,0,AV$199))/(INDEX($E$185:$M$185,0,AV$199+1)-INDEX($E$185:$M$185,0,AV$199))+AU205)))</f>
        <v>0.1405815851382565</v>
      </c>
      <c r="AW205" s="9" cm="1">
        <f t="array" ref="AW205">IF(AW$199=-1,AX205,IF(AW$199=99,AV205,IF(AW$199=0,INDEX($E191:$M191,0,AW$197),(INDEX($E191:$M191,0,AW$199+1)-INDEX($E191:$M191,0,AW$199))/(INDEX($E$185:$M$185,0,AW$199+1)-INDEX($E$185:$M$185,0,AW$199))+AV205)))</f>
        <v>0.14473458090800723</v>
      </c>
      <c r="AX205" s="9" cm="1">
        <f t="array" ref="AX205">IF(AX$199=-1,AY205,IF(AX$199=99,AW205,IF(AX$199=0,INDEX($E191:$M191,0,AX$197),(INDEX($E191:$M191,0,AX$199+1)-INDEX($E191:$M191,0,AX$199))/(INDEX($E$185:$M$185,0,AX$199+1)-INDEX($E$185:$M$185,0,AX$199))+AW205)))</f>
        <v>0.14640680725053476</v>
      </c>
      <c r="AY205" s="9"/>
      <c r="BB205" s="9"/>
      <c r="BC205" s="9"/>
      <c r="BM205" s="9"/>
      <c r="BN205" s="50"/>
    </row>
    <row r="206" spans="5:66" ht="15">
      <c r="E206" t="s">
        <v>16</v>
      </c>
      <c r="F206" s="20" t="str">
        <f t="shared" si="512"/>
        <v/>
      </c>
      <c r="G206" s="48" t="str">
        <f t="shared" si="513"/>
        <v>TPPUMER</v>
      </c>
      <c r="H206" s="21"/>
      <c r="J206" s="21" t="str">
        <f t="shared" si="514"/>
        <v/>
      </c>
      <c r="L206" s="21" t="str">
        <f t="shared" si="514"/>
        <v/>
      </c>
      <c r="M206" s="21" t="str">
        <f t="shared" si="514"/>
        <v/>
      </c>
      <c r="N206" s="20" t="str">
        <f t="shared" si="515"/>
        <v/>
      </c>
      <c r="O206" s="20"/>
      <c r="P206" s="20"/>
      <c r="Q206" s="9">
        <f t="shared" si="516"/>
        <v>8.7048317578401608</v>
      </c>
      <c r="R206" s="9" cm="1">
        <f t="array" ref="R206">IF(R$199=-1,S206,IF(R$199=99,Q206,IF(R$199=0,INDEX($E192:$M192,0,R$197),(INDEX($E192:$M192,0,R$199+1)-INDEX($E192:$M192,0,R$199))/(INDEX($E$185:$M$185,0,R$199+1)-INDEX($E$185:$M$185,0,R$199))+Q206)))</f>
        <v>8.7898700606728966</v>
      </c>
      <c r="S206" s="9" cm="1">
        <f t="array" ref="S206">IF(S$199=-1,T206,IF(S$199=99,R206,IF(S$199=0,INDEX($E192:$M192,0,S$197),(INDEX($E192:$M192,0,S$199+1)-INDEX($E192:$M192,0,S$199))/(INDEX($E$185:$M$185,0,S$199+1)-INDEX($E$185:$M$185,0,S$199))+R206)))</f>
        <v>8.8749083635056305</v>
      </c>
      <c r="T206" s="9" cm="1">
        <f t="array" ref="T206">IF(T$199=-1,W206,IF(T$199=99,S206,IF(T$199=0,INDEX($E192:$M192,0,T$197),(INDEX($E192:$M192,0,T$199+1)-INDEX($E192:$M192,0,T$199))/(INDEX($E$185:$M$185,0,T$199+1)-INDEX($E$185:$M$185,0,T$199))+S206)))</f>
        <v>9.0239745751619225</v>
      </c>
      <c r="U206" s="9" cm="1">
        <f t="array" ref="U206">IF(U$199=-1,W206,IF(U$199=99,S206,IF(U$199=0,INDEX($E192:$M192,0,U$197),(INDEX($E192:$M192,0,U$199+1)-INDEX($E192:$M192,0,U$199))/(INDEX($E$185:$M$185,0,U$199+1)-INDEX($E$185:$M$185,0,U$199))+S206)))</f>
        <v>9.0239745751619225</v>
      </c>
      <c r="V206" s="9" cm="1">
        <f t="array" ref="V206">IF(V$199=-1,W206,IF(V$199=99,S206,IF(V$199=0,INDEX($E192:$M192,0,V$197),(INDEX($E192:$M192,0,V$199+1)-INDEX($E192:$M192,0,V$199))/(INDEX($E$185:$M$185,0,V$199+1)-INDEX($E$185:$M$185,0,V$199))+S206)))</f>
        <v>9.0239745751619225</v>
      </c>
      <c r="W206" s="9" cm="1">
        <f t="array" ref="W206">IF(W$199=-1,X206,IF(W$199=99,T206,IF(W$199=0,INDEX($E192:$M192,0,W$197),(INDEX($E192:$M192,0,W$199+1)-INDEX($E192:$M192,0,W$199))/(INDEX($E$185:$M$185,0,W$199+1)-INDEX($E$185:$M$185,0,W$199))+T206)))</f>
        <v>9.227477905515352</v>
      </c>
      <c r="X206" s="9" cm="1">
        <f t="array" ref="X206">IF(X$199=-1,Y206,IF(X$199=99,W206,IF(X$199=0,INDEX($E192:$M192,0,X$197),(INDEX($E192:$M192,0,X$199+1)-INDEX($E192:$M192,0,X$199))/(INDEX($E$185:$M$185,0,X$199+1)-INDEX($E$185:$M$185,0,X$199))+W206)))</f>
        <v>9.236564034005557</v>
      </c>
      <c r="Y206" s="9" cm="1">
        <f t="array" ref="Y206">IF(Y$199=-1,Z206,IF(Y$199=99,X206,IF(Y$199=0,INDEX($E192:$M192,0,Y$197),(INDEX($E192:$M192,0,Y$199+1)-INDEX($E192:$M192,0,Y$199))/(INDEX($E$185:$M$185,0,Y$199+1)-INDEX($E$185:$M$185,0,Y$199))+X206)))</f>
        <v>9.2456501624957621</v>
      </c>
      <c r="Z206" s="9" cm="1">
        <f t="array" ref="Z206">IF(Z$199=-1,AA206,IF(Z$199=99,Y206,IF(Z$199=0,INDEX($E192:$M192,0,Z$197),(INDEX($E192:$M192,0,Z$199+1)-INDEX($E192:$M192,0,Z$199))/(INDEX($E$185:$M$185,0,Z$199+1)-INDEX($E$185:$M$185,0,Z$199))+Y206)))</f>
        <v>9.2547362909859672</v>
      </c>
      <c r="AA206" s="9" cm="1">
        <f t="array" ref="AA206">IF(AA$199=-1,AB206,IF(AA$199=99,Z206,IF(AA$199=0,INDEX($E192:$M192,0,AA$197),(INDEX($E192:$M192,0,AA$199+1)-INDEX($E192:$M192,0,AA$199))/(INDEX($E$185:$M$185,0,AA$199+1)-INDEX($E$185:$M$185,0,AA$199))+Z206)))</f>
        <v>9.2638224194761722</v>
      </c>
      <c r="AB206" s="9" cm="1">
        <f t="array" ref="AB206">IF(AB$199=-1,AC206,IF(AB$199=99,AA206,IF(AB$199=0,INDEX($E192:$M192,0,AB$197),(INDEX($E192:$M192,0,AB$199+1)-INDEX($E192:$M192,0,AB$199))/(INDEX($E$185:$M$185,0,AB$199+1)-INDEX($E$185:$M$185,0,AB$199))+AA206)))</f>
        <v>9.2729085479663773</v>
      </c>
      <c r="AC206" s="9" cm="1">
        <f t="array" ref="AC206">IF(AC$199=-1,AD206,IF(AC$199=99,AB206,IF(AC$199=0,INDEX($E192:$M192,0,AC$197),(INDEX($E192:$M192,0,AC$199+1)-INDEX($E192:$M192,0,AC$199))/(INDEX($E$185:$M$185,0,AC$199+1)-INDEX($E$185:$M$185,0,AC$199))+AB206)))</f>
        <v>9.2819946764565824</v>
      </c>
      <c r="AD206" s="9" cm="1">
        <f t="array" ref="AD206">IF(AD$199=-1,AE206,IF(AD$199=99,AC206,IF(AD$199=0,INDEX($E192:$M192,0,AD$197),(INDEX($E192:$M192,0,AD$199+1)-INDEX($E192:$M192,0,AD$199))/(INDEX($E$185:$M$185,0,AD$199+1)-INDEX($E$185:$M$185,0,AD$199))+AC206)))</f>
        <v>9.2910808049467875</v>
      </c>
      <c r="AE206" s="9" cm="1">
        <f t="array" ref="AE206">IF(AE$199=-1,AH206,IF(AE$199=99,AD206,IF(AE$199=0,INDEX($E192:$M192,0,AE$197),(INDEX($E192:$M192,0,AE$199+1)-INDEX($E192:$M192,0,AE$199))/(INDEX($E$185:$M$185,0,AE$199+1)-INDEX($E$185:$M$185,0,AE$199))+AD206)))</f>
        <v>9.3001669334369925</v>
      </c>
      <c r="AF206" s="9" cm="1">
        <f t="array" ref="AF206">IF(AF$199=-1,AH206,IF(AF$199=99,AD206,IF(AF$199=0,INDEX($E192:$M192,0,AF$197),(INDEX($E192:$M192,0,AF$199+1)-INDEX($E192:$M192,0,AF$199))/(INDEX($E$185:$M$185,0,AF$199+1)-INDEX($E$185:$M$185,0,AF$199))+AD206)))</f>
        <v>9.3001669334369925</v>
      </c>
      <c r="AG206" s="9" cm="1">
        <f t="array" ref="AG206">IF(AG$199=-1,AH206,IF(AG$199=99,AD206,IF(AG$199=0,INDEX($E192:$M192,0,AG$197),(INDEX($E192:$M192,0,AG$199+1)-INDEX($E192:$M192,0,AG$199))/(INDEX($E$185:$M$185,0,AG$199+1)-INDEX($E$185:$M$185,0,AG$199))+AD206)))</f>
        <v>9.3001669334369925</v>
      </c>
      <c r="AH206" s="9" cm="1">
        <f t="array" ref="AH206">IF(AH$199=-1,AI206,IF(AH$199=99,AE206,IF(AH$199=0,INDEX($E192:$M192,0,AH$197),(INDEX($E192:$M192,0,AH$199+1)-INDEX($E192:$M192,0,AH$199))/(INDEX($E$185:$M$185,0,AH$199+1)-INDEX($E$185:$M$185,0,AH$199))+AE206)))</f>
        <v>9.3092530619272011</v>
      </c>
      <c r="AI206" s="9" cm="1">
        <f t="array" ref="AI206">IF(AI$199=-1,AJ206,IF(AI$199=99,AH206,IF(AI$199=0,INDEX($E192:$M192,0,AI$197),(INDEX($E192:$M192,0,AI$199+1)-INDEX($E192:$M192,0,AI$199))/(INDEX($E$185:$M$185,0,AI$199+1)-INDEX($E$185:$M$185,0,AI$199))+AH206)))</f>
        <v>9.2654534592477358</v>
      </c>
      <c r="AJ206" s="9" cm="1">
        <f t="array" ref="AJ206">IF(AJ$199=-1,AK206,IF(AJ$199=99,AI206,IF(AJ$199=0,INDEX($E192:$M192,0,AJ$197),(INDEX($E192:$M192,0,AJ$199+1)-INDEX($E192:$M192,0,AJ$199))/(INDEX($E$185:$M$185,0,AJ$199+1)-INDEX($E$185:$M$185,0,AJ$199))+AI206)))</f>
        <v>9.2216538565682704</v>
      </c>
      <c r="AK206" s="9" cm="1">
        <f t="array" ref="AK206">IF(AK$199=-1,AL206,IF(AK$199=99,AJ206,IF(AK$199=0,INDEX($E192:$M192,0,AK$197),(INDEX($E192:$M192,0,AK$199+1)-INDEX($E192:$M192,0,AK$199))/(INDEX($E$185:$M$185,0,AK$199+1)-INDEX($E$185:$M$185,0,AK$199))+AJ206)))</f>
        <v>9.177854253888805</v>
      </c>
      <c r="AL206" s="9" cm="1">
        <f t="array" ref="AL206">IF(AL$199=-1,AM206,IF(AL$199=99,AK206,IF(AL$199=0,INDEX($E192:$M192,0,AL$197),(INDEX($E192:$M192,0,AL$199+1)-INDEX($E192:$M192,0,AL$199))/(INDEX($E$185:$M$185,0,AL$199+1)-INDEX($E$185:$M$185,0,AL$199))+AK206)))</f>
        <v>9.1340546512093397</v>
      </c>
      <c r="AM206" s="9" cm="1">
        <f t="array" ref="AM206">IF(AM$199=-1,AO206,IF(AM$199=99,AL206,IF(AM$199=0,INDEX($E192:$M192,0,AM$197),(INDEX($E192:$M192,0,AM$199+1)-INDEX($E192:$M192,0,AM$199))/(INDEX($E$185:$M$185,0,AM$199+1)-INDEX($E$185:$M$185,0,AM$199))+AL206)))</f>
        <v>9.0902550485298743</v>
      </c>
      <c r="AN206" s="9" cm="1">
        <f t="array" ref="AN206">IF(AN$199=-1,AP206,IF(AN$199=99,AL206,IF(AN$199=0,INDEX($E192:$M192,0,AN$197),(INDEX($E192:$M192,0,AN$199+1)-INDEX($E192:$M192,0,AN$199))/(INDEX($E$185:$M$185,0,AN$199+1)-INDEX($E$185:$M$185,0,AN$199))+AL206)))</f>
        <v>9.0902550485298743</v>
      </c>
      <c r="AO206" s="9" cm="1">
        <f t="array" ref="AO206">IF(AO$199=-1,AQ206,IF(AO$199=99,AM206,IF(AO$199=0,INDEX($E192:$M192,0,AO$197),(INDEX($E192:$M192,0,AO$199+1)-INDEX($E192:$M192,0,AO$199))/(INDEX($E$185:$M$185,0,AO$199+1)-INDEX($E$185:$M$185,0,AO$199))+AM206)))</f>
        <v>9.0464554458504089</v>
      </c>
      <c r="AP206" s="9" cm="1">
        <f t="array" ref="AP206">IF(AP$199=-1,AR206,IF(AP$199=99,AO206,IF(AP$199=0,INDEX($E192:$M192,0,AP$197),(INDEX($E192:$M192,0,AP$199+1)-INDEX($E192:$M192,0,AP$199))/(INDEX($E$185:$M$185,0,AP$199+1)-INDEX($E$185:$M$185,0,AP$199))+AO206)))</f>
        <v>9.0026558431709436</v>
      </c>
      <c r="AQ206" s="9" cm="1">
        <f t="array" ref="AQ206">IF(AQ$199=-1,AR206,IF(AQ$199=99,AO206,IF(AQ$199=0,INDEX($E192:$M192,0,AQ$197),(INDEX($E192:$M192,0,AQ$199+1)-INDEX($E192:$M192,0,AQ$199))/(INDEX($E$185:$M$185,0,AQ$199+1)-INDEX($E$185:$M$185,0,AQ$199))+AO206)))</f>
        <v>9.0026558431709436</v>
      </c>
      <c r="AR206" s="9" cm="1">
        <f t="array" ref="AR206">IF(AR$199=-1,AS206,IF(AR$199=99,AQ206,IF(AR$199=0,INDEX($E192:$M192,0,AR$197),(INDEX($E192:$M192,0,AR$199+1)-INDEX($E192:$M192,0,AR$199))/(INDEX($E$185:$M$185,0,AR$199+1)-INDEX($E$185:$M$185,0,AR$199))+AQ206)))</f>
        <v>8.9588562404914782</v>
      </c>
      <c r="AS206" s="9" cm="1">
        <f t="array" ref="AS206">IF(AS$199=-1,AT206,IF(AS$199=99,AR206,IF(AS$199=0,INDEX($E192:$M192,0,AS$197),(INDEX($E192:$M192,0,AS$199+1)-INDEX($E192:$M192,0,AS$199))/(INDEX($E$185:$M$185,0,AS$199+1)-INDEX($E$185:$M$185,0,AS$199))+AR206)))</f>
        <v>8.9150566378120129</v>
      </c>
      <c r="AT206" s="9" cm="1">
        <f t="array" ref="AT206">IF(AT$199=-1,AU206,IF(AT$199=99,AS206,IF(AT$199=0,INDEX($E192:$M192,0,AT$197),(INDEX($E192:$M192,0,AT$199+1)-INDEX($E192:$M192,0,AT$199))/(INDEX($E$185:$M$185,0,AT$199+1)-INDEX($E$185:$M$185,0,AT$199))+AS206)))</f>
        <v>8.8712570351325493</v>
      </c>
      <c r="AU206" s="243">
        <f t="shared" si="517"/>
        <v>8.3959089720529487</v>
      </c>
      <c r="AV206" s="9" cm="1">
        <f t="array" ref="AV206">IF(AV$199=-1,AW206,IF(AV$199=99,AU206,IF(AV$199=0,INDEX($E192:$M192,0,AV$197),(INDEX($E192:$M192,0,AV$199+1)-INDEX($E192:$M192,0,AV$199))/(INDEX($E$185:$M$185,0,AV$199+1)-INDEX($E$185:$M$185,0,AV$199))+AU206)))</f>
        <v>7.9205609089733473</v>
      </c>
      <c r="AW206" s="9" cm="1">
        <f t="array" ref="AW206">IF(AW$199=-1,AX206,IF(AW$199=99,AV206,IF(AW$199=0,INDEX($E192:$M192,0,AW$197),(INDEX($E192:$M192,0,AW$199+1)-INDEX($E192:$M192,0,AW$199))/(INDEX($E$185:$M$185,0,AW$199+1)-INDEX($E$185:$M$185,0,AW$199))+AV206)))</f>
        <v>7.7130446920400964</v>
      </c>
      <c r="AX206" s="9" cm="1">
        <f t="array" ref="AX206">IF(AX$199=-1,AY206,IF(AX$199=99,AW206,IF(AX$199=0,INDEX($E192:$M192,0,AX$197),(INDEX($E192:$M192,0,AX$199+1)-INDEX($E192:$M192,0,AX$199))/(INDEX($E$185:$M$185,0,AX$199+1)-INDEX($E$185:$M$185,0,AX$199))+AW206)))</f>
        <v>7.5885227819274288</v>
      </c>
      <c r="AY206" s="9"/>
      <c r="BB206" s="9"/>
      <c r="BC206" s="9"/>
      <c r="BM206" s="9"/>
      <c r="BN206" s="50"/>
    </row>
    <row r="207" spans="5:66" ht="15">
      <c r="E207" t="s">
        <v>16</v>
      </c>
      <c r="F207" s="20" t="str">
        <f t="shared" si="512"/>
        <v/>
      </c>
      <c r="G207" s="48" t="str">
        <f t="shared" si="513"/>
        <v>TPPUGAT</v>
      </c>
      <c r="H207" s="21"/>
      <c r="J207" s="21" t="str">
        <f t="shared" si="514"/>
        <v/>
      </c>
      <c r="L207" s="21" t="str">
        <f t="shared" si="514"/>
        <v/>
      </c>
      <c r="M207" s="21" t="str">
        <f t="shared" si="514"/>
        <v/>
      </c>
      <c r="N207" s="20" t="str">
        <f t="shared" si="515"/>
        <v/>
      </c>
      <c r="O207" s="20"/>
      <c r="P207" s="20"/>
      <c r="Q207" s="22">
        <f t="shared" si="516"/>
        <v>0.64854136839212595</v>
      </c>
      <c r="R207" s="9" cm="1">
        <f t="array" ref="R207">IF(R$199=-1,S207,IF(R$199=99,Q207,IF(R$199=0,INDEX($E193:$M193,0,R$197),(INDEX($E193:$M193,0,R$199+1)-INDEX($E193:$M193,0,R$199))/(INDEX($E$185:$M$185,0,R$199+1)-INDEX($E$185:$M$185,0,R$199))+Q207)))</f>
        <v>0.67405613843991108</v>
      </c>
      <c r="S207" s="9" cm="1">
        <f t="array" ref="S207">IF(S$199=-1,T207,IF(S$199=99,R207,IF(S$199=0,INDEX($E193:$M193,0,S$197),(INDEX($E193:$M193,0,S$199+1)-INDEX($E193:$M193,0,S$199))/(INDEX($E$185:$M$185,0,S$199+1)-INDEX($E$185:$M$185,0,S$199))+R207)))</f>
        <v>0.6995709084876961</v>
      </c>
      <c r="T207" s="9" cm="1">
        <f t="array" ref="T207">IF(T$199=-1,W207,IF(T$199=99,S207,IF(T$199=0,INDEX($E193:$M193,0,T$197),(INDEX($E193:$M193,0,T$199+1)-INDEX($E193:$M193,0,T$199))/(INDEX($E$185:$M$185,0,T$199+1)-INDEX($E$185:$M$185,0,T$199))+S207)))</f>
        <v>0.64248252977129328</v>
      </c>
      <c r="U207" s="9" cm="1">
        <f t="array" ref="U207">IF(U$199=-1,W207,IF(U$199=99,S207,IF(U$199=0,INDEX($E193:$M193,0,U$197),(INDEX($E193:$M193,0,U$199+1)-INDEX($E193:$M193,0,U$199))/(INDEX($E$185:$M$185,0,U$199+1)-INDEX($E$185:$M$185,0,U$199))+S207)))</f>
        <v>0.64248252977129328</v>
      </c>
      <c r="V207" s="9" cm="1">
        <f t="array" ref="V207">IF(V$199=-1,W207,IF(V$199=99,S207,IF(V$199=0,INDEX($E193:$M193,0,V$197),(INDEX($E193:$M193,0,V$199+1)-INDEX($E193:$M193,0,V$199))/(INDEX($E$185:$M$185,0,V$199+1)-INDEX($E$185:$M$185,0,V$199))+S207)))</f>
        <v>0.64248252977129328</v>
      </c>
      <c r="W207" s="9" cm="1">
        <f t="array" ref="W207">IF(W$199=-1,X207,IF(W$199=99,T207,IF(W$199=0,INDEX($E193:$M193,0,W$197),(INDEX($E193:$M193,0,W$199+1)-INDEX($E193:$M193,0,W$199))/(INDEX($E$185:$M$185,0,W$199+1)-INDEX($E$185:$M$185,0,W$199))+T207)))</f>
        <v>0.63988638610905979</v>
      </c>
      <c r="X207" s="9" cm="1">
        <f t="array" ref="X207">IF(X$199=-1,Y207,IF(X$199=99,W207,IF(X$199=0,INDEX($E193:$M193,0,X$197),(INDEX($E193:$M193,0,X$199+1)-INDEX($E193:$M193,0,X$199))/(INDEX($E$185:$M$185,0,X$199+1)-INDEX($E$185:$M$185,0,X$199))+W207)))</f>
        <v>0.66654414817097207</v>
      </c>
      <c r="Y207" s="9" cm="1">
        <f t="array" ref="Y207">IF(Y$199=-1,Z207,IF(Y$199=99,X207,IF(Y$199=0,INDEX($E193:$M193,0,Y$197),(INDEX($E193:$M193,0,Y$199+1)-INDEX($E193:$M193,0,Y$199))/(INDEX($E$185:$M$185,0,Y$199+1)-INDEX($E$185:$M$185,0,Y$199))+X207)))</f>
        <v>0.69320191023288436</v>
      </c>
      <c r="Z207" s="9" cm="1">
        <f t="array" ref="Z207">IF(Z$199=-1,AA207,IF(Z$199=99,Y207,IF(Z$199=0,INDEX($E193:$M193,0,Z$197),(INDEX($E193:$M193,0,Z$199+1)-INDEX($E193:$M193,0,Z$199))/(INDEX($E$185:$M$185,0,Z$199+1)-INDEX($E$185:$M$185,0,Z$199))+Y207)))</f>
        <v>0.71985967229479664</v>
      </c>
      <c r="AA207" s="9" cm="1">
        <f t="array" ref="AA207">IF(AA$199=-1,AB207,IF(AA$199=99,Z207,IF(AA$199=0,INDEX($E193:$M193,0,AA$197),(INDEX($E193:$M193,0,AA$199+1)-INDEX($E193:$M193,0,AA$199))/(INDEX($E$185:$M$185,0,AA$199+1)-INDEX($E$185:$M$185,0,AA$199))+Z207)))</f>
        <v>0.74651743435670892</v>
      </c>
      <c r="AB207" s="9" cm="1">
        <f t="array" ref="AB207">IF(AB$199=-1,AC207,IF(AB$199=99,AA207,IF(AB$199=0,INDEX($E193:$M193,0,AB$197),(INDEX($E193:$M193,0,AB$199+1)-INDEX($E193:$M193,0,AB$199))/(INDEX($E$185:$M$185,0,AB$199+1)-INDEX($E$185:$M$185,0,AB$199))+AA207)))</f>
        <v>0.7731751964186212</v>
      </c>
      <c r="AC207" s="9" cm="1">
        <f t="array" ref="AC207">IF(AC$199=-1,AD207,IF(AC$199=99,AB207,IF(AC$199=0,INDEX($E193:$M193,0,AC$197),(INDEX($E193:$M193,0,AC$199+1)-INDEX($E193:$M193,0,AC$199))/(INDEX($E$185:$M$185,0,AC$199+1)-INDEX($E$185:$M$185,0,AC$199))+AB207)))</f>
        <v>0.79983295848053348</v>
      </c>
      <c r="AD207" s="9" cm="1">
        <f t="array" ref="AD207">IF(AD$199=-1,AE207,IF(AD$199=99,AC207,IF(AD$199=0,INDEX($E193:$M193,0,AD$197),(INDEX($E193:$M193,0,AD$199+1)-INDEX($E193:$M193,0,AD$199))/(INDEX($E$185:$M$185,0,AD$199+1)-INDEX($E$185:$M$185,0,AD$199))+AC207)))</f>
        <v>0.82649072054244577</v>
      </c>
      <c r="AE207" s="9" cm="1">
        <f t="array" ref="AE207">IF(AE$199=-1,AH207,IF(AE$199=99,AD207,IF(AE$199=0,INDEX($E193:$M193,0,AE$197),(INDEX($E193:$M193,0,AE$199+1)-INDEX($E193:$M193,0,AE$199))/(INDEX($E$185:$M$185,0,AE$199+1)-INDEX($E$185:$M$185,0,AE$199))+AD207)))</f>
        <v>0.85314848260435805</v>
      </c>
      <c r="AF207" s="9" cm="1">
        <f t="array" ref="AF207">IF(AF$199=-1,AH207,IF(AF$199=99,AD207,IF(AF$199=0,INDEX($E193:$M193,0,AF$197),(INDEX($E193:$M193,0,AF$199+1)-INDEX($E193:$M193,0,AF$199))/(INDEX($E$185:$M$185,0,AF$199+1)-INDEX($E$185:$M$185,0,AF$199))+AD207)))</f>
        <v>0.85314848260435805</v>
      </c>
      <c r="AG207" s="9" cm="1">
        <f t="array" ref="AG207">IF(AG$199=-1,AH207,IF(AG$199=99,AD207,IF(AG$199=0,INDEX($E193:$M193,0,AG$197),(INDEX($E193:$M193,0,AG$199+1)-INDEX($E193:$M193,0,AG$199))/(INDEX($E$185:$M$185,0,AG$199+1)-INDEX($E$185:$M$185,0,AG$199))+AD207)))</f>
        <v>0.85314848260435805</v>
      </c>
      <c r="AH207" s="9" cm="1">
        <f t="array" ref="AH207">IF(AH$199=-1,AI207,IF(AH$199=99,AE207,IF(AH$199=0,INDEX($E193:$M193,0,AH$197),(INDEX($E193:$M193,0,AH$199+1)-INDEX($E193:$M193,0,AH$199))/(INDEX($E$185:$M$185,0,AH$199+1)-INDEX($E$185:$M$185,0,AH$199))+AE207)))</f>
        <v>0.87980624466627066</v>
      </c>
      <c r="AI207" s="9" cm="1">
        <f t="array" ref="AI207">IF(AI$199=-1,AJ207,IF(AI$199=99,AH207,IF(AI$199=0,INDEX($E193:$M193,0,AI$197),(INDEX($E193:$M193,0,AI$199+1)-INDEX($E193:$M193,0,AI$199))/(INDEX($E$185:$M$185,0,AI$199+1)-INDEX($E$185:$M$185,0,AI$199))+AH207)))</f>
        <v>0.90855749904863325</v>
      </c>
      <c r="AJ207" s="9" cm="1">
        <f t="array" ref="AJ207">IF(AJ$199=-1,AK207,IF(AJ$199=99,AI207,IF(AJ$199=0,INDEX($E193:$M193,0,AJ$197),(INDEX($E193:$M193,0,AJ$199+1)-INDEX($E193:$M193,0,AJ$199))/(INDEX($E$185:$M$185,0,AJ$199+1)-INDEX($E$185:$M$185,0,AJ$199))+AI207)))</f>
        <v>0.93730875343099584</v>
      </c>
      <c r="AK207" s="9" cm="1">
        <f t="array" ref="AK207">IF(AK$199=-1,AL207,IF(AK$199=99,AJ207,IF(AK$199=0,INDEX($E193:$M193,0,AK$197),(INDEX($E193:$M193,0,AK$199+1)-INDEX($E193:$M193,0,AK$199))/(INDEX($E$185:$M$185,0,AK$199+1)-INDEX($E$185:$M$185,0,AK$199))+AJ207)))</f>
        <v>0.96606000781335843</v>
      </c>
      <c r="AL207" s="9" cm="1">
        <f t="array" ref="AL207">IF(AL$199=-1,AM207,IF(AL$199=99,AK207,IF(AL$199=0,INDEX($E193:$M193,0,AL$197),(INDEX($E193:$M193,0,AL$199+1)-INDEX($E193:$M193,0,AL$199))/(INDEX($E$185:$M$185,0,AL$199+1)-INDEX($E$185:$M$185,0,AL$199))+AK207)))</f>
        <v>0.99481126219572102</v>
      </c>
      <c r="AM207" s="9" cm="1">
        <f t="array" ref="AM207">IF(AM$199=-1,AO207,IF(AM$199=99,AL207,IF(AM$199=0,INDEX($E193:$M193,0,AM$197),(INDEX($E193:$M193,0,AM$199+1)-INDEX($E193:$M193,0,AM$199))/(INDEX($E$185:$M$185,0,AM$199+1)-INDEX($E$185:$M$185,0,AM$199))+AL207)))</f>
        <v>1.0235625165780837</v>
      </c>
      <c r="AN207" s="9" cm="1">
        <f t="array" ref="AN207">IF(AN$199=-1,AP207,IF(AN$199=99,AL207,IF(AN$199=0,INDEX($E193:$M193,0,AN$197),(INDEX($E193:$M193,0,AN$199+1)-INDEX($E193:$M193,0,AN$199))/(INDEX($E$185:$M$185,0,AN$199+1)-INDEX($E$185:$M$185,0,AN$199))+AL207)))</f>
        <v>1.0235625165780837</v>
      </c>
      <c r="AO207" s="9" cm="1">
        <f t="array" ref="AO207">IF(AO$199=-1,AQ207,IF(AO$199=99,AM207,IF(AO$199=0,INDEX($E193:$M193,0,AO$197),(INDEX($E193:$M193,0,AO$199+1)-INDEX($E193:$M193,0,AO$199))/(INDEX($E$185:$M$185,0,AO$199+1)-INDEX($E$185:$M$185,0,AO$199))+AM207)))</f>
        <v>1.0523137709604464</v>
      </c>
      <c r="AP207" s="9" cm="1">
        <f t="array" ref="AP207">IF(AP$199=-1,AR207,IF(AP$199=99,AO207,IF(AP$199=0,INDEX($E193:$M193,0,AP$197),(INDEX($E193:$M193,0,AP$199+1)-INDEX($E193:$M193,0,AP$199))/(INDEX($E$185:$M$185,0,AP$199+1)-INDEX($E$185:$M$185,0,AP$199))+AO207)))</f>
        <v>1.0810650253428091</v>
      </c>
      <c r="AQ207" s="9" cm="1">
        <f t="array" ref="AQ207">IF(AQ$199=-1,AR207,IF(AQ$199=99,AO207,IF(AQ$199=0,INDEX($E193:$M193,0,AQ$197),(INDEX($E193:$M193,0,AQ$199+1)-INDEX($E193:$M193,0,AQ$199))/(INDEX($E$185:$M$185,0,AQ$199+1)-INDEX($E$185:$M$185,0,AQ$199))+AO207)))</f>
        <v>1.0810650253428091</v>
      </c>
      <c r="AR207" s="9" cm="1">
        <f t="array" ref="AR207">IF(AR$199=-1,AS207,IF(AR$199=99,AQ207,IF(AR$199=0,INDEX($E193:$M193,0,AR$197),(INDEX($E193:$M193,0,AR$199+1)-INDEX($E193:$M193,0,AR$199))/(INDEX($E$185:$M$185,0,AR$199+1)-INDEX($E$185:$M$185,0,AR$199))+AQ207)))</f>
        <v>1.1098162797251718</v>
      </c>
      <c r="AS207" s="9" cm="1">
        <f t="array" ref="AS207">IF(AS$199=-1,AT207,IF(AS$199=99,AR207,IF(AS$199=0,INDEX($E193:$M193,0,AS$197),(INDEX($E193:$M193,0,AS$199+1)-INDEX($E193:$M193,0,AS$199))/(INDEX($E$185:$M$185,0,AS$199+1)-INDEX($E$185:$M$185,0,AS$199))+AR207)))</f>
        <v>1.1385675341075345</v>
      </c>
      <c r="AT207" s="9" cm="1">
        <f t="array" ref="AT207">IF(AT$199=-1,AU207,IF(AT$199=99,AS207,IF(AT$199=0,INDEX($E193:$M193,0,AT$197),(INDEX($E193:$M193,0,AT$199+1)-INDEX($E193:$M193,0,AT$199))/(INDEX($E$185:$M$185,0,AT$199+1)-INDEX($E$185:$M$185,0,AT$199))+AS207)))</f>
        <v>1.1673187884898968</v>
      </c>
      <c r="AU207" s="243">
        <f t="shared" si="517"/>
        <v>1.2707834125207516</v>
      </c>
      <c r="AV207" s="9" cm="1">
        <f t="array" ref="AV207">IF(AV$199=-1,AW207,IF(AV$199=99,AU207,IF(AV$199=0,INDEX($E193:$M193,0,AV$197),(INDEX($E193:$M193,0,AV$199+1)-INDEX($E193:$M193,0,AV$199))/(INDEX($E$185:$M$185,0,AV$199+1)-INDEX($E$185:$M$185,0,AV$199))+AU207)))</f>
        <v>1.3742480365516063</v>
      </c>
      <c r="AW207" s="9" cm="1">
        <f t="array" ref="AW207">IF(AW$199=-1,AX207,IF(AW$199=99,AV207,IF(AW$199=0,INDEX($E193:$M193,0,AW$197),(INDEX($E193:$M193,0,AW$199+1)-INDEX($E193:$M193,0,AW$199))/(INDEX($E$185:$M$185,0,AW$199+1)-INDEX($E$185:$M$185,0,AW$199))+AV207)))</f>
        <v>1.5073494303226469</v>
      </c>
      <c r="AX207" s="9" cm="1">
        <f t="array" ref="AX207">IF(AX$199=-1,AY207,IF(AX$199=99,AW207,IF(AX$199=0,INDEX($E193:$M193,0,AX$197),(INDEX($E193:$M193,0,AX$199+1)-INDEX($E193:$M193,0,AX$199))/(INDEX($E$185:$M$185,0,AX$199+1)-INDEX($E$185:$M$185,0,AX$199))+AW207)))</f>
        <v>1.5904246596034544</v>
      </c>
      <c r="AY207" s="9"/>
      <c r="BB207" s="9"/>
      <c r="BC207" s="9"/>
      <c r="BM207" s="9"/>
      <c r="BN207" s="50"/>
    </row>
    <row r="208" spans="5:16" ht="15">
      <c r="E208" t="s">
        <v>16</v>
      </c>
      <c r="J208"/>
      <c r="K208" s="9"/>
      <c r="L208" s="9"/>
      <c r="M208" s="9"/>
      <c r="P208" s="9"/>
    </row>
    <row r="209" spans="5:18" ht="23.25">
      <c r="E209" t="s">
        <v>16</v>
      </c>
      <c r="F209" s="16" t="s">
        <v>19</v>
      </c>
      <c r="G209" s="16" t="s">
        <v>22</v>
      </c>
      <c r="H209" s="16" t="s">
        <v>23</v>
      </c>
      <c r="I209" s="16" t="s">
        <v>24</v>
      </c>
      <c r="J209" s="16" t="s">
        <v>594</v>
      </c>
      <c r="K209" s="16" t="s">
        <v>623</v>
      </c>
      <c r="L209" s="16" t="s">
        <v>624</v>
      </c>
      <c r="M209" s="17" t="s">
        <v>25</v>
      </c>
      <c r="N209" s="9"/>
      <c r="R209" s="198"/>
    </row>
    <row r="210" spans="5:18" ht="15">
      <c r="E210" s="101" t="s">
        <v>16</v>
      </c>
      <c r="F210" s="102">
        <v>1</v>
      </c>
      <c r="G210" s="102">
        <v>2017</v>
      </c>
      <c r="H210" s="102">
        <v>2019</v>
      </c>
      <c r="I210" s="102">
        <v>2020</v>
      </c>
      <c r="J210" s="102">
        <v>2021</v>
      </c>
      <c r="K210" s="102">
        <v>2030</v>
      </c>
      <c r="L210" s="102">
        <v>2040</v>
      </c>
      <c r="M210" s="107">
        <v>2050</v>
      </c>
      <c r="N210" s="9">
        <v>2060</v>
      </c>
      <c r="O210">
        <v>2070</v>
      </c>
      <c r="R210" s="198"/>
    </row>
    <row r="211" spans="5:18" ht="15">
      <c r="E211" s="36"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8"/>
    </row>
    <row r="212" spans="5:18" ht="15">
      <c r="E212" s="36" t="s">
        <v>16</v>
      </c>
      <c r="F212">
        <v>-1</v>
      </c>
      <c r="G212">
        <v>0</v>
      </c>
      <c r="H212">
        <v>1</v>
      </c>
      <c r="I212">
        <v>2</v>
      </c>
      <c r="J212">
        <v>3</v>
      </c>
      <c r="K212">
        <v>4</v>
      </c>
      <c r="L212">
        <v>5</v>
      </c>
      <c r="M212">
        <v>6</v>
      </c>
      <c r="N212">
        <v>7</v>
      </c>
      <c r="O212">
        <v>8</v>
      </c>
      <c r="R212" s="198"/>
    </row>
    <row r="213" spans="5:13" ht="15">
      <c r="E213" s="103" t="s">
        <v>16</v>
      </c>
      <c r="F213" s="104"/>
      <c r="G213" s="104"/>
      <c r="H213" s="104"/>
      <c r="I213" s="104"/>
      <c r="J213" s="104"/>
      <c r="K213" s="104"/>
      <c r="L213" s="104"/>
      <c r="M213" s="104"/>
    </row>
    <row r="214" spans="5:63" ht="15">
      <c r="E214" s="103" t="s">
        <v>16</v>
      </c>
      <c r="J214"/>
      <c r="N214" s="18">
        <v>2017</v>
      </c>
      <c r="O214" s="18">
        <f t="shared" si="518" ref="O214:AP214">1+N214</f>
        <v>2018</v>
      </c>
      <c r="P214" s="18">
        <f t="shared" si="518"/>
        <v>2019</v>
      </c>
      <c r="Q214" s="18">
        <f t="shared" si="518"/>
        <v>2020</v>
      </c>
      <c r="R214" s="18">
        <f t="shared" si="518"/>
        <v>2021</v>
      </c>
      <c r="S214" s="18">
        <f t="shared" si="518"/>
        <v>2022</v>
      </c>
      <c r="T214" s="18">
        <f t="shared" si="518"/>
        <v>2023</v>
      </c>
      <c r="U214" s="18">
        <f>1+S214</f>
        <v>2023</v>
      </c>
      <c r="V214" s="18">
        <f>1+S214</f>
        <v>2023</v>
      </c>
      <c r="W214" s="18">
        <f>1+T214</f>
        <v>2024</v>
      </c>
      <c r="X214" s="18">
        <f t="shared" si="518"/>
        <v>2025</v>
      </c>
      <c r="Y214" s="18">
        <f t="shared" si="518"/>
        <v>2026</v>
      </c>
      <c r="Z214" s="18">
        <f t="shared" si="518"/>
        <v>2027</v>
      </c>
      <c r="AA214" s="18">
        <f t="shared" si="518"/>
        <v>2028</v>
      </c>
      <c r="AB214" s="18">
        <f t="shared" si="518"/>
        <v>2029</v>
      </c>
      <c r="AC214" s="18">
        <f t="shared" si="518"/>
        <v>2030</v>
      </c>
      <c r="AD214" s="18">
        <f t="shared" si="518"/>
        <v>2031</v>
      </c>
      <c r="AE214" s="18">
        <f t="shared" si="518"/>
        <v>2032</v>
      </c>
      <c r="AF214" s="18">
        <f>1+AD214</f>
        <v>2032</v>
      </c>
      <c r="AG214" s="18">
        <f>1+AD214</f>
        <v>2032</v>
      </c>
      <c r="AH214" s="18">
        <f>1+AE214</f>
        <v>2033</v>
      </c>
      <c r="AI214" s="18">
        <f t="shared" si="518"/>
        <v>2034</v>
      </c>
      <c r="AJ214" s="18">
        <f t="shared" si="518"/>
        <v>2035</v>
      </c>
      <c r="AK214" s="18">
        <f t="shared" si="518"/>
        <v>2036</v>
      </c>
      <c r="AL214" s="18">
        <f t="shared" si="518"/>
        <v>2037</v>
      </c>
      <c r="AM214" s="18">
        <f t="shared" si="518"/>
        <v>2038</v>
      </c>
      <c r="AN214" s="18">
        <f>1+AL214</f>
        <v>2038</v>
      </c>
      <c r="AO214" s="18">
        <f>1+AM214</f>
        <v>2039</v>
      </c>
      <c r="AP214" s="18">
        <f t="shared" si="518"/>
        <v>2040</v>
      </c>
      <c r="AQ214" s="18">
        <f>1+AO214</f>
        <v>2040</v>
      </c>
      <c r="AR214" s="18">
        <v>2045</v>
      </c>
      <c r="AS214" s="18">
        <v>2050</v>
      </c>
      <c r="AT214" s="18">
        <v>2060</v>
      </c>
      <c r="AU214" s="18">
        <v>2070</v>
      </c>
      <c r="AV214" s="18"/>
      <c r="AY214" s="18"/>
      <c r="AZ214" s="18"/>
      <c r="BJ214" s="18"/>
      <c r="BK214" s="18"/>
    </row>
    <row r="215" spans="1:62" s="102" customFormat="1" ht="15">
      <c r="A215"/>
      <c r="B215"/>
      <c r="C215"/>
      <c r="D215"/>
      <c r="E215" s="103" t="s">
        <v>16</v>
      </c>
      <c r="N215" s="102">
        <f t="shared" si="519" ref="N215:AS215">MATCH(N$214,$G$210:$M$210,$F210)</f>
        <v>1</v>
      </c>
      <c r="O215" s="102">
        <f t="shared" si="519"/>
        <v>1</v>
      </c>
      <c r="P215" s="102">
        <f t="shared" si="519"/>
        <v>2</v>
      </c>
      <c r="Q215" s="102">
        <f t="shared" si="519"/>
        <v>3</v>
      </c>
      <c r="R215" s="102">
        <f t="shared" si="519"/>
        <v>4</v>
      </c>
      <c r="S215" s="102">
        <f t="shared" si="519"/>
        <v>4</v>
      </c>
      <c r="T215" s="102">
        <f t="shared" si="519"/>
        <v>4</v>
      </c>
      <c r="U215" s="102">
        <f t="shared" si="519"/>
        <v>4</v>
      </c>
      <c r="V215" s="102">
        <f t="shared" si="519"/>
        <v>4</v>
      </c>
      <c r="W215" s="102">
        <f t="shared" si="519"/>
        <v>4</v>
      </c>
      <c r="X215" s="102">
        <f t="shared" si="519"/>
        <v>4</v>
      </c>
      <c r="Y215" s="102">
        <f t="shared" si="519"/>
        <v>4</v>
      </c>
      <c r="Z215" s="102">
        <f t="shared" si="519"/>
        <v>4</v>
      </c>
      <c r="AA215" s="102">
        <f t="shared" si="519"/>
        <v>4</v>
      </c>
      <c r="AB215" s="102">
        <f t="shared" si="519"/>
        <v>4</v>
      </c>
      <c r="AC215" s="102">
        <f t="shared" si="519"/>
        <v>5</v>
      </c>
      <c r="AD215" s="102">
        <f t="shared" si="519"/>
        <v>5</v>
      </c>
      <c r="AE215" s="102">
        <f t="shared" si="519"/>
        <v>5</v>
      </c>
      <c r="AF215" s="102">
        <f t="shared" si="519"/>
        <v>5</v>
      </c>
      <c r="AG215" s="102">
        <f t="shared" si="519"/>
        <v>5</v>
      </c>
      <c r="AH215" s="102">
        <f t="shared" si="519"/>
        <v>5</v>
      </c>
      <c r="AI215" s="102">
        <f t="shared" si="519"/>
        <v>5</v>
      </c>
      <c r="AJ215" s="102">
        <f t="shared" si="519"/>
        <v>5</v>
      </c>
      <c r="AK215" s="102">
        <f t="shared" si="519"/>
        <v>5</v>
      </c>
      <c r="AL215" s="102">
        <f t="shared" si="519"/>
        <v>5</v>
      </c>
      <c r="AM215" s="102">
        <f t="shared" si="519"/>
        <v>5</v>
      </c>
      <c r="AN215" s="102">
        <f t="shared" si="519"/>
        <v>5</v>
      </c>
      <c r="AO215" s="102">
        <f t="shared" si="519"/>
        <v>5</v>
      </c>
      <c r="AP215" s="102">
        <f t="shared" si="519"/>
        <v>6</v>
      </c>
      <c r="AQ215" s="102">
        <f t="shared" si="519"/>
        <v>6</v>
      </c>
      <c r="AR215" s="102">
        <f t="shared" si="519"/>
        <v>6</v>
      </c>
      <c r="AS215" s="102">
        <f t="shared" si="519"/>
        <v>7</v>
      </c>
      <c r="AT215" s="102">
        <f>MATCH(AT$214,$G$210:$O$210,$F210)</f>
        <v>8</v>
      </c>
      <c r="AU215" s="102">
        <f>MATCH(AU$214,$G$210:$O$210,$F210)</f>
        <v>9</v>
      </c>
      <c r="BJ215" s="101"/>
    </row>
    <row r="216" spans="5:62" ht="15">
      <c r="E216" s="103" t="s">
        <v>16</v>
      </c>
      <c r="J216"/>
      <c r="N216">
        <f t="shared" si="520" ref="N216:AS216">MATCH(N$214,$G$210:$M$210,$F211)</f>
        <v>1</v>
      </c>
      <c r="O216" t="e">
        <f t="shared" si="520"/>
        <v>#N/A</v>
      </c>
      <c r="P216">
        <f t="shared" si="520"/>
        <v>2</v>
      </c>
      <c r="Q216">
        <f t="shared" si="520"/>
        <v>3</v>
      </c>
      <c r="R216">
        <f t="shared" si="520"/>
        <v>4</v>
      </c>
      <c r="S216" t="e">
        <f t="shared" si="520"/>
        <v>#N/A</v>
      </c>
      <c r="T216" t="e">
        <f t="shared" si="520"/>
        <v>#N/A</v>
      </c>
      <c r="U216" t="e">
        <f t="shared" si="520"/>
        <v>#N/A</v>
      </c>
      <c r="V216" t="e">
        <f t="shared" si="520"/>
        <v>#N/A</v>
      </c>
      <c r="W216" t="e">
        <f t="shared" si="520"/>
        <v>#N/A</v>
      </c>
      <c r="X216" t="e">
        <f t="shared" si="520"/>
        <v>#N/A</v>
      </c>
      <c r="Y216" t="e">
        <f t="shared" si="520"/>
        <v>#N/A</v>
      </c>
      <c r="Z216" t="e">
        <f t="shared" si="520"/>
        <v>#N/A</v>
      </c>
      <c r="AA216" t="e">
        <f t="shared" si="520"/>
        <v>#N/A</v>
      </c>
      <c r="AB216" t="e">
        <f t="shared" si="520"/>
        <v>#N/A</v>
      </c>
      <c r="AC216">
        <f t="shared" si="520"/>
        <v>5</v>
      </c>
      <c r="AD216" t="e">
        <f t="shared" si="520"/>
        <v>#N/A</v>
      </c>
      <c r="AE216" t="e">
        <f t="shared" si="520"/>
        <v>#N/A</v>
      </c>
      <c r="AF216" t="e">
        <f t="shared" si="520"/>
        <v>#N/A</v>
      </c>
      <c r="AG216" t="e">
        <f t="shared" si="520"/>
        <v>#N/A</v>
      </c>
      <c r="AH216" t="e">
        <f t="shared" si="520"/>
        <v>#N/A</v>
      </c>
      <c r="AI216" t="e">
        <f t="shared" si="520"/>
        <v>#N/A</v>
      </c>
      <c r="AJ216" t="e">
        <f t="shared" si="520"/>
        <v>#N/A</v>
      </c>
      <c r="AK216" t="e">
        <f t="shared" si="520"/>
        <v>#N/A</v>
      </c>
      <c r="AL216" t="e">
        <f t="shared" si="520"/>
        <v>#N/A</v>
      </c>
      <c r="AM216" t="e">
        <f t="shared" si="520"/>
        <v>#N/A</v>
      </c>
      <c r="AN216" t="e">
        <f t="shared" si="520"/>
        <v>#N/A</v>
      </c>
      <c r="AO216" t="e">
        <f t="shared" si="520"/>
        <v>#N/A</v>
      </c>
      <c r="AP216">
        <f t="shared" si="520"/>
        <v>6</v>
      </c>
      <c r="AQ216">
        <f t="shared" si="520"/>
        <v>6</v>
      </c>
      <c r="AR216" t="e">
        <f t="shared" si="520"/>
        <v>#N/A</v>
      </c>
      <c r="AS216">
        <f t="shared" si="520"/>
        <v>7</v>
      </c>
      <c r="AT216">
        <f>MATCH(AT$214,$G$210:$O$210,$F211)</f>
        <v>8</v>
      </c>
      <c r="AU216">
        <f>MATCH(AU$214,$G$210:$O$210,$F211)</f>
        <v>9</v>
      </c>
      <c r="BJ216" s="36"/>
    </row>
    <row r="217" spans="5:47" ht="15">
      <c r="E217" s="103" t="s">
        <v>16</v>
      </c>
      <c r="J217"/>
      <c r="N217">
        <f t="shared" si="521" ref="N217:AS217">MATCH(N$214,$G$211:$M$211,$F212)</f>
        <v>7</v>
      </c>
      <c r="O217">
        <f t="shared" si="521"/>
        <v>7</v>
      </c>
      <c r="P217">
        <f t="shared" si="521"/>
        <v>7</v>
      </c>
      <c r="Q217">
        <f t="shared" si="521"/>
        <v>7</v>
      </c>
      <c r="R217">
        <f t="shared" si="521"/>
        <v>6</v>
      </c>
      <c r="S217">
        <f t="shared" si="521"/>
        <v>5</v>
      </c>
      <c r="T217">
        <f t="shared" si="521"/>
        <v>5</v>
      </c>
      <c r="U217">
        <f t="shared" si="521"/>
        <v>5</v>
      </c>
      <c r="V217">
        <f t="shared" si="521"/>
        <v>5</v>
      </c>
      <c r="W217">
        <f t="shared" si="521"/>
        <v>5</v>
      </c>
      <c r="X217">
        <f t="shared" si="521"/>
        <v>5</v>
      </c>
      <c r="Y217">
        <f t="shared" si="521"/>
        <v>5</v>
      </c>
      <c r="Z217">
        <f t="shared" si="521"/>
        <v>5</v>
      </c>
      <c r="AA217">
        <f t="shared" si="521"/>
        <v>5</v>
      </c>
      <c r="AB217">
        <f t="shared" si="521"/>
        <v>5</v>
      </c>
      <c r="AC217">
        <f t="shared" si="521"/>
        <v>5</v>
      </c>
      <c r="AD217">
        <f t="shared" si="521"/>
        <v>4</v>
      </c>
      <c r="AE217">
        <f t="shared" si="521"/>
        <v>4</v>
      </c>
      <c r="AF217">
        <f t="shared" si="521"/>
        <v>4</v>
      </c>
      <c r="AG217">
        <f t="shared" si="521"/>
        <v>4</v>
      </c>
      <c r="AH217">
        <f t="shared" si="521"/>
        <v>4</v>
      </c>
      <c r="AI217">
        <f t="shared" si="521"/>
        <v>4</v>
      </c>
      <c r="AJ217">
        <f t="shared" si="521"/>
        <v>4</v>
      </c>
      <c r="AK217">
        <f t="shared" si="521"/>
        <v>4</v>
      </c>
      <c r="AL217">
        <f t="shared" si="521"/>
        <v>4</v>
      </c>
      <c r="AM217">
        <f t="shared" si="521"/>
        <v>4</v>
      </c>
      <c r="AN217">
        <f t="shared" si="521"/>
        <v>4</v>
      </c>
      <c r="AO217">
        <f t="shared" si="521"/>
        <v>4</v>
      </c>
      <c r="AP217">
        <f t="shared" si="521"/>
        <v>4</v>
      </c>
      <c r="AQ217">
        <f t="shared" si="521"/>
        <v>4</v>
      </c>
      <c r="AR217">
        <f t="shared" si="521"/>
        <v>3</v>
      </c>
      <c r="AS217">
        <f t="shared" si="521"/>
        <v>3</v>
      </c>
      <c r="AT217">
        <f>MATCH(AT$214,$G$211:$O$211,$F212)</f>
        <v>2</v>
      </c>
      <c r="AU217">
        <f>MATCH(AU$214,$G$211:$O$211,$F212)</f>
        <v>1</v>
      </c>
    </row>
    <row r="218" spans="5:63" s="104" customFormat="1" ht="15">
      <c r="E218" s="103" t="s">
        <v>16</v>
      </c>
      <c r="N218" s="71">
        <f t="shared" si="522" ref="N218:AU218">IF(ISNA(N215),-1,IF(ISNA(N217),99,IF(ISNA(N216),N215,0)))</f>
        <v>0</v>
      </c>
      <c r="O218" s="71">
        <f t="shared" si="522"/>
        <v>1</v>
      </c>
      <c r="P218" s="71">
        <f t="shared" si="522"/>
        <v>0</v>
      </c>
      <c r="Q218" s="71">
        <f t="shared" si="522"/>
        <v>0</v>
      </c>
      <c r="R218" s="71">
        <f t="shared" si="522"/>
        <v>0</v>
      </c>
      <c r="S218" s="71">
        <f t="shared" si="522"/>
        <v>4</v>
      </c>
      <c r="T218" s="71">
        <f t="shared" si="522"/>
        <v>4</v>
      </c>
      <c r="U218" s="71">
        <f t="shared" si="523" ref="U218:V218">IF(ISNA(U215),-1,IF(ISNA(U217),99,IF(ISNA(U216),U215,0)))</f>
        <v>4</v>
      </c>
      <c r="V218" s="71">
        <f t="shared" si="523"/>
        <v>4</v>
      </c>
      <c r="W218" s="71">
        <f t="shared" si="522"/>
        <v>4</v>
      </c>
      <c r="X218" s="71">
        <f t="shared" si="522"/>
        <v>4</v>
      </c>
      <c r="Y218" s="71">
        <f t="shared" si="522"/>
        <v>4</v>
      </c>
      <c r="Z218" s="71">
        <f t="shared" si="522"/>
        <v>4</v>
      </c>
      <c r="AA218" s="71">
        <f t="shared" si="522"/>
        <v>4</v>
      </c>
      <c r="AB218" s="71">
        <f t="shared" si="522"/>
        <v>4</v>
      </c>
      <c r="AC218" s="71">
        <f t="shared" si="522"/>
        <v>0</v>
      </c>
      <c r="AD218" s="71">
        <f t="shared" si="522"/>
        <v>5</v>
      </c>
      <c r="AE218" s="71">
        <f t="shared" si="522"/>
        <v>5</v>
      </c>
      <c r="AF218" s="71">
        <f t="shared" si="524" ref="AF218:AG218">IF(ISNA(AF215),-1,IF(ISNA(AF217),99,IF(ISNA(AF216),AF215,0)))</f>
        <v>5</v>
      </c>
      <c r="AG218" s="71">
        <f t="shared" si="524"/>
        <v>5</v>
      </c>
      <c r="AH218" s="71">
        <f t="shared" si="522"/>
        <v>5</v>
      </c>
      <c r="AI218" s="71">
        <f t="shared" si="522"/>
        <v>5</v>
      </c>
      <c r="AJ218" s="71">
        <f t="shared" si="522"/>
        <v>5</v>
      </c>
      <c r="AK218" s="71">
        <f t="shared" si="522"/>
        <v>5</v>
      </c>
      <c r="AL218" s="71">
        <f t="shared" si="522"/>
        <v>5</v>
      </c>
      <c r="AM218" s="71">
        <f t="shared" si="522"/>
        <v>5</v>
      </c>
      <c r="AN218" s="71">
        <f t="shared" si="525" ref="AN218">IF(ISNA(AN215),-1,IF(ISNA(AN217),99,IF(ISNA(AN216),AN215,0)))</f>
        <v>5</v>
      </c>
      <c r="AO218" s="71">
        <f t="shared" si="522"/>
        <v>5</v>
      </c>
      <c r="AP218" s="71">
        <f t="shared" si="526" ref="AP218">IF(ISNA(AP215),-1,IF(ISNA(AP217),99,IF(ISNA(AP216),AP215,0)))</f>
        <v>0</v>
      </c>
      <c r="AQ218" s="71">
        <f t="shared" si="522"/>
        <v>0</v>
      </c>
      <c r="AR218" s="71">
        <f t="shared" si="522"/>
        <v>6</v>
      </c>
      <c r="AS218" s="71">
        <f t="shared" si="522"/>
        <v>0</v>
      </c>
      <c r="AT218" s="71">
        <f t="shared" si="522"/>
        <v>0</v>
      </c>
      <c r="AU218" s="71">
        <f t="shared" si="522"/>
        <v>0</v>
      </c>
      <c r="AV218" s="71"/>
      <c r="AY218" s="71"/>
      <c r="AZ218" s="71"/>
      <c r="BJ218" s="71"/>
      <c r="BK218" s="71"/>
    </row>
    <row r="219" spans="6:63" ht="15">
      <c r="F219" s="20" t="str">
        <f t="shared" si="527" ref="F219:F226">IF(E219="*","","COM_PROJ")</f>
        <v>COM_PROJ</v>
      </c>
      <c r="G219" s="21" t="str">
        <f t="shared" si="528" ref="G219:G226">IF($E219="*","","-")</f>
        <v>-</v>
      </c>
      <c r="H219" s="48" t="str">
        <f t="shared" si="529" ref="H219:H226">B186</f>
        <v>TPPRCAR</v>
      </c>
      <c r="I219" s="21" t="str">
        <f t="shared" si="530" ref="I219:L226">IF($E219="*","","-")</f>
        <v>-</v>
      </c>
      <c r="J219" s="21" t="str">
        <f t="shared" si="530"/>
        <v>-</v>
      </c>
      <c r="K219" s="21" t="str">
        <f t="shared" si="530"/>
        <v>-</v>
      </c>
      <c r="L219" s="21" t="str">
        <f t="shared" si="530"/>
        <v>-</v>
      </c>
      <c r="M219" s="20">
        <f t="shared" si="531" ref="M219:M226">IF(E219="*","",0)</f>
        <v>0</v>
      </c>
      <c r="N219" s="9" cm="1">
        <f t="array" ref="N219">IF(N$218=-1,O219,IF(N$218=99,#REF!,IF(N$218=0,INDEX($E186:$M186,0,N$216),(INDEX($E186:$M186,0,N$218+1)-INDEX($E186:$M186,0,N$218))/(INDEX($E$185:$M$185,0,N$218+1)-INDEX($E$185:$M$185,0,N$218))+#REF!)))</f>
        <v>81.1386031348502</v>
      </c>
      <c r="O219" s="9" cm="1">
        <f t="array" ref="O219">IF(O$218=-1,P219,IF(O$218=99,N219,IF(O$218=0,INDEX($E186:$M186,0,O$216),(INDEX($E186:$M186,0,O$218+1)-INDEX($E186:$M186,0,O$218))/(INDEX($E$185:$M$185,0,O$218+1)-INDEX($E$185:$M$185,0,O$218))+N219)))</f>
        <v>82.877544068846106</v>
      </c>
      <c r="P219" s="9" cm="1">
        <f t="array" ref="P219">IF(P$218=-1,Q219,IF(P$218=99,O219,IF(P$218=0,INDEX($E186:$M186,0,P$216),(INDEX($E186:$M186,0,P$218+1)-INDEX($E186:$M186,0,P$218))/(INDEX($E$185:$M$185,0,P$218+1)-INDEX($E$185:$M$185,0,P$218))+O219)))</f>
        <v>84.616485002842012</v>
      </c>
      <c r="Q219" s="9" cm="1">
        <f t="array" ref="Q219">IF(Q$218=-1,R219,IF(Q$218=99,P219,IF(Q$218=0,INDEX($E186:$M186,0,Q$216),(INDEX($E186:$M186,0,Q$218+1)-INDEX($E186:$M186,0,Q$218))/(INDEX($E$185:$M$185,0,Q$218+1)-INDEX($E$185:$M$185,0,Q$218))+P219)))</f>
        <v>78.308349507973659</v>
      </c>
      <c r="R219" s="9" cm="1">
        <f t="array" ref="R219">IF(R$218=-1,S219,IF(R$218=99,Q219,IF(R$218=0,INDEX($E186:$M186,0,R$216),(INDEX($E186:$M186,0,R$218+1)-INDEX($E186:$M186,0,R$218))/(INDEX($E$185:$M$185,0,R$218+1)-INDEX($E$185:$M$185,0,R$218))+Q219)))</f>
        <v>79.571725511782603</v>
      </c>
      <c r="S219" s="9" cm="1">
        <f t="array" ref="S219">IF(S$218=-1,T219,IF(S$218=99,R219,IF(S$218=0,INDEX($E186:$M186,0,S$216),(INDEX($E186:$M186,0,S$218+1)-INDEX($E186:$M186,0,S$218))/(INDEX($E$185:$M$185,0,S$218+1)-INDEX($E$185:$M$185,0,S$218))+R219)))</f>
        <v>83.010526345337553</v>
      </c>
      <c r="T219" s="9" cm="1">
        <f t="array" ref="T219">IF(T$218=-1,W219,IF(T$218=99,S219,IF(T$218=0,INDEX($E186:$M186,0,T$216),(INDEX($E186:$M186,0,T$218+1)-INDEX($E186:$M186,0,T$218))/(INDEX($E$185:$M$185,0,T$218+1)-INDEX($E$185:$M$185,0,T$218))+S219)))</f>
        <v>86.449327178892503</v>
      </c>
      <c r="U219" s="9" cm="1">
        <f t="array" ref="U219">IF(U$218=-1,W219,IF(U$218=99,S219,IF(U$218=0,INDEX($E186:$M186,0,U$216),(INDEX($E186:$M186,0,U$218+1)-INDEX($E186:$M186,0,U$218))/(INDEX($E$185:$M$185,0,U$218+1)-INDEX($E$185:$M$185,0,U$218))+S219)))</f>
        <v>86.449327178892503</v>
      </c>
      <c r="V219" s="9" cm="1">
        <f t="array" ref="V219">IF(V$218=-1,W219,IF(V$218=99,S219,IF(V$218=0,INDEX($E186:$M186,0,V$216),(INDEX($E186:$M186,0,V$218+1)-INDEX($E186:$M186,0,V$218))/(INDEX($E$185:$M$185,0,V$218+1)-INDEX($E$185:$M$185,0,V$218))+S219)))</f>
        <v>86.449327178892503</v>
      </c>
      <c r="W219" s="9" cm="1">
        <f t="array" ref="W219">IF(W$218=-1,X219,IF(W$218=99,T219,IF(W$218=0,INDEX($E186:$M186,0,W$216),(INDEX($E186:$M186,0,W$218+1)-INDEX($E186:$M186,0,W$218))/(INDEX($E$185:$M$185,0,W$218+1)-INDEX($E$185:$M$185,0,W$218))+T219)))</f>
        <v>89.888128012447453</v>
      </c>
      <c r="X219" s="9" cm="1">
        <f t="array" ref="X219">IF(X$218=-1,Y219,IF(X$218=99,W219,IF(X$218=0,INDEX($E186:$M186,0,X$216),(INDEX($E186:$M186,0,X$218+1)-INDEX($E186:$M186,0,X$218))/(INDEX($E$185:$M$185,0,X$218+1)-INDEX($E$185:$M$185,0,X$218))+W219)))</f>
        <v>93.326928846002403</v>
      </c>
      <c r="Y219" s="9" cm="1">
        <f t="array" ref="Y219">IF(Y$218=-1,Z219,IF(Y$218=99,X219,IF(Y$218=0,INDEX($E186:$M186,0,Y$216),(INDEX($E186:$M186,0,Y$218+1)-INDEX($E186:$M186,0,Y$218))/(INDEX($E$185:$M$185,0,Y$218+1)-INDEX($E$185:$M$185,0,Y$218))+X219)))</f>
        <v>96.765729679557353</v>
      </c>
      <c r="Z219" s="9" cm="1">
        <f t="array" ref="Z219">IF(Z$218=-1,AA219,IF(Z$218=99,Y219,IF(Z$218=0,INDEX($E186:$M186,0,Z$216),(INDEX($E186:$M186,0,Z$218+1)-INDEX($E186:$M186,0,Z$218))/(INDEX($E$185:$M$185,0,Z$218+1)-INDEX($E$185:$M$185,0,Z$218))+Y219)))</f>
        <v>100.2045305131123</v>
      </c>
      <c r="AA219" s="9" cm="1">
        <f t="array" ref="AA219">IF(AA$218=-1,AB219,IF(AA$218=99,Z219,IF(AA$218=0,INDEX($E186:$M186,0,AA$216),(INDEX($E186:$M186,0,AA$218+1)-INDEX($E186:$M186,0,AA$218))/(INDEX($E$185:$M$185,0,AA$218+1)-INDEX($E$185:$M$185,0,AA$218))+Z219)))</f>
        <v>103.64333134666725</v>
      </c>
      <c r="AB219" s="9" cm="1">
        <f t="array" ref="AB219">IF(AB$218=-1,AC219,IF(AB$218=99,AA219,IF(AB$218=0,INDEX($E186:$M186,0,AB$216),(INDEX($E186:$M186,0,AB$218+1)-INDEX($E186:$M186,0,AB$218))/(INDEX($E$185:$M$185,0,AB$218+1)-INDEX($E$185:$M$185,0,AB$218))+AA219)))</f>
        <v>107.0821321802222</v>
      </c>
      <c r="AC219" s="9" cm="1">
        <f t="array" ref="AC219">IF(AC$218=-1,AD219,IF(AC$218=99,AB219,IF(AC$218=0,INDEX($E186:$M186,0,AC$216),(INDEX($E186:$M186,0,AC$218+1)-INDEX($E186:$M186,0,AC$218))/(INDEX($E$185:$M$185,0,AC$218+1)-INDEX($E$185:$M$185,0,AC$218))+AB219)))</f>
        <v>110.5209330137772</v>
      </c>
      <c r="AD219" s="9" cm="1">
        <f t="array" ref="AD219">IF(AD$218=-1,AE219,IF(AD$218=99,AC219,IF(AD$218=0,INDEX($E186:$M186,0,AD$216),(INDEX($E186:$M186,0,AD$218+1)-INDEX($E186:$M186,0,AD$218))/(INDEX($E$185:$M$185,0,AD$218+1)-INDEX($E$185:$M$185,0,AD$218))+AC219)))</f>
        <v>115.26770411127379</v>
      </c>
      <c r="AE219" s="9" cm="1">
        <f t="array" ref="AE219">IF(AE$218=-1,AH219,IF(AE$218=99,AD219,IF(AE$218=0,INDEX($E186:$M186,0,AE$216),(INDEX($E186:$M186,0,AE$218+1)-INDEX($E186:$M186,0,AE$218))/(INDEX($E$185:$M$185,0,AE$218+1)-INDEX($E$185:$M$185,0,AE$218))+AD219)))</f>
        <v>120.01447520877036</v>
      </c>
      <c r="AF219" s="9" cm="1">
        <f t="array" ref="AF219">IF(AF$218=-1,AH219,IF(AF$218=99,AD219,IF(AF$218=0,INDEX($E186:$M186,0,AF$216),(INDEX($E186:$M186,0,AF$218+1)-INDEX($E186:$M186,0,AF$218))/(INDEX($E$185:$M$185,0,AF$218+1)-INDEX($E$185:$M$185,0,AF$218))+AD219)))</f>
        <v>120.01447520877036</v>
      </c>
      <c r="AG219" s="9" cm="1">
        <f t="array" ref="AG219">IF(AG$218=-1,AH219,IF(AG$218=99,AD219,IF(AG$218=0,INDEX($E186:$M186,0,AG$216),(INDEX($E186:$M186,0,AG$218+1)-INDEX($E186:$M186,0,AG$218))/(INDEX($E$185:$M$185,0,AG$218+1)-INDEX($E$185:$M$185,0,AG$218))+AD219)))</f>
        <v>120.01447520877036</v>
      </c>
      <c r="AH219" s="9" cm="1">
        <f t="array" ref="AH219">IF(AH$218=-1,AI219,IF(AH$218=99,AE219,IF(AH$218=0,INDEX($E186:$M186,0,AH$216),(INDEX($E186:$M186,0,AH$218+1)-INDEX($E186:$M186,0,AH$218))/(INDEX($E$185:$M$185,0,AH$218+1)-INDEX($E$185:$M$185,0,AH$218))+AE219)))</f>
        <v>124.76124630626694</v>
      </c>
      <c r="AI219" s="9" cm="1">
        <f t="array" ref="AI219">IF(AI$218=-1,AJ219,IF(AI$218=99,AH219,IF(AI$218=0,INDEX($E186:$M186,0,AI$216),(INDEX($E186:$M186,0,AI$218+1)-INDEX($E186:$M186,0,AI$218))/(INDEX($E$185:$M$185,0,AI$218+1)-INDEX($E$185:$M$185,0,AI$218))+AH219)))</f>
        <v>129.50801740376352</v>
      </c>
      <c r="AJ219" s="9" cm="1">
        <f t="array" ref="AJ219">IF(AJ$218=-1,AK219,IF(AJ$218=99,AI219,IF(AJ$218=0,INDEX($E186:$M186,0,AJ$216),(INDEX($E186:$M186,0,AJ$218+1)-INDEX($E186:$M186,0,AJ$218))/(INDEX($E$185:$M$185,0,AJ$218+1)-INDEX($E$185:$M$185,0,AJ$218))+AI219)))</f>
        <v>134.25478850126009</v>
      </c>
      <c r="AK219" s="9" cm="1">
        <f t="array" ref="AK219">IF(AK$218=-1,AL219,IF(AK$218=99,AJ219,IF(AK$218=0,INDEX($E186:$M186,0,AK$216),(INDEX($E186:$M186,0,AK$218+1)-INDEX($E186:$M186,0,AK$218))/(INDEX($E$185:$M$185,0,AK$218+1)-INDEX($E$185:$M$185,0,AK$218))+AJ219)))</f>
        <v>139.00155959875667</v>
      </c>
      <c r="AL219" s="9" cm="1">
        <f t="array" ref="AL219">IF(AL$218=-1,AM219,IF(AL$218=99,AK219,IF(AL$218=0,INDEX($E186:$M186,0,AL$216),(INDEX($E186:$M186,0,AL$218+1)-INDEX($E186:$M186,0,AL$218))/(INDEX($E$185:$M$185,0,AL$218+1)-INDEX($E$185:$M$185,0,AL$218))+AK219)))</f>
        <v>143.74833069625325</v>
      </c>
      <c r="AM219" s="9" cm="1">
        <f t="array" ref="AM219">IF(AM$218=-1,AO219,IF(AM$218=99,AL219,IF(AM$218=0,INDEX($E186:$M186,0,AM$216),(INDEX($E186:$M186,0,AM$218+1)-INDEX($E186:$M186,0,AM$218))/(INDEX($E$185:$M$185,0,AM$218+1)-INDEX($E$185:$M$185,0,AM$218))+AL219)))</f>
        <v>148.49510179374982</v>
      </c>
      <c r="AN219" s="9" cm="1">
        <f t="array" ref="AN219">IF(AN$218=-1,AP219,IF(AN$218=99,AL219,IF(AN$218=0,INDEX($E186:$M186,0,AN$216),(INDEX($E186:$M186,0,AN$218+1)-INDEX($E186:$M186,0,AN$218))/(INDEX($E$185:$M$185,0,AN$218+1)-INDEX($E$185:$M$185,0,AN$218))+AL219)))</f>
        <v>148.49510179374982</v>
      </c>
      <c r="AO219" s="9" cm="1">
        <f t="array" ref="AO219">IF(AO$218=-1,AQ219,IF(AO$218=99,AM219,IF(AO$218=0,INDEX($E186:$M186,0,AO$216),(INDEX($E186:$M186,0,AO$218+1)-INDEX($E186:$M186,0,AO$218))/(INDEX($E$185:$M$185,0,AO$218+1)-INDEX($E$185:$M$185,0,AO$218))+AM219)))</f>
        <v>153.2418728912464</v>
      </c>
      <c r="AP219" s="9" cm="1">
        <f t="array" ref="AP219">IF(AP$218=-1,AR219,IF(AP$218=99,AO219,IF(AP$218=0,INDEX($E186:$M186,0,AP$216),(INDEX($E186:$M186,0,AP$218+1)-INDEX($E186:$M186,0,AP$218))/(INDEX($E$185:$M$185,0,AP$218+1)-INDEX($E$185:$M$185,0,AP$218))+AO219)))</f>
        <v>157.98864398874304</v>
      </c>
      <c r="AQ219" s="9" cm="1">
        <f t="array" ref="AQ219">IF(AQ$218=-1,AR219,IF(AQ$218=99,AO219,IF(AQ$218=0,INDEX($E186:$M186,0,AQ$216),(INDEX($E186:$M186,0,AQ$218+1)-INDEX($E186:$M186,0,AQ$218))/(INDEX($E$185:$M$185,0,AQ$218+1)-INDEX($E$185:$M$185,0,AQ$218))+AO219)))</f>
        <v>157.98864398874304</v>
      </c>
      <c r="AR219" s="243">
        <f>(AQ219+AS219)/2</f>
        <v>186.4514116708196</v>
      </c>
      <c r="AS219" s="9" cm="1">
        <f t="array" ref="AS219">IF(AS$218=-1,AT219,IF(AS$218=99,AR219,IF(AS$218=0,INDEX($E186:$M186,0,AS$216),(INDEX($E186:$M186,0,AS$218+1)-INDEX($E186:$M186,0,AS$218))/(INDEX($E$185:$M$185,0,AS$218+1)-INDEX($E$185:$M$185,0,AS$218))+AR219)))</f>
        <v>214.91417935289618</v>
      </c>
      <c r="AT219" s="9" cm="1">
        <f t="array" ref="AT219">IF(AT$218=-1,AU219,IF(AT$218=99,AS219,IF(AT$218=0,INDEX($E186:$M186,0,AT$216),(INDEX($E186:$M186,0,AT$218+1)-INDEX($E186:$M186,0,AT$218))/(INDEX($E$185:$M$185,0,AT$218+1)-INDEX($E$185:$M$185,0,AT$218))+AS219)))</f>
        <v>234.87243386381823</v>
      </c>
      <c r="AU219" s="9" cm="1">
        <f t="array" ref="AU219">IF(AU$218=-1,AV219,IF(AU$218=99,AT219,IF(AU$218=0,INDEX($E186:$M186,0,AU$216),(INDEX($E186:$M186,0,AU$218+1)-INDEX($E186:$M186,0,AU$218))/(INDEX($E$185:$M$185,0,AU$218+1)-INDEX($E$185:$M$185,0,AU$218))+AT219)))</f>
        <v>243.75712018368034</v>
      </c>
      <c r="AV219" s="9"/>
      <c r="AY219" s="9"/>
      <c r="AZ219" s="9"/>
      <c r="BJ219" s="9"/>
      <c r="BK219" s="50"/>
    </row>
    <row r="220" spans="6:63" ht="15">
      <c r="F220" s="20" t="str">
        <f t="shared" si="527"/>
        <v>COM_PROJ</v>
      </c>
      <c r="G220" s="21" t="str">
        <f t="shared" si="528"/>
        <v>-</v>
      </c>
      <c r="H220" s="48" t="str">
        <f t="shared" si="529"/>
        <v>TPPRSUV</v>
      </c>
      <c r="I220" s="21" t="str">
        <f t="shared" si="530"/>
        <v>-</v>
      </c>
      <c r="J220" s="21" t="str">
        <f t="shared" si="530"/>
        <v>-</v>
      </c>
      <c r="K220" s="21" t="str">
        <f t="shared" si="530"/>
        <v>-</v>
      </c>
      <c r="L220" s="21" t="str">
        <f t="shared" si="530"/>
        <v>-</v>
      </c>
      <c r="M220" s="20">
        <f t="shared" si="531"/>
        <v>0</v>
      </c>
      <c r="N220" s="9" cm="1">
        <f t="array" ref="N220">IF(N$218=-1,O220,IF(N$218=99,#REF!,IF(N$218=0,INDEX($E187:$M187,0,N$216),(INDEX($E187:$M187,0,N$218+1)-INDEX($E187:$M187,0,N$218))/(INDEX($E$185:$M$185,0,N$218+1)-INDEX($E$185:$M$185,0,N$218))+#REF!)))</f>
        <v>17.754191802068</v>
      </c>
      <c r="O220" s="9" cm="1">
        <f t="array" ref="O220">IF(O$218=-1,P220,IF(O$218=99,N220,IF(O$218=0,INDEX($E187:$M187,0,O$216),(INDEX($E187:$M187,0,O$218+1)-INDEX($E187:$M187,0,O$218))/(INDEX($E$185:$M$185,0,O$218+1)-INDEX($E$185:$M$185,0,O$218))+N220)))</f>
        <v>17.867597432585967</v>
      </c>
      <c r="P220" s="9" cm="1">
        <f t="array" ref="P220">IF(P$218=-1,Q220,IF(P$218=99,O220,IF(P$218=0,INDEX($E187:$M187,0,P$216),(INDEX($E187:$M187,0,P$218+1)-INDEX($E187:$M187,0,P$218))/(INDEX($E$185:$M$185,0,P$218+1)-INDEX($E$185:$M$185,0,P$218))+O220)))</f>
        <v>17.98100306310393</v>
      </c>
      <c r="Q220" s="9" cm="1">
        <f t="array" ref="Q220">IF(Q$218=-1,R220,IF(Q$218=99,P220,IF(Q$218=0,INDEX($E187:$M187,0,Q$216),(INDEX($E187:$M187,0,Q$218+1)-INDEX($E187:$M187,0,Q$218))/(INDEX($E$185:$M$185,0,Q$218+1)-INDEX($E$185:$M$185,0,Q$218))+P220)))</f>
        <v>16.640524270444406</v>
      </c>
      <c r="R220" s="9" cm="1">
        <f t="array" ref="R220">IF(R$218=-1,S220,IF(R$218=99,Q220,IF(R$218=0,INDEX($E187:$M187,0,R$216),(INDEX($E187:$M187,0,R$218+1)-INDEX($E187:$M187,0,R$218))/(INDEX($E$185:$M$185,0,R$218+1)-INDEX($E$185:$M$185,0,R$218))+Q220)))</f>
        <v>16.908991671253805</v>
      </c>
      <c r="S220" s="9" cm="1">
        <f t="array" ref="S220">IF(S$218=-1,T220,IF(S$218=99,R220,IF(S$218=0,INDEX($E187:$M187,0,S$216),(INDEX($E187:$M187,0,S$218+1)-INDEX($E187:$M187,0,S$218))/(INDEX($E$185:$M$185,0,S$218+1)-INDEX($E$185:$M$185,0,S$218))+R220)))</f>
        <v>17.639736848384231</v>
      </c>
      <c r="T220" s="9" cm="1">
        <f t="array" ref="T220">IF(T$218=-1,W220,IF(T$218=99,S220,IF(T$218=0,INDEX($E187:$M187,0,T$216),(INDEX($E187:$M187,0,T$218+1)-INDEX($E187:$M187,0,T$218))/(INDEX($E$185:$M$185,0,T$218+1)-INDEX($E$185:$M$185,0,T$218))+S220)))</f>
        <v>18.370482025514658</v>
      </c>
      <c r="U220" s="9" cm="1">
        <f t="array" ref="U220">IF(U$218=-1,W220,IF(U$218=99,S220,IF(U$218=0,INDEX($E187:$M187,0,U$216),(INDEX($E187:$M187,0,U$218+1)-INDEX($E187:$M187,0,U$218))/(INDEX($E$185:$M$185,0,U$218+1)-INDEX($E$185:$M$185,0,U$218))+S220)))</f>
        <v>18.370482025514658</v>
      </c>
      <c r="V220" s="9" cm="1">
        <f t="array" ref="V220">IF(V$218=-1,W220,IF(V$218=99,S220,IF(V$218=0,INDEX($E187:$M187,0,V$216),(INDEX($E187:$M187,0,V$218+1)-INDEX($E187:$M187,0,V$218))/(INDEX($E$185:$M$185,0,V$218+1)-INDEX($E$185:$M$185,0,V$218))+S220)))</f>
        <v>18.370482025514658</v>
      </c>
      <c r="W220" s="9" cm="1">
        <f t="array" ref="W220">IF(W$218=-1,X220,IF(W$218=99,T220,IF(W$218=0,INDEX($E187:$M187,0,W$216),(INDEX($E187:$M187,0,W$218+1)-INDEX($E187:$M187,0,W$218))/(INDEX($E$185:$M$185,0,W$218+1)-INDEX($E$185:$M$185,0,W$218))+T220)))</f>
        <v>19.101227202645084</v>
      </c>
      <c r="X220" s="9" cm="1">
        <f t="array" ref="X220">IF(X$218=-1,Y220,IF(X$218=99,W220,IF(X$218=0,INDEX($E187:$M187,0,X$216),(INDEX($E187:$M187,0,X$218+1)-INDEX($E187:$M187,0,X$218))/(INDEX($E$185:$M$185,0,X$218+1)-INDEX($E$185:$M$185,0,X$218))+W220)))</f>
        <v>19.831972379775511</v>
      </c>
      <c r="Y220" s="9" cm="1">
        <f t="array" ref="Y220">IF(Y$218=-1,Z220,IF(Y$218=99,X220,IF(Y$218=0,INDEX($E187:$M187,0,Y$216),(INDEX($E187:$M187,0,Y$218+1)-INDEX($E187:$M187,0,Y$218))/(INDEX($E$185:$M$185,0,Y$218+1)-INDEX($E$185:$M$185,0,Y$218))+X220)))</f>
        <v>20.562717556905937</v>
      </c>
      <c r="Z220" s="9" cm="1">
        <f t="array" ref="Z220">IF(Z$218=-1,AA220,IF(Z$218=99,Y220,IF(Z$218=0,INDEX($E187:$M187,0,Z$216),(INDEX($E187:$M187,0,Z$218+1)-INDEX($E187:$M187,0,Z$218))/(INDEX($E$185:$M$185,0,Z$218+1)-INDEX($E$185:$M$185,0,Z$218))+Y220)))</f>
        <v>21.293462734036364</v>
      </c>
      <c r="AA220" s="9" cm="1">
        <f t="array" ref="AA220">IF(AA$218=-1,AB220,IF(AA$218=99,Z220,IF(AA$218=0,INDEX($E187:$M187,0,AA$216),(INDEX($E187:$M187,0,AA$218+1)-INDEX($E187:$M187,0,AA$218))/(INDEX($E$185:$M$185,0,AA$218+1)-INDEX($E$185:$M$185,0,AA$218))+Z220)))</f>
        <v>22.024207911166791</v>
      </c>
      <c r="AB220" s="9" cm="1">
        <f t="array" ref="AB220">IF(AB$218=-1,AC220,IF(AB$218=99,AA220,IF(AB$218=0,INDEX($E187:$M187,0,AB$216),(INDEX($E187:$M187,0,AB$218+1)-INDEX($E187:$M187,0,AB$218))/(INDEX($E$185:$M$185,0,AB$218+1)-INDEX($E$185:$M$185,0,AB$218))+AA220)))</f>
        <v>22.754953088297217</v>
      </c>
      <c r="AC220" s="9" cm="1">
        <f t="array" ref="AC220">IF(AC$218=-1,AD220,IF(AC$218=99,AB220,IF(AC$218=0,INDEX($E187:$M187,0,AC$216),(INDEX($E187:$M187,0,AC$218+1)-INDEX($E187:$M187,0,AC$218))/(INDEX($E$185:$M$185,0,AC$218+1)-INDEX($E$185:$M$185,0,AC$218))+AB220)))</f>
        <v>23.485698265427658</v>
      </c>
      <c r="AD220" s="9" cm="1">
        <f t="array" ref="AD220">IF(AD$218=-1,AE220,IF(AD$218=99,AC220,IF(AD$218=0,INDEX($E187:$M187,0,AD$216),(INDEX($E187:$M187,0,AD$218+1)-INDEX($E187:$M187,0,AD$218))/(INDEX($E$185:$M$185,0,AD$218+1)-INDEX($E$185:$M$185,0,AD$218))+AC220)))</f>
        <v>24.494387123645684</v>
      </c>
      <c r="AE220" s="9" cm="1">
        <f t="array" ref="AE220">IF(AE$218=-1,AH220,IF(AE$218=99,AD220,IF(AE$218=0,INDEX($E187:$M187,0,AE$216),(INDEX($E187:$M187,0,AE$218+1)-INDEX($E187:$M187,0,AE$218))/(INDEX($E$185:$M$185,0,AE$218+1)-INDEX($E$185:$M$185,0,AE$218))+AD220)))</f>
        <v>25.503075981863709</v>
      </c>
      <c r="AF220" s="9" cm="1">
        <f t="array" ref="AF220">IF(AF$218=-1,AH220,IF(AF$218=99,AD220,IF(AF$218=0,INDEX($E187:$M187,0,AF$216),(INDEX($E187:$M187,0,AF$218+1)-INDEX($E187:$M187,0,AF$218))/(INDEX($E$185:$M$185,0,AF$218+1)-INDEX($E$185:$M$185,0,AF$218))+AD220)))</f>
        <v>25.503075981863709</v>
      </c>
      <c r="AG220" s="9" cm="1">
        <f t="array" ref="AG220">IF(AG$218=-1,AH220,IF(AG$218=99,AD220,IF(AG$218=0,INDEX($E187:$M187,0,AG$216),(INDEX($E187:$M187,0,AG$218+1)-INDEX($E187:$M187,0,AG$218))/(INDEX($E$185:$M$185,0,AG$218+1)-INDEX($E$185:$M$185,0,AG$218))+AD220)))</f>
        <v>25.503075981863709</v>
      </c>
      <c r="AH220" s="9" cm="1">
        <f t="array" ref="AH220">IF(AH$218=-1,AI220,IF(AH$218=99,AE220,IF(AH$218=0,INDEX($E187:$M187,0,AH$216),(INDEX($E187:$M187,0,AH$218+1)-INDEX($E187:$M187,0,AH$218))/(INDEX($E$185:$M$185,0,AH$218+1)-INDEX($E$185:$M$185,0,AH$218))+AE220)))</f>
        <v>26.511764840081735</v>
      </c>
      <c r="AI220" s="9" cm="1">
        <f t="array" ref="AI220">IF(AI$218=-1,AJ220,IF(AI$218=99,AH220,IF(AI$218=0,INDEX($E187:$M187,0,AI$216),(INDEX($E187:$M187,0,AI$218+1)-INDEX($E187:$M187,0,AI$218))/(INDEX($E$185:$M$185,0,AI$218+1)-INDEX($E$185:$M$185,0,AI$218))+AH220)))</f>
        <v>27.520453698299761</v>
      </c>
      <c r="AJ220" s="9" cm="1">
        <f t="array" ref="AJ220">IF(AJ$218=-1,AK220,IF(AJ$218=99,AI220,IF(AJ$218=0,INDEX($E187:$M187,0,AJ$216),(INDEX($E187:$M187,0,AJ$218+1)-INDEX($E187:$M187,0,AJ$218))/(INDEX($E$185:$M$185,0,AJ$218+1)-INDEX($E$185:$M$185,0,AJ$218))+AI220)))</f>
        <v>28.529142556517787</v>
      </c>
      <c r="AK220" s="9" cm="1">
        <f t="array" ref="AK220">IF(AK$218=-1,AL220,IF(AK$218=99,AJ220,IF(AK$218=0,INDEX($E187:$M187,0,AK$216),(INDEX($E187:$M187,0,AK$218+1)-INDEX($E187:$M187,0,AK$218))/(INDEX($E$185:$M$185,0,AK$218+1)-INDEX($E$185:$M$185,0,AK$218))+AJ220)))</f>
        <v>29.537831414735813</v>
      </c>
      <c r="AL220" s="9" cm="1">
        <f t="array" ref="AL220">IF(AL$218=-1,AM220,IF(AL$218=99,AK220,IF(AL$218=0,INDEX($E187:$M187,0,AL$216),(INDEX($E187:$M187,0,AL$218+1)-INDEX($E187:$M187,0,AL$218))/(INDEX($E$185:$M$185,0,AL$218+1)-INDEX($E$185:$M$185,0,AL$218))+AK220)))</f>
        <v>30.546520272953838</v>
      </c>
      <c r="AM220" s="9" cm="1">
        <f t="array" ref="AM220">IF(AM$218=-1,AO220,IF(AM$218=99,AL220,IF(AM$218=0,INDEX($E187:$M187,0,AM$216),(INDEX($E187:$M187,0,AM$218+1)-INDEX($E187:$M187,0,AM$218))/(INDEX($E$185:$M$185,0,AM$218+1)-INDEX($E$185:$M$185,0,AM$218))+AL220)))</f>
        <v>31.555209131171864</v>
      </c>
      <c r="AN220" s="9" cm="1">
        <f t="array" ref="AN220">IF(AN$218=-1,AP220,IF(AN$218=99,AL220,IF(AN$218=0,INDEX($E187:$M187,0,AN$216),(INDEX($E187:$M187,0,AN$218+1)-INDEX($E187:$M187,0,AN$218))/(INDEX($E$185:$M$185,0,AN$218+1)-INDEX($E$185:$M$185,0,AN$218))+AL220)))</f>
        <v>31.555209131171864</v>
      </c>
      <c r="AO220" s="9" cm="1">
        <f t="array" ref="AO220">IF(AO$218=-1,AQ220,IF(AO$218=99,AM220,IF(AO$218=0,INDEX($E187:$M187,0,AO$216),(INDEX($E187:$M187,0,AO$218+1)-INDEX($E187:$M187,0,AO$218))/(INDEX($E$185:$M$185,0,AO$218+1)-INDEX($E$185:$M$185,0,AO$218))+AM220)))</f>
        <v>32.563897989389886</v>
      </c>
      <c r="AP220" s="9" cm="1">
        <f t="array" ref="AP220">IF(AP$218=-1,AR220,IF(AP$218=99,AO220,IF(AP$218=0,INDEX($E187:$M187,0,AP$216),(INDEX($E187:$M187,0,AP$218+1)-INDEX($E187:$M187,0,AP$218))/(INDEX($E$185:$M$185,0,AP$218+1)-INDEX($E$185:$M$185,0,AP$218))+AO220)))</f>
        <v>33.572586847607901</v>
      </c>
      <c r="AQ220" s="9" cm="1">
        <f t="array" ref="AQ220">IF(AQ$218=-1,AR220,IF(AQ$218=99,AO220,IF(AQ$218=0,INDEX($E187:$M187,0,AQ$216),(INDEX($E187:$M187,0,AQ$218+1)-INDEX($E187:$M187,0,AQ$218))/(INDEX($E$185:$M$185,0,AQ$218+1)-INDEX($E$185:$M$185,0,AQ$218))+AO220)))</f>
        <v>33.572586847607901</v>
      </c>
      <c r="AR220" s="243">
        <f t="shared" si="532" ref="AR220:AR226">(AQ220+AS220)/2</f>
        <v>39.620924980049168</v>
      </c>
      <c r="AS220" s="9" cm="1">
        <f t="array" ref="AS220">IF(AS$218=-1,AT220,IF(AS$218=99,AR220,IF(AS$218=0,INDEX($E187:$M187,0,AS$216),(INDEX($E187:$M187,0,AS$218+1)-INDEX($E187:$M187,0,AS$218))/(INDEX($E$185:$M$185,0,AS$218+1)-INDEX($E$185:$M$185,0,AS$218))+AR220)))</f>
        <v>45.669263112490441</v>
      </c>
      <c r="AT220" s="9" cm="1">
        <f t="array" ref="AT220">IF(AT$218=-1,AU220,IF(AT$218=99,AS220,IF(AT$218=0,INDEX($E187:$M187,0,AT$216),(INDEX($E187:$M187,0,AT$218+1)-INDEX($E187:$M187,0,AT$218))/(INDEX($E$185:$M$185,0,AT$218+1)-INDEX($E$185:$M$185,0,AT$218))+AS220)))</f>
        <v>49.91039219606138</v>
      </c>
      <c r="AU220" s="9" cm="1">
        <f t="array" ref="AU220">IF(AU$218=-1,#REF!,IF(AU$218=99,AT220,IF(AU$218=0,INDEX($E187:$M187,0,AU$216),(INDEX($E187:$M187,0,AU$218+1)-INDEX($E187:$M187,0,AU$218))/(INDEX($E$185:$M$185,0,AU$218+1)-INDEX($E$185:$M$185,0,AU$218))+AT220)))</f>
        <v>51.798388039032076</v>
      </c>
      <c r="AV220" s="9"/>
      <c r="AY220" s="9"/>
      <c r="AZ220" s="9"/>
      <c r="BJ220" s="9"/>
      <c r="BK220" s="50"/>
    </row>
    <row r="221" spans="6:63" ht="15">
      <c r="F221" s="20" t="str">
        <f t="shared" si="527"/>
        <v>COM_PROJ</v>
      </c>
      <c r="G221" s="21" t="str">
        <f t="shared" si="528"/>
        <v>-</v>
      </c>
      <c r="H221" s="48" t="str">
        <f t="shared" si="529"/>
        <v>TPPRMOT</v>
      </c>
      <c r="I221" s="21" t="str">
        <f t="shared" si="530"/>
        <v>-</v>
      </c>
      <c r="J221" s="21" t="str">
        <f t="shared" si="530"/>
        <v>-</v>
      </c>
      <c r="K221" s="21" t="str">
        <f t="shared" si="530"/>
        <v>-</v>
      </c>
      <c r="L221" s="21" t="str">
        <f t="shared" si="530"/>
        <v>-</v>
      </c>
      <c r="M221" s="20">
        <f t="shared" si="531"/>
        <v>0</v>
      </c>
      <c r="N221" s="9" cm="1">
        <f t="array" ref="N221">IF(N$218=-1,O221,IF(N$218=99,#REF!,IF(N$218=0,INDEX($E188:$M188,0,N$216),(INDEX($E188:$M188,0,N$218+1)-INDEX($E188:$M188,0,N$218))/(INDEX($E$185:$M$185,0,N$218+1)-INDEX($E$185:$M$185,0,N$218))+#REF!)))</f>
        <v>5.9227912022632498</v>
      </c>
      <c r="O221" s="9" cm="1">
        <f t="array" ref="O221">IF(O$218=-1,P221,IF(O$218=99,N221,IF(O$218=0,INDEX($E188:$M188,0,O$216),(INDEX($E188:$M188,0,O$218+1)-INDEX($E188:$M188,0,O$218))/(INDEX($E$185:$M$185,0,O$218+1)-INDEX($E$185:$M$185,0,O$218))+N221)))</f>
        <v>4.5479546949349121</v>
      </c>
      <c r="P221" s="9" cm="1">
        <f t="array" ref="P221">IF(P$218=-1,Q221,IF(P$218=99,O221,IF(P$218=0,INDEX($E188:$M188,0,P$216),(INDEX($E188:$M188,0,P$218+1)-INDEX($E188:$M188,0,P$218))/(INDEX($E$185:$M$185,0,P$218+1)-INDEX($E$185:$M$185,0,P$218))+O221)))</f>
        <v>3.1731181876065753</v>
      </c>
      <c r="Q221" s="9" cm="1">
        <f t="array" ref="Q221">IF(Q$218=-1,R221,IF(Q$218=99,P221,IF(Q$218=0,INDEX($E188:$M188,0,Q$216),(INDEX($E188:$M188,0,Q$218+1)-INDEX($E188:$M188,0,Q$218))/(INDEX($E$185:$M$185,0,Q$218+1)-INDEX($E$185:$M$185,0,Q$218))+P221)))</f>
        <v>2.9365631065490123</v>
      </c>
      <c r="R221" s="9" cm="1">
        <f t="array" ref="R221">IF(R$218=-1,S221,IF(R$218=99,Q221,IF(R$218=0,INDEX($E188:$M188,0,R$216),(INDEX($E188:$M188,0,R$218+1)-INDEX($E188:$M188,0,R$218))/(INDEX($E$185:$M$185,0,R$218+1)-INDEX($E$185:$M$185,0,R$218))+Q221)))</f>
        <v>2.9839397066918476</v>
      </c>
      <c r="S221" s="9" cm="1">
        <f t="array" ref="S221">IF(S$218=-1,T221,IF(S$218=99,R221,IF(S$218=0,INDEX($E188:$M188,0,S$216),(INDEX($E188:$M188,0,S$218+1)-INDEX($E188:$M188,0,S$218))/(INDEX($E$185:$M$185,0,S$218+1)-INDEX($E$185:$M$185,0,S$218))+R221)))</f>
        <v>3.1128947379501586</v>
      </c>
      <c r="T221" s="9" cm="1">
        <f t="array" ref="T221">IF(T$218=-1,W221,IF(T$218=99,S221,IF(T$218=0,INDEX($E188:$M188,0,T$216),(INDEX($E188:$M188,0,T$218+1)-INDEX($E188:$M188,0,T$218))/(INDEX($E$185:$M$185,0,T$218+1)-INDEX($E$185:$M$185,0,T$218))+S221)))</f>
        <v>3.2418497692084696</v>
      </c>
      <c r="U221" s="9" cm="1">
        <f t="array" ref="U221">IF(U$218=-1,W221,IF(U$218=99,S221,IF(U$218=0,INDEX($E188:$M188,0,U$216),(INDEX($E188:$M188,0,U$218+1)-INDEX($E188:$M188,0,U$218))/(INDEX($E$185:$M$185,0,U$218+1)-INDEX($E$185:$M$185,0,U$218))+S221)))</f>
        <v>3.2418497692084696</v>
      </c>
      <c r="V221" s="9" cm="1">
        <f t="array" ref="V221">IF(V$218=-1,W221,IF(V$218=99,S221,IF(V$218=0,INDEX($E188:$M188,0,V$216),(INDEX($E188:$M188,0,V$218+1)-INDEX($E188:$M188,0,V$218))/(INDEX($E$185:$M$185,0,V$218+1)-INDEX($E$185:$M$185,0,V$218))+S221)))</f>
        <v>3.2418497692084696</v>
      </c>
      <c r="W221" s="9" cm="1">
        <f t="array" ref="W221">IF(W$218=-1,X221,IF(W$218=99,T221,IF(W$218=0,INDEX($E188:$M188,0,W$216),(INDEX($E188:$M188,0,W$218+1)-INDEX($E188:$M188,0,W$218))/(INDEX($E$185:$M$185,0,W$218+1)-INDEX($E$185:$M$185,0,W$218))+T221)))</f>
        <v>3.3708048004667805</v>
      </c>
      <c r="X221" s="9" cm="1">
        <f t="array" ref="X221">IF(X$218=-1,Y221,IF(X$218=99,W221,IF(X$218=0,INDEX($E188:$M188,0,X$216),(INDEX($E188:$M188,0,X$218+1)-INDEX($E188:$M188,0,X$218))/(INDEX($E$185:$M$185,0,X$218+1)-INDEX($E$185:$M$185,0,X$218))+W221)))</f>
        <v>3.4997598317250915</v>
      </c>
      <c r="Y221" s="9" cm="1">
        <f t="array" ref="Y221">IF(Y$218=-1,Z221,IF(Y$218=99,X221,IF(Y$218=0,INDEX($E188:$M188,0,Y$216),(INDEX($E188:$M188,0,Y$218+1)-INDEX($E188:$M188,0,Y$218))/(INDEX($E$185:$M$185,0,Y$218+1)-INDEX($E$185:$M$185,0,Y$218))+X221)))</f>
        <v>3.6287148629834025</v>
      </c>
      <c r="Z221" s="9" cm="1">
        <f t="array" ref="Z221">IF(Z$218=-1,AA221,IF(Z$218=99,Y221,IF(Z$218=0,INDEX($E188:$M188,0,Z$216),(INDEX($E188:$M188,0,Z$218+1)-INDEX($E188:$M188,0,Z$218))/(INDEX($E$185:$M$185,0,Z$218+1)-INDEX($E$185:$M$185,0,Z$218))+Y221)))</f>
        <v>3.7576698942417135</v>
      </c>
      <c r="AA221" s="9" cm="1">
        <f t="array" ref="AA221">IF(AA$218=-1,AB221,IF(AA$218=99,Z221,IF(AA$218=0,INDEX($E188:$M188,0,AA$216),(INDEX($E188:$M188,0,AA$218+1)-INDEX($E188:$M188,0,AA$218))/(INDEX($E$185:$M$185,0,AA$218+1)-INDEX($E$185:$M$185,0,AA$218))+Z221)))</f>
        <v>3.8866249255000245</v>
      </c>
      <c r="AB221" s="9" cm="1">
        <f t="array" ref="AB221">IF(AB$218=-1,AC221,IF(AB$218=99,AA221,IF(AB$218=0,INDEX($E188:$M188,0,AB$216),(INDEX($E188:$M188,0,AB$218+1)-INDEX($E188:$M188,0,AB$218))/(INDEX($E$185:$M$185,0,AB$218+1)-INDEX($E$185:$M$185,0,AB$218))+AA221)))</f>
        <v>4.0155799567583355</v>
      </c>
      <c r="AC221" s="9" cm="1">
        <f t="array" ref="AC221">IF(AC$218=-1,AD221,IF(AC$218=99,AB221,IF(AC$218=0,INDEX($E188:$M188,0,AC$216),(INDEX($E188:$M188,0,AC$218+1)-INDEX($E188:$M188,0,AC$218))/(INDEX($E$185:$M$185,0,AC$218+1)-INDEX($E$185:$M$185,0,AC$218))+AB221)))</f>
        <v>4.1445349880166447</v>
      </c>
      <c r="AD221" s="9" cm="1">
        <f t="array" ref="AD221">IF(AD$218=-1,AE221,IF(AD$218=99,AC221,IF(AD$218=0,INDEX($E188:$M188,0,AD$216),(INDEX($E188:$M188,0,AD$218+1)-INDEX($E188:$M188,0,AD$218))/(INDEX($E$185:$M$185,0,AD$218+1)-INDEX($E$185:$M$185,0,AD$218))+AC221)))</f>
        <v>4.3225389041727666</v>
      </c>
      <c r="AE221" s="9" cm="1">
        <f t="array" ref="AE221">IF(AE$218=-1,AH221,IF(AE$218=99,AD221,IF(AE$218=0,INDEX($E188:$M188,0,AE$216),(INDEX($E188:$M188,0,AE$218+1)-INDEX($E188:$M188,0,AE$218))/(INDEX($E$185:$M$185,0,AE$218+1)-INDEX($E$185:$M$185,0,AE$218))+AD221)))</f>
        <v>4.5005428203288886</v>
      </c>
      <c r="AF221" s="9" cm="1">
        <f t="array" ref="AF221">IF(AF$218=-1,AH221,IF(AF$218=99,AD221,IF(AF$218=0,INDEX($E188:$M188,0,AF$216),(INDEX($E188:$M188,0,AF$218+1)-INDEX($E188:$M188,0,AF$218))/(INDEX($E$185:$M$185,0,AF$218+1)-INDEX($E$185:$M$185,0,AF$218))+AD221)))</f>
        <v>4.5005428203288886</v>
      </c>
      <c r="AG221" s="9" cm="1">
        <f t="array" ref="AG221">IF(AG$218=-1,AH221,IF(AG$218=99,AD221,IF(AG$218=0,INDEX($E188:$M188,0,AG$216),(INDEX($E188:$M188,0,AG$218+1)-INDEX($E188:$M188,0,AG$218))/(INDEX($E$185:$M$185,0,AG$218+1)-INDEX($E$185:$M$185,0,AG$218))+AD221)))</f>
        <v>4.5005428203288886</v>
      </c>
      <c r="AH221" s="9" cm="1">
        <f t="array" ref="AH221">IF(AH$218=-1,AI221,IF(AH$218=99,AE221,IF(AH$218=0,INDEX($E188:$M188,0,AH$216),(INDEX($E188:$M188,0,AH$218+1)-INDEX($E188:$M188,0,AH$218))/(INDEX($E$185:$M$185,0,AH$218+1)-INDEX($E$185:$M$185,0,AH$218))+AE221)))</f>
        <v>4.6785467364850106</v>
      </c>
      <c r="AI221" s="9" cm="1">
        <f t="array" ref="AI221">IF(AI$218=-1,AJ221,IF(AI$218=99,AH221,IF(AI$218=0,INDEX($E188:$M188,0,AI$216),(INDEX($E188:$M188,0,AI$218+1)-INDEX($E188:$M188,0,AI$218))/(INDEX($E$185:$M$185,0,AI$218+1)-INDEX($E$185:$M$185,0,AI$218))+AH221)))</f>
        <v>4.8565506526411326</v>
      </c>
      <c r="AJ221" s="9" cm="1">
        <f t="array" ref="AJ221">IF(AJ$218=-1,AK221,IF(AJ$218=99,AI221,IF(AJ$218=0,INDEX($E188:$M188,0,AJ$216),(INDEX($E188:$M188,0,AJ$218+1)-INDEX($E188:$M188,0,AJ$218))/(INDEX($E$185:$M$185,0,AJ$218+1)-INDEX($E$185:$M$185,0,AJ$218))+AI221)))</f>
        <v>5.0345545687972546</v>
      </c>
      <c r="AK221" s="9" cm="1">
        <f t="array" ref="AK221">IF(AK$218=-1,AL221,IF(AK$218=99,AJ221,IF(AK$218=0,INDEX($E188:$M188,0,AK$216),(INDEX($E188:$M188,0,AK$218+1)-INDEX($E188:$M188,0,AK$218))/(INDEX($E$185:$M$185,0,AK$218+1)-INDEX($E$185:$M$185,0,AK$218))+AJ221)))</f>
        <v>5.2125584849533766</v>
      </c>
      <c r="AL221" s="9" cm="1">
        <f t="array" ref="AL221">IF(AL$218=-1,AM221,IF(AL$218=99,AK221,IF(AL$218=0,INDEX($E188:$M188,0,AL$216),(INDEX($E188:$M188,0,AL$218+1)-INDEX($E188:$M188,0,AL$218))/(INDEX($E$185:$M$185,0,AL$218+1)-INDEX($E$185:$M$185,0,AL$218))+AK221)))</f>
        <v>5.3905624011094986</v>
      </c>
      <c r="AM221" s="9" cm="1">
        <f t="array" ref="AM221">IF(AM$218=-1,AO221,IF(AM$218=99,AL221,IF(AM$218=0,INDEX($E188:$M188,0,AM$216),(INDEX($E188:$M188,0,AM$218+1)-INDEX($E188:$M188,0,AM$218))/(INDEX($E$185:$M$185,0,AM$218+1)-INDEX($E$185:$M$185,0,AM$218))+AL221)))</f>
        <v>5.5685663172656206</v>
      </c>
      <c r="AN221" s="9" cm="1">
        <f t="array" ref="AN221">IF(AN$218=-1,AP221,IF(AN$218=99,AL221,IF(AN$218=0,INDEX($E188:$M188,0,AN$216),(INDEX($E188:$M188,0,AN$218+1)-INDEX($E188:$M188,0,AN$218))/(INDEX($E$185:$M$185,0,AN$218+1)-INDEX($E$185:$M$185,0,AN$218))+AL221)))</f>
        <v>5.5685663172656206</v>
      </c>
      <c r="AO221" s="9" cm="1">
        <f t="array" ref="AO221">IF(AO$218=-1,AQ221,IF(AO$218=99,AM221,IF(AO$218=0,INDEX($E188:$M188,0,AO$216),(INDEX($E188:$M188,0,AO$218+1)-INDEX($E188:$M188,0,AO$218))/(INDEX($E$185:$M$185,0,AO$218+1)-INDEX($E$185:$M$185,0,AO$218))+AM221)))</f>
        <v>5.7465702334217426</v>
      </c>
      <c r="AP221" s="9" cm="1">
        <f t="array" ref="AP221">IF(AP$218=-1,AR221,IF(AP$218=99,AO221,IF(AP$218=0,INDEX($E188:$M188,0,AP$216),(INDEX($E188:$M188,0,AP$218+1)-INDEX($E188:$M188,0,AP$218))/(INDEX($E$185:$M$185,0,AP$218+1)-INDEX($E$185:$M$185,0,AP$218))+AO221)))</f>
        <v>5.9245741495778637</v>
      </c>
      <c r="AQ221" s="9" cm="1">
        <f t="array" ref="AQ221">IF(AQ$218=-1,AR221,IF(AQ$218=99,AO221,IF(AQ$218=0,INDEX($E188:$M188,0,AQ$216),(INDEX($E188:$M188,0,AQ$218+1)-INDEX($E188:$M188,0,AQ$218))/(INDEX($E$185:$M$185,0,AQ$218+1)-INDEX($E$185:$M$185,0,AQ$218))+AO221)))</f>
        <v>5.9245741495778637</v>
      </c>
      <c r="AR221" s="243">
        <f t="shared" si="532"/>
        <v>6.9919279376557348</v>
      </c>
      <c r="AS221" s="9" cm="1">
        <f t="array" ref="AS221">IF(AS$218=-1,AT221,IF(AS$218=99,AR221,IF(AS$218=0,INDEX($E188:$M188,0,AS$216),(INDEX($E188:$M188,0,AS$218+1)-INDEX($E188:$M188,0,AS$218))/(INDEX($E$185:$M$185,0,AS$218+1)-INDEX($E$185:$M$185,0,AS$218))+AR221)))</f>
        <v>8.0592817257336069</v>
      </c>
      <c r="AT221" s="9" cm="1">
        <f t="array" ref="AT221">IF(AT$218=-1,AU221,IF(AT$218=99,AS221,IF(AT$218=0,INDEX($E188:$M188,0,AT$216),(INDEX($E188:$M188,0,AT$218+1)-INDEX($E188:$M188,0,AT$218))/(INDEX($E$185:$M$185,0,AT$218+1)-INDEX($E$185:$M$185,0,AT$218))+AS221)))</f>
        <v>8.8077162698931843</v>
      </c>
      <c r="AU221" s="9" cm="1">
        <f t="array" ref="AU221">IF(AU$218=-1,#REF!,IF(AU$218=99,AT221,IF(AU$218=0,INDEX($E188:$M188,0,AU$216),(INDEX($E188:$M188,0,AU$218+1)-INDEX($E188:$M188,0,AU$218))/(INDEX($E$185:$M$185,0,AU$218+1)-INDEX($E$185:$M$185,0,AU$218))+AT221)))</f>
        <v>9.1408920068880128</v>
      </c>
      <c r="AV221" s="9"/>
      <c r="AY221" s="9"/>
      <c r="AZ221" s="9"/>
      <c r="BJ221" s="9"/>
      <c r="BK221" s="50"/>
    </row>
    <row r="222" spans="6:63" ht="15">
      <c r="F222" s="20" t="str">
        <f t="shared" si="527"/>
        <v>COM_PROJ</v>
      </c>
      <c r="G222" s="21" t="str">
        <f t="shared" si="528"/>
        <v>-</v>
      </c>
      <c r="H222" s="48" t="str">
        <f t="shared" si="529"/>
        <v>TPPUBUS</v>
      </c>
      <c r="I222" s="21" t="str">
        <f t="shared" si="530"/>
        <v>-</v>
      </c>
      <c r="J222" s="21" t="str">
        <f t="shared" si="530"/>
        <v>-</v>
      </c>
      <c r="K222" s="21" t="str">
        <f t="shared" si="530"/>
        <v>-</v>
      </c>
      <c r="L222" s="21" t="str">
        <f t="shared" si="530"/>
        <v>-</v>
      </c>
      <c r="M222" s="20">
        <f t="shared" si="531"/>
        <v>0</v>
      </c>
      <c r="N222" s="9" cm="1">
        <f t="array" ref="N222">IF(N$218=-1,O222,IF(N$218=99,#REF!,IF(N$218=0,INDEX($E189:$M189,0,N$216),(INDEX($E189:$M189,0,N$218+1)-INDEX($E189:$M189,0,N$218))/(INDEX($E$185:$M$185,0,N$218+1)-INDEX($E$185:$M$185,0,N$218))+#REF!)))</f>
        <v>0.64296697178877804</v>
      </c>
      <c r="O222" s="9" cm="1">
        <f t="array" ref="O222">IF(O$218=-1,P222,IF(O$218=99,N222,IF(O$218=0,INDEX($E189:$M189,0,O$216),(INDEX($E189:$M189,0,O$218+1)-INDEX($E189:$M189,0,O$218))/(INDEX($E$185:$M$185,0,O$218+1)-INDEX($E$185:$M$185,0,O$218))+N222)))</f>
        <v>0.64929079481231411</v>
      </c>
      <c r="P222" s="9" cm="1">
        <f t="array" ref="P222">IF(P$218=-1,Q222,IF(P$218=99,O222,IF(P$218=0,INDEX($E189:$M189,0,P$216),(INDEX($E189:$M189,0,P$218+1)-INDEX($E189:$M189,0,P$218))/(INDEX($E$185:$M$185,0,P$218+1)-INDEX($E$185:$M$185,0,P$218))+O222)))</f>
        <v>0.65561461783585018</v>
      </c>
      <c r="Q222" s="9" cm="1">
        <f t="array" ref="Q222">IF(Q$218=-1,R222,IF(Q$218=99,P222,IF(Q$218=0,INDEX($E189:$M189,0,Q$216),(INDEX($E189:$M189,0,Q$218+1)-INDEX($E189:$M189,0,Q$218))/(INDEX($E$185:$M$185,0,Q$218+1)-INDEX($E$185:$M$185,0,Q$218))+P222)))</f>
        <v>0.6666265611015576</v>
      </c>
      <c r="R222" s="9" cm="1">
        <f t="array" ref="R222">IF(R$218=-1,S222,IF(R$218=99,Q222,IF(R$218=0,INDEX($E189:$M189,0,R$216),(INDEX($E189:$M189,0,R$218+1)-INDEX($E189:$M189,0,R$218))/(INDEX($E$185:$M$185,0,R$218+1)-INDEX($E$185:$M$185,0,R$218))+Q222)))</f>
        <v>0.68165992851148161</v>
      </c>
      <c r="S222" s="9" cm="1">
        <f t="array" ref="S222">IF(S$218=-1,T222,IF(S$218=99,R222,IF(S$218=0,INDEX($E189:$M189,0,S$216),(INDEX($E189:$M189,0,S$218+1)-INDEX($E189:$M189,0,S$218))/(INDEX($E$185:$M$185,0,S$218+1)-INDEX($E$185:$M$185,0,S$218))+R222)))</f>
        <v>0.68233114655833038</v>
      </c>
      <c r="T222" s="9" cm="1">
        <f t="array" ref="T222">IF(T$218=-1,W222,IF(T$218=99,S222,IF(T$218=0,INDEX($E189:$M189,0,T$216),(INDEX($E189:$M189,0,T$218+1)-INDEX($E189:$M189,0,T$218))/(INDEX($E$185:$M$185,0,T$218+1)-INDEX($E$185:$M$185,0,T$218))+S222)))</f>
        <v>0.68300236460517916</v>
      </c>
      <c r="U222" s="9" cm="1">
        <f t="array" ref="U222">IF(U$218=-1,W222,IF(U$218=99,S222,IF(U$218=0,INDEX($E189:$M189,0,U$216),(INDEX($E189:$M189,0,U$218+1)-INDEX($E189:$M189,0,U$218))/(INDEX($E$185:$M$185,0,U$218+1)-INDEX($E$185:$M$185,0,U$218))+S222)))</f>
        <v>0.68300236460517916</v>
      </c>
      <c r="V222" s="9" cm="1">
        <f t="array" ref="V222">IF(V$218=-1,W222,IF(V$218=99,S222,IF(V$218=0,INDEX($E189:$M189,0,V$216),(INDEX($E189:$M189,0,V$218+1)-INDEX($E189:$M189,0,V$218))/(INDEX($E$185:$M$185,0,V$218+1)-INDEX($E$185:$M$185,0,V$218))+S222)))</f>
        <v>0.68300236460517916</v>
      </c>
      <c r="W222" s="9" cm="1">
        <f t="array" ref="W222">IF(W$218=-1,X222,IF(W$218=99,T222,IF(W$218=0,INDEX($E189:$M189,0,W$216),(INDEX($E189:$M189,0,W$218+1)-INDEX($E189:$M189,0,W$218))/(INDEX($E$185:$M$185,0,W$218+1)-INDEX($E$185:$M$185,0,W$218))+T222)))</f>
        <v>0.68367358265202793</v>
      </c>
      <c r="X222" s="9" cm="1">
        <f t="array" ref="X222">IF(X$218=-1,Y222,IF(X$218=99,W222,IF(X$218=0,INDEX($E189:$M189,0,X$216),(INDEX($E189:$M189,0,X$218+1)-INDEX($E189:$M189,0,X$218))/(INDEX($E$185:$M$185,0,X$218+1)-INDEX($E$185:$M$185,0,X$218))+W222)))</f>
        <v>0.68434480069887671</v>
      </c>
      <c r="Y222" s="9" cm="1">
        <f t="array" ref="Y222">IF(Y$218=-1,Z222,IF(Y$218=99,X222,IF(Y$218=0,INDEX($E189:$M189,0,Y$216),(INDEX($E189:$M189,0,Y$218+1)-INDEX($E189:$M189,0,Y$218))/(INDEX($E$185:$M$185,0,Y$218+1)-INDEX($E$185:$M$185,0,Y$218))+X222)))</f>
        <v>0.68501601874572549</v>
      </c>
      <c r="Z222" s="9" cm="1">
        <f t="array" ref="Z222">IF(Z$218=-1,AA222,IF(Z$218=99,Y222,IF(Z$218=0,INDEX($E189:$M189,0,Z$216),(INDEX($E189:$M189,0,Z$218+1)-INDEX($E189:$M189,0,Z$218))/(INDEX($E$185:$M$185,0,Z$218+1)-INDEX($E$185:$M$185,0,Z$218))+Y222)))</f>
        <v>0.68568723679257426</v>
      </c>
      <c r="AA222" s="9" cm="1">
        <f t="array" ref="AA222">IF(AA$218=-1,AB222,IF(AA$218=99,Z222,IF(AA$218=0,INDEX($E189:$M189,0,AA$216),(INDEX($E189:$M189,0,AA$218+1)-INDEX($E189:$M189,0,AA$218))/(INDEX($E$185:$M$185,0,AA$218+1)-INDEX($E$185:$M$185,0,AA$218))+Z222)))</f>
        <v>0.68635845483942304</v>
      </c>
      <c r="AB222" s="9" cm="1">
        <f t="array" ref="AB222">IF(AB$218=-1,AC222,IF(AB$218=99,AA222,IF(AB$218=0,INDEX($E189:$M189,0,AB$216),(INDEX($E189:$M189,0,AB$218+1)-INDEX($E189:$M189,0,AB$218))/(INDEX($E$185:$M$185,0,AB$218+1)-INDEX($E$185:$M$185,0,AB$218))+AA222)))</f>
        <v>0.68702967288627181</v>
      </c>
      <c r="AC222" s="9" cm="1">
        <f t="array" ref="AC222">IF(AC$218=-1,AD222,IF(AC$218=99,AB222,IF(AC$218=0,INDEX($E189:$M189,0,AC$216),(INDEX($E189:$M189,0,AC$218+1)-INDEX($E189:$M189,0,AC$218))/(INDEX($E$185:$M$185,0,AC$218+1)-INDEX($E$185:$M$185,0,AC$218))+AB222)))</f>
        <v>0.68770089093312015</v>
      </c>
      <c r="AD222" s="9" cm="1">
        <f t="array" ref="AD222">IF(AD$218=-1,AE222,IF(AD$218=99,AC222,IF(AD$218=0,INDEX($E189:$M189,0,AD$216),(INDEX($E189:$M189,0,AD$218+1)-INDEX($E189:$M189,0,AD$218))/(INDEX($E$185:$M$185,0,AD$218+1)-INDEX($E$185:$M$185,0,AD$218))+AC222)))</f>
        <v>0.68446529022650993</v>
      </c>
      <c r="AE222" s="9" cm="1">
        <f t="array" ref="AE222">IF(AE$218=-1,AH222,IF(AE$218=99,AD222,IF(AE$218=0,INDEX($E189:$M189,0,AE$216),(INDEX($E189:$M189,0,AE$218+1)-INDEX($E189:$M189,0,AE$218))/(INDEX($E$185:$M$185,0,AE$218+1)-INDEX($E$185:$M$185,0,AE$218))+AD222)))</f>
        <v>0.68122968951989971</v>
      </c>
      <c r="AF222" s="9" cm="1">
        <f t="array" ref="AF222">IF(AF$218=-1,AH222,IF(AF$218=99,AD222,IF(AF$218=0,INDEX($E189:$M189,0,AF$216),(INDEX($E189:$M189,0,AF$218+1)-INDEX($E189:$M189,0,AF$218))/(INDEX($E$185:$M$185,0,AF$218+1)-INDEX($E$185:$M$185,0,AF$218))+AD222)))</f>
        <v>0.68122968951989971</v>
      </c>
      <c r="AG222" s="9" cm="1">
        <f t="array" ref="AG222">IF(AG$218=-1,AH222,IF(AG$218=99,AD222,IF(AG$218=0,INDEX($E189:$M189,0,AG$216),(INDEX($E189:$M189,0,AG$218+1)-INDEX($E189:$M189,0,AG$218))/(INDEX($E$185:$M$185,0,AG$218+1)-INDEX($E$185:$M$185,0,AG$218))+AD222)))</f>
        <v>0.68122968951989971</v>
      </c>
      <c r="AH222" s="9" cm="1">
        <f t="array" ref="AH222">IF(AH$218=-1,AI222,IF(AH$218=99,AE222,IF(AH$218=0,INDEX($E189:$M189,0,AH$216),(INDEX($E189:$M189,0,AH$218+1)-INDEX($E189:$M189,0,AH$218))/(INDEX($E$185:$M$185,0,AH$218+1)-INDEX($E$185:$M$185,0,AH$218))+AE222)))</f>
        <v>0.67799408881328949</v>
      </c>
      <c r="AI222" s="9" cm="1">
        <f t="array" ref="AI222">IF(AI$218=-1,AJ222,IF(AI$218=99,AH222,IF(AI$218=0,INDEX($E189:$M189,0,AI$216),(INDEX($E189:$M189,0,AI$218+1)-INDEX($E189:$M189,0,AI$218))/(INDEX($E$185:$M$185,0,AI$218+1)-INDEX($E$185:$M$185,0,AI$218))+AH222)))</f>
        <v>0.67475848810667927</v>
      </c>
      <c r="AJ222" s="9" cm="1">
        <f t="array" ref="AJ222">IF(AJ$218=-1,AK222,IF(AJ$218=99,AI222,IF(AJ$218=0,INDEX($E189:$M189,0,AJ$216),(INDEX($E189:$M189,0,AJ$218+1)-INDEX($E189:$M189,0,AJ$218))/(INDEX($E$185:$M$185,0,AJ$218+1)-INDEX($E$185:$M$185,0,AJ$218))+AI222)))</f>
        <v>0.67152288740006905</v>
      </c>
      <c r="AK222" s="9" cm="1">
        <f t="array" ref="AK222">IF(AK$218=-1,AL222,IF(AK$218=99,AJ222,IF(AK$218=0,INDEX($E189:$M189,0,AK$216),(INDEX($E189:$M189,0,AK$218+1)-INDEX($E189:$M189,0,AK$218))/(INDEX($E$185:$M$185,0,AK$218+1)-INDEX($E$185:$M$185,0,AK$218))+AJ222)))</f>
        <v>0.66828728669345883</v>
      </c>
      <c r="AL222" s="9" cm="1">
        <f t="array" ref="AL222">IF(AL$218=-1,AM222,IF(AL$218=99,AK222,IF(AL$218=0,INDEX($E189:$M189,0,AL$216),(INDEX($E189:$M189,0,AL$218+1)-INDEX($E189:$M189,0,AL$218))/(INDEX($E$185:$M$185,0,AL$218+1)-INDEX($E$185:$M$185,0,AL$218))+AK222)))</f>
        <v>0.66505168598684861</v>
      </c>
      <c r="AM222" s="9" cm="1">
        <f t="array" ref="AM222">IF(AM$218=-1,AO222,IF(AM$218=99,AL222,IF(AM$218=0,INDEX($E189:$M189,0,AM$216),(INDEX($E189:$M189,0,AM$218+1)-INDEX($E189:$M189,0,AM$218))/(INDEX($E$185:$M$185,0,AM$218+1)-INDEX($E$185:$M$185,0,AM$218))+AL222)))</f>
        <v>0.66181608528023839</v>
      </c>
      <c r="AN222" s="9" cm="1">
        <f t="array" ref="AN222">IF(AN$218=-1,AP222,IF(AN$218=99,AL222,IF(AN$218=0,INDEX($E189:$M189,0,AN$216),(INDEX($E189:$M189,0,AN$218+1)-INDEX($E189:$M189,0,AN$218))/(INDEX($E$185:$M$185,0,AN$218+1)-INDEX($E$185:$M$185,0,AN$218))+AL222)))</f>
        <v>0.66181608528023839</v>
      </c>
      <c r="AO222" s="9" cm="1">
        <f t="array" ref="AO222">IF(AO$218=-1,AQ222,IF(AO$218=99,AM222,IF(AO$218=0,INDEX($E189:$M189,0,AO$216),(INDEX($E189:$M189,0,AO$218+1)-INDEX($E189:$M189,0,AO$218))/(INDEX($E$185:$M$185,0,AO$218+1)-INDEX($E$185:$M$185,0,AO$218))+AM222)))</f>
        <v>0.65858048457362817</v>
      </c>
      <c r="AP222" s="9" cm="1">
        <f t="array" ref="AP222">IF(AP$218=-1,AR222,IF(AP$218=99,AO222,IF(AP$218=0,INDEX($E189:$M189,0,AP$216),(INDEX($E189:$M189,0,AP$218+1)-INDEX($E189:$M189,0,AP$218))/(INDEX($E$185:$M$185,0,AP$218+1)-INDEX($E$185:$M$185,0,AP$218))+AO222)))</f>
        <v>0.65534488386701795</v>
      </c>
      <c r="AQ222" s="9" cm="1">
        <f t="array" ref="AQ222">IF(AQ$218=-1,AR222,IF(AQ$218=99,AO222,IF(AQ$218=0,INDEX($E189:$M189,0,AQ$216),(INDEX($E189:$M189,0,AQ$218+1)-INDEX($E189:$M189,0,AQ$218))/(INDEX($E$185:$M$185,0,AQ$218+1)-INDEX($E$185:$M$185,0,AQ$218))+AO222)))</f>
        <v>0.65534488386701795</v>
      </c>
      <c r="AR222" s="243">
        <f t="shared" si="532"/>
        <v>0.6202295760857619</v>
      </c>
      <c r="AS222" s="9" cm="1">
        <f t="array" ref="AS222">IF(AS$218=-1,AT222,IF(AS$218=99,AR222,IF(AS$218=0,INDEX($E189:$M189,0,AS$216),(INDEX($E189:$M189,0,AS$218+1)-INDEX($E189:$M189,0,AS$218))/(INDEX($E$185:$M$185,0,AS$218+1)-INDEX($E$185:$M$185,0,AS$218))+AR222)))</f>
        <v>0.58511426830450586</v>
      </c>
      <c r="AT222" s="9" cm="1">
        <f t="array" ref="AT222">IF(AT$218=-1,AU222,IF(AT$218=99,AS222,IF(AT$218=0,INDEX($E189:$M189,0,AT$216),(INDEX($E189:$M189,0,AT$218+1)-INDEX($E189:$M189,0,AT$218))/(INDEX($E$185:$M$185,0,AT$218+1)-INDEX($E$185:$M$185,0,AT$218))+AS222)))</f>
        <v>0.56978445759695118</v>
      </c>
      <c r="AU222" s="9" cm="1">
        <f t="array" ref="AU222">IF(AU$218=-1,#REF!,IF(AU$218=99,AT222,IF(AU$218=0,INDEX($E189:$M189,0,AU$216),(INDEX($E189:$M189,0,AU$218+1)-INDEX($E189:$M189,0,AU$218))/(INDEX($E$185:$M$185,0,AU$218+1)-INDEX($E$185:$M$185,0,AU$218))+AT222)))</f>
        <v>0.56058567140481308</v>
      </c>
      <c r="AV222" s="9"/>
      <c r="AY222" s="9"/>
      <c r="AZ222" s="9"/>
      <c r="BJ222" s="9"/>
      <c r="BK222" s="50"/>
    </row>
    <row r="223" spans="6:63" ht="15">
      <c r="F223" s="20" t="str">
        <f t="shared" si="527"/>
        <v>COM_PROJ</v>
      </c>
      <c r="G223" s="21" t="str">
        <f t="shared" si="528"/>
        <v>-</v>
      </c>
      <c r="H223" s="48" t="str">
        <f t="shared" si="529"/>
        <v>TPPUMBT</v>
      </c>
      <c r="I223" s="21" t="str">
        <f t="shared" si="530"/>
        <v>-</v>
      </c>
      <c r="J223" s="21" t="str">
        <f t="shared" si="530"/>
        <v>-</v>
      </c>
      <c r="K223" s="21" t="str">
        <f t="shared" si="530"/>
        <v>-</v>
      </c>
      <c r="L223" s="21" t="str">
        <f t="shared" si="530"/>
        <v>-</v>
      </c>
      <c r="M223" s="20">
        <f t="shared" si="531"/>
        <v>0</v>
      </c>
      <c r="N223" s="22" cm="1">
        <f t="array" ref="N223">IF(N$218=-1,O223,IF(N$218=99,#REF!,IF(N$218=0,INDEX($E190:$M190,0,N$216),(INDEX($E190:$M190,0,N$218+1)-INDEX($E190:$M190,0,N$218))/(INDEX($E$185:$M$185,0,N$218+1)-INDEX($E$185:$M$185,0,N$218))+#REF!)))</f>
        <v>7.2130505455454896</v>
      </c>
      <c r="O223" s="9" cm="1">
        <f t="array" ref="O223">IF(O$218=-1,P223,IF(O$218=99,N223,IF(O$218=0,INDEX($E190:$M190,0,O$216),(INDEX($E190:$M190,0,O$218+1)-INDEX($E190:$M190,0,O$218))/(INDEX($E$185:$M$185,0,O$218+1)-INDEX($E$185:$M$185,0,O$218))+N223)))</f>
        <v>7.2845555245765379</v>
      </c>
      <c r="P223" s="9" cm="1">
        <f t="array" ref="P223">IF(P$218=-1,Q223,IF(P$218=99,O223,IF(P$218=0,INDEX($E190:$M190,0,P$216),(INDEX($E190:$M190,0,P$218+1)-INDEX($E190:$M190,0,P$218))/(INDEX($E$185:$M$185,0,P$218+1)-INDEX($E$185:$M$185,0,P$218))+O223)))</f>
        <v>7.3560605036075861</v>
      </c>
      <c r="Q223" s="9" cm="1">
        <f t="array" ref="Q223">IF(Q$218=-1,R223,IF(Q$218=99,P223,IF(Q$218=0,INDEX($E190:$M190,0,Q$216),(INDEX($E190:$M190,0,Q$218+1)-INDEX($E190:$M190,0,Q$218))/(INDEX($E$185:$M$185,0,Q$218+1)-INDEX($E$185:$M$185,0,Q$218))+P223)))</f>
        <v>7.4796155902715018</v>
      </c>
      <c r="R223" s="9" cm="1">
        <f t="array" ref="R223">IF(R$218=-1,S223,IF(R$218=99,Q223,IF(R$218=0,INDEX($E190:$M190,0,R$216),(INDEX($E190:$M190,0,R$218+1)-INDEX($E190:$M190,0,R$218))/(INDEX($E$185:$M$185,0,R$218+1)-INDEX($E$185:$M$185,0,R$218))+Q223)))</f>
        <v>7.6482914514129181</v>
      </c>
      <c r="S223" s="9" cm="1">
        <f t="array" ref="S223">IF(S$218=-1,T223,IF(S$218=99,R223,IF(S$218=0,INDEX($E190:$M190,0,S$216),(INDEX($E190:$M190,0,S$218+1)-INDEX($E190:$M190,0,S$218))/(INDEX($E$185:$M$185,0,S$218+1)-INDEX($E$185:$M$185,0,S$218))+R223)))</f>
        <v>7.6558225839249276</v>
      </c>
      <c r="T223" s="9" cm="1">
        <f t="array" ref="T223">IF(T$218=-1,W223,IF(T$218=99,S223,IF(T$218=0,INDEX($E190:$M190,0,T$216),(INDEX($E190:$M190,0,T$218+1)-INDEX($E190:$M190,0,T$218))/(INDEX($E$185:$M$185,0,T$218+1)-INDEX($E$185:$M$185,0,T$218))+S223)))</f>
        <v>7.6633537164369372</v>
      </c>
      <c r="U223" s="9" cm="1">
        <f t="array" ref="U223">IF(U$218=-1,W223,IF(U$218=99,S223,IF(U$218=0,INDEX($E190:$M190,0,U$216),(INDEX($E190:$M190,0,U$218+1)-INDEX($E190:$M190,0,U$218))/(INDEX($E$185:$M$185,0,U$218+1)-INDEX($E$185:$M$185,0,U$218))+S223)))</f>
        <v>7.6633537164369372</v>
      </c>
      <c r="V223" s="9" cm="1">
        <f t="array" ref="V223">IF(V$218=-1,W223,IF(V$218=99,S223,IF(V$218=0,INDEX($E190:$M190,0,V$216),(INDEX($E190:$M190,0,V$218+1)-INDEX($E190:$M190,0,V$218))/(INDEX($E$185:$M$185,0,V$218+1)-INDEX($E$185:$M$185,0,V$218))+S223)))</f>
        <v>7.6633537164369372</v>
      </c>
      <c r="W223" s="9" cm="1">
        <f t="array" ref="W223">IF(W$218=-1,X223,IF(W$218=99,T223,IF(W$218=0,INDEX($E190:$M190,0,W$216),(INDEX($E190:$M190,0,W$218+1)-INDEX($E190:$M190,0,W$218))/(INDEX($E$185:$M$185,0,W$218+1)-INDEX($E$185:$M$185,0,W$218))+T223)))</f>
        <v>7.6708848489489467</v>
      </c>
      <c r="X223" s="9" cm="1">
        <f t="array" ref="X223">IF(X$218=-1,Y223,IF(X$218=99,W223,IF(X$218=0,INDEX($E190:$M190,0,X$216),(INDEX($E190:$M190,0,X$218+1)-INDEX($E190:$M190,0,X$218))/(INDEX($E$185:$M$185,0,X$218+1)-INDEX($E$185:$M$185,0,X$218))+W223)))</f>
        <v>7.6784159814609563</v>
      </c>
      <c r="Y223" s="9" cm="1">
        <f t="array" ref="Y223">IF(Y$218=-1,Z223,IF(Y$218=99,X223,IF(Y$218=0,INDEX($E190:$M190,0,Y$216),(INDEX($E190:$M190,0,Y$218+1)-INDEX($E190:$M190,0,Y$218))/(INDEX($E$185:$M$185,0,Y$218+1)-INDEX($E$185:$M$185,0,Y$218))+X223)))</f>
        <v>7.6859471139729658</v>
      </c>
      <c r="Z223" s="9" cm="1">
        <f t="array" ref="Z223">IF(Z$218=-1,AA223,IF(Z$218=99,Y223,IF(Z$218=0,INDEX($E190:$M190,0,Z$216),(INDEX($E190:$M190,0,Z$218+1)-INDEX($E190:$M190,0,Z$218))/(INDEX($E$185:$M$185,0,Z$218+1)-INDEX($E$185:$M$185,0,Z$218))+Y223)))</f>
        <v>7.6934782464849754</v>
      </c>
      <c r="AA223" s="9" cm="1">
        <f t="array" ref="AA223">IF(AA$218=-1,AB223,IF(AA$218=99,Z223,IF(AA$218=0,INDEX($E190:$M190,0,AA$216),(INDEX($E190:$M190,0,AA$218+1)-INDEX($E190:$M190,0,AA$218))/(INDEX($E$185:$M$185,0,AA$218+1)-INDEX($E$185:$M$185,0,AA$218))+Z223)))</f>
        <v>7.7010093789969849</v>
      </c>
      <c r="AB223" s="9" cm="1">
        <f t="array" ref="AB223">IF(AB$218=-1,AC223,IF(AB$218=99,AA223,IF(AB$218=0,INDEX($E190:$M190,0,AB$216),(INDEX($E190:$M190,0,AB$218+1)-INDEX($E190:$M190,0,AB$218))/(INDEX($E$185:$M$185,0,AB$218+1)-INDEX($E$185:$M$185,0,AB$218))+AA223)))</f>
        <v>7.7085405115089944</v>
      </c>
      <c r="AC223" s="9" cm="1">
        <f t="array" ref="AC223">IF(AC$218=-1,AD223,IF(AC$218=99,AB223,IF(AC$218=0,INDEX($E190:$M190,0,AC$216),(INDEX($E190:$M190,0,AC$218+1)-INDEX($E190:$M190,0,AC$218))/(INDEX($E$185:$M$185,0,AC$218+1)-INDEX($E$185:$M$185,0,AC$218))+AB223)))</f>
        <v>7.7160716440210066</v>
      </c>
      <c r="AD223" s="9" cm="1">
        <f t="array" ref="AD223">IF(AD$218=-1,AE223,IF(AD$218=99,AC223,IF(AD$218=0,INDEX($E190:$M190,0,AD$216),(INDEX($E190:$M190,0,AD$218+1)-INDEX($E190:$M190,0,AD$218))/(INDEX($E$185:$M$185,0,AD$218+1)-INDEX($E$185:$M$185,0,AD$218))+AC223)))</f>
        <v>7.679767885813316</v>
      </c>
      <c r="AE223" s="9" cm="1">
        <f t="array" ref="AE223">IF(AE$218=-1,AH223,IF(AE$218=99,AD223,IF(AE$218=0,INDEX($E190:$M190,0,AE$216),(INDEX($E190:$M190,0,AE$218+1)-INDEX($E190:$M190,0,AE$218))/(INDEX($E$185:$M$185,0,AE$218+1)-INDEX($E$185:$M$185,0,AE$218))+AD223)))</f>
        <v>7.6434641276056254</v>
      </c>
      <c r="AF223" s="9" cm="1">
        <f t="array" ref="AF223">IF(AF$218=-1,AH223,IF(AF$218=99,AD223,IF(AF$218=0,INDEX($E190:$M190,0,AF$216),(INDEX($E190:$M190,0,AF$218+1)-INDEX($E190:$M190,0,AF$218))/(INDEX($E$185:$M$185,0,AF$218+1)-INDEX($E$185:$M$185,0,AF$218))+AD223)))</f>
        <v>7.6434641276056254</v>
      </c>
      <c r="AG223" s="9" cm="1">
        <f t="array" ref="AG223">IF(AG$218=-1,AH223,IF(AG$218=99,AD223,IF(AG$218=0,INDEX($E190:$M190,0,AG$216),(INDEX($E190:$M190,0,AG$218+1)-INDEX($E190:$M190,0,AG$218))/(INDEX($E$185:$M$185,0,AG$218+1)-INDEX($E$185:$M$185,0,AG$218))+AD223)))</f>
        <v>7.6434641276056254</v>
      </c>
      <c r="AH223" s="9" cm="1">
        <f t="array" ref="AH223">IF(AH$218=-1,AI223,IF(AH$218=99,AE223,IF(AH$218=0,INDEX($E190:$M190,0,AH$216),(INDEX($E190:$M190,0,AH$218+1)-INDEX($E190:$M190,0,AH$218))/(INDEX($E$185:$M$185,0,AH$218+1)-INDEX($E$185:$M$185,0,AH$218))+AE223)))</f>
        <v>7.6071603693979348</v>
      </c>
      <c r="AI223" s="9" cm="1">
        <f t="array" ref="AI223">IF(AI$218=-1,AJ223,IF(AI$218=99,AH223,IF(AI$218=0,INDEX($E190:$M190,0,AI$216),(INDEX($E190:$M190,0,AI$218+1)-INDEX($E190:$M190,0,AI$218))/(INDEX($E$185:$M$185,0,AI$218+1)-INDEX($E$185:$M$185,0,AI$218))+AH223)))</f>
        <v>7.5708566111902442</v>
      </c>
      <c r="AJ223" s="9" cm="1">
        <f t="array" ref="AJ223">IF(AJ$218=-1,AK223,IF(AJ$218=99,AI223,IF(AJ$218=0,INDEX($E190:$M190,0,AJ$216),(INDEX($E190:$M190,0,AJ$218+1)-INDEX($E190:$M190,0,AJ$218))/(INDEX($E$185:$M$185,0,AJ$218+1)-INDEX($E$185:$M$185,0,AJ$218))+AI223)))</f>
        <v>7.5345528529825536</v>
      </c>
      <c r="AK223" s="9" cm="1">
        <f t="array" ref="AK223">IF(AK$218=-1,AL223,IF(AK$218=99,AJ223,IF(AK$218=0,INDEX($E190:$M190,0,AK$216),(INDEX($E190:$M190,0,AK$218+1)-INDEX($E190:$M190,0,AK$218))/(INDEX($E$185:$M$185,0,AK$218+1)-INDEX($E$185:$M$185,0,AK$218))+AJ223)))</f>
        <v>7.498249094774863</v>
      </c>
      <c r="AL223" s="9" cm="1">
        <f t="array" ref="AL223">IF(AL$218=-1,AM223,IF(AL$218=99,AK223,IF(AL$218=0,INDEX($E190:$M190,0,AL$216),(INDEX($E190:$M190,0,AL$218+1)-INDEX($E190:$M190,0,AL$218))/(INDEX($E$185:$M$185,0,AL$218+1)-INDEX($E$185:$M$185,0,AL$218))+AK223)))</f>
        <v>7.4619453365671724</v>
      </c>
      <c r="AM223" s="9" cm="1">
        <f t="array" ref="AM223">IF(AM$218=-1,AO223,IF(AM$218=99,AL223,IF(AM$218=0,INDEX($E190:$M190,0,AM$216),(INDEX($E190:$M190,0,AM$218+1)-INDEX($E190:$M190,0,AM$218))/(INDEX($E$185:$M$185,0,AM$218+1)-INDEX($E$185:$M$185,0,AM$218))+AL223)))</f>
        <v>7.4256415783594818</v>
      </c>
      <c r="AN223" s="9" cm="1">
        <f t="array" ref="AN223">IF(AN$218=-1,AP223,IF(AN$218=99,AL223,IF(AN$218=0,INDEX($E190:$M190,0,AN$216),(INDEX($E190:$M190,0,AN$218+1)-INDEX($E190:$M190,0,AN$218))/(INDEX($E$185:$M$185,0,AN$218+1)-INDEX($E$185:$M$185,0,AN$218))+AL223)))</f>
        <v>7.4256415783594818</v>
      </c>
      <c r="AO223" s="9" cm="1">
        <f t="array" ref="AO223">IF(AO$218=-1,AQ223,IF(AO$218=99,AM223,IF(AO$218=0,INDEX($E190:$M190,0,AO$216),(INDEX($E190:$M190,0,AO$218+1)-INDEX($E190:$M190,0,AO$218))/(INDEX($E$185:$M$185,0,AO$218+1)-INDEX($E$185:$M$185,0,AO$218))+AM223)))</f>
        <v>7.3893378201517912</v>
      </c>
      <c r="AP223" s="9" cm="1">
        <f t="array" ref="AP223">IF(AP$218=-1,AR223,IF(AP$218=99,AO223,IF(AP$218=0,INDEX($E190:$M190,0,AP$216),(INDEX($E190:$M190,0,AP$218+1)-INDEX($E190:$M190,0,AP$218))/(INDEX($E$185:$M$185,0,AP$218+1)-INDEX($E$185:$M$185,0,AP$218))+AO223)))</f>
        <v>7.3530340619441006</v>
      </c>
      <c r="AQ223" s="9" cm="1">
        <f t="array" ref="AQ223">IF(AQ$218=-1,AR223,IF(AQ$218=99,AO223,IF(AQ$218=0,INDEX($E190:$M190,0,AQ$216),(INDEX($E190:$M190,0,AQ$218+1)-INDEX($E190:$M190,0,AQ$218))/(INDEX($E$185:$M$185,0,AQ$218+1)-INDEX($E$185:$M$185,0,AQ$218))+AO223)))</f>
        <v>7.3530340619441006</v>
      </c>
      <c r="AR223" s="243">
        <f t="shared" si="532"/>
        <v>6.9590368544163139</v>
      </c>
      <c r="AS223" s="9" cm="1">
        <f t="array" ref="AS223">IF(AS$218=-1,AT223,IF(AS$218=99,AR223,IF(AS$218=0,INDEX($E190:$M190,0,AS$216),(INDEX($E190:$M190,0,AS$218+1)-INDEX($E190:$M190,0,AS$218))/(INDEX($E$185:$M$185,0,AS$218+1)-INDEX($E$185:$M$185,0,AS$218))+AR223)))</f>
        <v>6.5650396468885273</v>
      </c>
      <c r="AT223" s="9" cm="1">
        <f t="array" ref="AT223">IF(AT$218=-1,AU223,IF(AT$218=99,AS223,IF(AT$218=0,INDEX($E190:$M190,0,AT$216),(INDEX($E190:$M190,0,AT$218+1)-INDEX($E190:$M190,0,AT$218))/(INDEX($E$185:$M$185,0,AT$218+1)-INDEX($E$185:$M$185,0,AT$218))+AS223)))</f>
        <v>6.3930376627871643</v>
      </c>
      <c r="AU223" s="9" cm="1">
        <f t="array" ref="AU223">IF(AU$218=-1,#REF!,IF(AU$218=99,AT223,IF(AU$218=0,INDEX($E190:$M190,0,AU$216),(INDEX($E190:$M190,0,AU$218+1)-INDEX($E190:$M190,0,AU$218))/(INDEX($E$185:$M$185,0,AU$218+1)-INDEX($E$185:$M$185,0,AU$218))+AT223)))</f>
        <v>6.2898263768453058</v>
      </c>
      <c r="AV223" s="9"/>
      <c r="AY223" s="9"/>
      <c r="AZ223" s="9"/>
      <c r="BJ223" s="9"/>
      <c r="BK223" s="50"/>
    </row>
    <row r="224" spans="6:63" ht="15">
      <c r="F224" s="20" t="str">
        <f t="shared" si="527"/>
        <v>COM_PROJ</v>
      </c>
      <c r="G224" s="21" t="str">
        <f t="shared" si="528"/>
        <v>-</v>
      </c>
      <c r="H224" s="48" t="str">
        <f t="shared" si="529"/>
        <v>TPPUBRT</v>
      </c>
      <c r="I224" s="21" t="str">
        <f t="shared" si="530"/>
        <v>-</v>
      </c>
      <c r="J224" s="21" t="str">
        <f t="shared" si="530"/>
        <v>-</v>
      </c>
      <c r="K224" s="21" t="str">
        <f t="shared" si="530"/>
        <v>-</v>
      </c>
      <c r="L224" s="21" t="str">
        <f t="shared" si="530"/>
        <v>-</v>
      </c>
      <c r="M224" s="20">
        <f t="shared" si="531"/>
        <v>0</v>
      </c>
      <c r="N224" s="9" cm="1">
        <f t="array" ref="N224">IF(N$218=-1,O224,IF(N$218=99,#REF!,IF(N$218=0,INDEX($E191:$M191,0,N$216),(INDEX($E191:$M191,0,N$218+1)-INDEX($E191:$M191,0,N$218))/(INDEX($E$185:$M$185,0,N$218+1)-INDEX($E$185:$M$185,0,N$218))+#REF!)))</f>
        <v>0.072799982901224303</v>
      </c>
      <c r="O224" s="9" cm="1">
        <f t="array" ref="O224">IF(O$218=-1,P224,IF(O$218=99,N224,IF(O$218=0,INDEX($E191:$M191,0,O$216),(INDEX($E191:$M191,0,O$218+1)-INDEX($E191:$M191,0,O$218))/(INDEX($E$185:$M$185,0,O$218+1)-INDEX($E$185:$M$185,0,O$218))+N224)))</f>
        <v>0.092054765383727061</v>
      </c>
      <c r="P224" s="9" cm="1">
        <f t="array" ref="P224">IF(P$218=-1,Q224,IF(P$218=99,O224,IF(P$218=0,INDEX($E191:$M191,0,P$216),(INDEX($E191:$M191,0,P$218+1)-INDEX($E191:$M191,0,P$218))/(INDEX($E$185:$M$185,0,P$218+1)-INDEX($E$185:$M$185,0,P$218))+O224)))</f>
        <v>0.1113095478662298</v>
      </c>
      <c r="Q224" s="9" cm="1">
        <f t="array" ref="Q224">IF(Q$218=-1,R224,IF(Q$218=99,P224,IF(Q$218=0,INDEX($E191:$M191,0,Q$216),(INDEX($E191:$M191,0,Q$218+1)-INDEX($E191:$M191,0,Q$218))/(INDEX($E$185:$M$185,0,Q$218+1)-INDEX($E$185:$M$185,0,Q$218))+P224)))</f>
        <v>0.11091277099762989</v>
      </c>
      <c r="R224" s="9" cm="1">
        <f t="array" ref="R224">IF(R$218=-1,S224,IF(R$218=99,Q224,IF(R$218=0,INDEX($E191:$M191,0,R$216),(INDEX($E191:$M191,0,R$218+1)-INDEX($E191:$M191,0,R$218))/(INDEX($E$185:$M$185,0,R$218+1)-INDEX($E$185:$M$185,0,R$218))+Q224)))</f>
        <v>0.11320845736963975</v>
      </c>
      <c r="S224" s="9" cm="1">
        <f t="array" ref="S224">IF(S$218=-1,T224,IF(S$218=99,R224,IF(S$218=0,INDEX($E191:$M191,0,S$216),(INDEX($E191:$M191,0,S$218+1)-INDEX($E191:$M191,0,S$218))/(INDEX($E$185:$M$185,0,S$218+1)-INDEX($E$185:$M$185,0,S$218))+R224)))</f>
        <v>0.11433939197588476</v>
      </c>
      <c r="T224" s="9" cm="1">
        <f t="array" ref="T224">IF(T$218=-1,W224,IF(T$218=99,S224,IF(T$218=0,INDEX($E191:$M191,0,T$216),(INDEX($E191:$M191,0,T$218+1)-INDEX($E191:$M191,0,T$218))/(INDEX($E$185:$M$185,0,T$218+1)-INDEX($E$185:$M$185,0,T$218))+S224)))</f>
        <v>0.11547032658212977</v>
      </c>
      <c r="U224" s="9" cm="1">
        <f t="array" ref="U224">IF(U$218=-1,W224,IF(U$218=99,S224,IF(U$218=0,INDEX($E191:$M191,0,U$216),(INDEX($E191:$M191,0,U$218+1)-INDEX($E191:$M191,0,U$218))/(INDEX($E$185:$M$185,0,U$218+1)-INDEX($E$185:$M$185,0,U$218))+S224)))</f>
        <v>0.11547032658212977</v>
      </c>
      <c r="V224" s="9" cm="1">
        <f t="array" ref="V224">IF(V$218=-1,W224,IF(V$218=99,S224,IF(V$218=0,INDEX($E191:$M191,0,V$216),(INDEX($E191:$M191,0,V$218+1)-INDEX($E191:$M191,0,V$218))/(INDEX($E$185:$M$185,0,V$218+1)-INDEX($E$185:$M$185,0,V$218))+S224)))</f>
        <v>0.11547032658212977</v>
      </c>
      <c r="W224" s="9" cm="1">
        <f t="array" ref="W224">IF(W$218=-1,X224,IF(W$218=99,T224,IF(W$218=0,INDEX($E191:$M191,0,W$216),(INDEX($E191:$M191,0,W$218+1)-INDEX($E191:$M191,0,W$218))/(INDEX($E$185:$M$185,0,W$218+1)-INDEX($E$185:$M$185,0,W$218))+T224)))</f>
        <v>0.11660126118837479</v>
      </c>
      <c r="X224" s="9" cm="1">
        <f t="array" ref="X224">IF(X$218=-1,Y224,IF(X$218=99,W224,IF(X$218=0,INDEX($E191:$M191,0,X$216),(INDEX($E191:$M191,0,X$218+1)-INDEX($E191:$M191,0,X$218))/(INDEX($E$185:$M$185,0,X$218+1)-INDEX($E$185:$M$185,0,X$218))+W224)))</f>
        <v>0.1177321957946198</v>
      </c>
      <c r="Y224" s="9" cm="1">
        <f t="array" ref="Y224">IF(Y$218=-1,Z224,IF(Y$218=99,X224,IF(Y$218=0,INDEX($E191:$M191,0,Y$216),(INDEX($E191:$M191,0,Y$218+1)-INDEX($E191:$M191,0,Y$218))/(INDEX($E$185:$M$185,0,Y$218+1)-INDEX($E$185:$M$185,0,Y$218))+X224)))</f>
        <v>0.11886313040086481</v>
      </c>
      <c r="Z224" s="9" cm="1">
        <f t="array" ref="Z224">IF(Z$218=-1,AA224,IF(Z$218=99,Y224,IF(Z$218=0,INDEX($E191:$M191,0,Z$216),(INDEX($E191:$M191,0,Z$218+1)-INDEX($E191:$M191,0,Z$218))/(INDEX($E$185:$M$185,0,Z$218+1)-INDEX($E$185:$M$185,0,Z$218))+Y224)))</f>
        <v>0.11999406500710982</v>
      </c>
      <c r="AA224" s="9" cm="1">
        <f t="array" ref="AA224">IF(AA$218=-1,AB224,IF(AA$218=99,Z224,IF(AA$218=0,INDEX($E191:$M191,0,AA$216),(INDEX($E191:$M191,0,AA$218+1)-INDEX($E191:$M191,0,AA$218))/(INDEX($E$185:$M$185,0,AA$218+1)-INDEX($E$185:$M$185,0,AA$218))+Z224)))</f>
        <v>0.12112499961335484</v>
      </c>
      <c r="AB224" s="9" cm="1">
        <f t="array" ref="AB224">IF(AB$218=-1,AC224,IF(AB$218=99,AA224,IF(AB$218=0,INDEX($E191:$M191,0,AB$216),(INDEX($E191:$M191,0,AB$218+1)-INDEX($E191:$M191,0,AB$218))/(INDEX($E$185:$M$185,0,AB$218+1)-INDEX($E$185:$M$185,0,AB$218))+AA224)))</f>
        <v>0.12225593421959985</v>
      </c>
      <c r="AC224" s="9" cm="1">
        <f t="array" ref="AC224">IF(AC$218=-1,AD224,IF(AC$218=99,AB224,IF(AC$218=0,INDEX($E191:$M191,0,AC$216),(INDEX($E191:$M191,0,AC$218+1)-INDEX($E191:$M191,0,AC$218))/(INDEX($E$185:$M$185,0,AC$218+1)-INDEX($E$185:$M$185,0,AC$218))+AB224)))</f>
        <v>0.12338686882584481</v>
      </c>
      <c r="AD224" s="9" cm="1">
        <f t="array" ref="AD224">IF(AD$218=-1,AE224,IF(AD$218=99,AC224,IF(AD$218=0,INDEX($E191:$M191,0,AD$216),(INDEX($E191:$M191,0,AD$218+1)-INDEX($E191:$M191,0,AD$218))/(INDEX($E$185:$M$185,0,AD$218+1)-INDEX($E$185:$M$185,0,AD$218))+AC224)))</f>
        <v>0.12436701429935186</v>
      </c>
      <c r="AE224" s="9" cm="1">
        <f t="array" ref="AE224">IF(AE$218=-1,AH224,IF(AE$218=99,AD224,IF(AE$218=0,INDEX($E191:$M191,0,AE$216),(INDEX($E191:$M191,0,AE$218+1)-INDEX($E191:$M191,0,AE$218))/(INDEX($E$185:$M$185,0,AE$218+1)-INDEX($E$185:$M$185,0,AE$218))+AD224)))</f>
        <v>0.12534715977285893</v>
      </c>
      <c r="AF224" s="9" cm="1">
        <f t="array" ref="AF224">IF(AF$218=-1,AH224,IF(AF$218=99,AD224,IF(AF$218=0,INDEX($E191:$M191,0,AF$216),(INDEX($E191:$M191,0,AF$218+1)-INDEX($E191:$M191,0,AF$218))/(INDEX($E$185:$M$185,0,AF$218+1)-INDEX($E$185:$M$185,0,AF$218))+AD224)))</f>
        <v>0.12534715977285893</v>
      </c>
      <c r="AG224" s="9" cm="1">
        <f t="array" ref="AG224">IF(AG$218=-1,AH224,IF(AG$218=99,AD224,IF(AG$218=0,INDEX($E191:$M191,0,AG$216),(INDEX($E191:$M191,0,AG$218+1)-INDEX($E191:$M191,0,AG$218))/(INDEX($E$185:$M$185,0,AG$218+1)-INDEX($E$185:$M$185,0,AG$218))+AD224)))</f>
        <v>0.12534715977285893</v>
      </c>
      <c r="AH224" s="9" cm="1">
        <f t="array" ref="AH224">IF(AH$218=-1,AI224,IF(AH$218=99,AE224,IF(AH$218=0,INDEX($E191:$M191,0,AH$216),(INDEX($E191:$M191,0,AH$218+1)-INDEX($E191:$M191,0,AH$218))/(INDEX($E$185:$M$185,0,AH$218+1)-INDEX($E$185:$M$185,0,AH$218))+AE224)))</f>
        <v>0.12632730524636598</v>
      </c>
      <c r="AI224" s="9" cm="1">
        <f t="array" ref="AI224">IF(AI$218=-1,AJ224,IF(AI$218=99,AH224,IF(AI$218=0,INDEX($E191:$M191,0,AI$216),(INDEX($E191:$M191,0,AI$218+1)-INDEX($E191:$M191,0,AI$218))/(INDEX($E$185:$M$185,0,AI$218+1)-INDEX($E$185:$M$185,0,AI$218))+AH224)))</f>
        <v>0.12730745071987304</v>
      </c>
      <c r="AJ224" s="9" cm="1">
        <f t="array" ref="AJ224">IF(AJ$218=-1,AK224,IF(AJ$218=99,AI224,IF(AJ$218=0,INDEX($E191:$M191,0,AJ$216),(INDEX($E191:$M191,0,AJ$218+1)-INDEX($E191:$M191,0,AJ$218))/(INDEX($E$185:$M$185,0,AJ$218+1)-INDEX($E$185:$M$185,0,AJ$218))+AI224)))</f>
        <v>0.12828759619338009</v>
      </c>
      <c r="AK224" s="9" cm="1">
        <f t="array" ref="AK224">IF(AK$218=-1,AL224,IF(AK$218=99,AJ224,IF(AK$218=0,INDEX($E191:$M191,0,AK$216),(INDEX($E191:$M191,0,AK$218+1)-INDEX($E191:$M191,0,AK$218))/(INDEX($E$185:$M$185,0,AK$218+1)-INDEX($E$185:$M$185,0,AK$218))+AJ224)))</f>
        <v>0.12926774166688715</v>
      </c>
      <c r="AL224" s="9" cm="1">
        <f t="array" ref="AL224">IF(AL$218=-1,AM224,IF(AL$218=99,AK224,IF(AL$218=0,INDEX($E191:$M191,0,AL$216),(INDEX($E191:$M191,0,AL$218+1)-INDEX($E191:$M191,0,AL$218))/(INDEX($E$185:$M$185,0,AL$218+1)-INDEX($E$185:$M$185,0,AL$218))+AK224)))</f>
        <v>0.1302478871403942</v>
      </c>
      <c r="AM224" s="9" cm="1">
        <f t="array" ref="AM224">IF(AM$218=-1,AO224,IF(AM$218=99,AL224,IF(AM$218=0,INDEX($E191:$M191,0,AM$216),(INDEX($E191:$M191,0,AM$218+1)-INDEX($E191:$M191,0,AM$218))/(INDEX($E$185:$M$185,0,AM$218+1)-INDEX($E$185:$M$185,0,AM$218))+AL224)))</f>
        <v>0.13122803261390126</v>
      </c>
      <c r="AN224" s="9" cm="1">
        <f t="array" ref="AN224">IF(AN$218=-1,AP224,IF(AN$218=99,AL224,IF(AN$218=0,INDEX($E191:$M191,0,AN$216),(INDEX($E191:$M191,0,AN$218+1)-INDEX($E191:$M191,0,AN$218))/(INDEX($E$185:$M$185,0,AN$218+1)-INDEX($E$185:$M$185,0,AN$218))+AL224)))</f>
        <v>0.13122803261390126</v>
      </c>
      <c r="AO224" s="9" cm="1">
        <f t="array" ref="AO224">IF(AO$218=-1,AQ224,IF(AO$218=99,AM224,IF(AO$218=0,INDEX($E191:$M191,0,AO$216),(INDEX($E191:$M191,0,AO$218+1)-INDEX($E191:$M191,0,AO$218))/(INDEX($E$185:$M$185,0,AO$218+1)-INDEX($E$185:$M$185,0,AO$218))+AM224)))</f>
        <v>0.13220817808740831</v>
      </c>
      <c r="AP224" s="9" cm="1">
        <f t="array" ref="AP224">IF(AP$218=-1,AR224,IF(AP$218=99,AO224,IF(AP$218=0,INDEX($E191:$M191,0,AP$216),(INDEX($E191:$M191,0,AP$218+1)-INDEX($E191:$M191,0,AP$218))/(INDEX($E$185:$M$185,0,AP$218+1)-INDEX($E$185:$M$185,0,AP$218))+AO224)))</f>
        <v>0.13318832356091539</v>
      </c>
      <c r="AQ224" s="9" cm="1">
        <f t="array" ref="AQ224">IF(AQ$218=-1,AR224,IF(AQ$218=99,AO224,IF(AQ$218=0,INDEX($E191:$M191,0,AQ$216),(INDEX($E191:$M191,0,AQ$218+1)-INDEX($E191:$M191,0,AQ$218))/(INDEX($E$185:$M$185,0,AQ$218+1)-INDEX($E$185:$M$185,0,AQ$218))+AO224)))</f>
        <v>0.13318832356091539</v>
      </c>
      <c r="AR224" s="243">
        <f t="shared" si="532"/>
        <v>0.13688495434958595</v>
      </c>
      <c r="AS224" s="9" cm="1">
        <f t="array" ref="AS224">IF(AS$218=-1,AT224,IF(AS$218=99,AR224,IF(AS$218=0,INDEX($E191:$M191,0,AS$216),(INDEX($E191:$M191,0,AS$218+1)-INDEX($E191:$M191,0,AS$218))/(INDEX($E$185:$M$185,0,AS$218+1)-INDEX($E$185:$M$185,0,AS$218))+AR224)))</f>
        <v>0.1405815851382565</v>
      </c>
      <c r="AT224" s="9" cm="1">
        <f t="array" ref="AT224">IF(AT$218=-1,AU224,IF(AT$218=99,AS224,IF(AT$218=0,INDEX($E191:$M191,0,AT$216),(INDEX($E191:$M191,0,AT$218+1)-INDEX($E191:$M191,0,AT$218))/(INDEX($E$185:$M$185,0,AT$218+1)-INDEX($E$185:$M$185,0,AT$218))+AS224)))</f>
        <v>0.14473458090800723</v>
      </c>
      <c r="AU224" s="9" cm="1">
        <f t="array" ref="AU224">IF(AU$218=-1,#REF!,IF(AU$218=99,AT224,IF(AU$218=0,INDEX($E191:$M191,0,AU$216),(INDEX($E191:$M191,0,AU$218+1)-INDEX($E191:$M191,0,AU$218))/(INDEX($E$185:$M$185,0,AU$218+1)-INDEX($E$185:$M$185,0,AU$218))+AT224)))</f>
        <v>0.14640680725053476</v>
      </c>
      <c r="AV224" s="9"/>
      <c r="AY224" s="9"/>
      <c r="AZ224" s="9"/>
      <c r="BJ224" s="9"/>
      <c r="BK224" s="50"/>
    </row>
    <row r="225" spans="6:63" ht="15">
      <c r="F225" s="20" t="str">
        <f t="shared" si="527"/>
        <v>COM_PROJ</v>
      </c>
      <c r="G225" s="21" t="str">
        <f t="shared" si="528"/>
        <v>-</v>
      </c>
      <c r="H225" s="48" t="str">
        <f t="shared" si="529"/>
        <v>TPPUMER</v>
      </c>
      <c r="I225" s="21" t="str">
        <f t="shared" si="530"/>
        <v>-</v>
      </c>
      <c r="J225" s="21" t="str">
        <f t="shared" si="530"/>
        <v>-</v>
      </c>
      <c r="K225" s="21" t="str">
        <f t="shared" si="530"/>
        <v>-</v>
      </c>
      <c r="L225" s="21" t="str">
        <f t="shared" si="530"/>
        <v>-</v>
      </c>
      <c r="M225" s="20">
        <f t="shared" si="531"/>
        <v>0</v>
      </c>
      <c r="N225" s="9" cm="1">
        <f t="array" ref="N225">IF(N$218=-1,O225,IF(N$218=99,#REF!,IF(N$218=0,INDEX($E192:$M192,0,N$216),(INDEX($E192:$M192,0,N$218+1)-INDEX($E192:$M192,0,N$218))/(INDEX($E$185:$M$185,0,N$218+1)-INDEX($E$185:$M$185,0,N$218))+#REF!)))</f>
        <v>8.7048317578401608</v>
      </c>
      <c r="O225" s="9" cm="1">
        <f t="array" ref="O225">IF(O$218=-1,P225,IF(O$218=99,N225,IF(O$218=0,INDEX($E192:$M192,0,O$216),(INDEX($E192:$M192,0,O$218+1)-INDEX($E192:$M192,0,O$218))/(INDEX($E$185:$M$185,0,O$218+1)-INDEX($E$185:$M$185,0,O$218))+N225)))</f>
        <v>8.7898700606728966</v>
      </c>
      <c r="P225" s="9" cm="1">
        <f t="array" ref="P225">IF(P$218=-1,Q225,IF(P$218=99,O225,IF(P$218=0,INDEX($E192:$M192,0,P$216),(INDEX($E192:$M192,0,P$218+1)-INDEX($E192:$M192,0,P$218))/(INDEX($E$185:$M$185,0,P$218+1)-INDEX($E$185:$M$185,0,P$218))+O225)))</f>
        <v>8.8749083635056305</v>
      </c>
      <c r="Q225" s="9" cm="1">
        <f t="array" ref="Q225">IF(Q$218=-1,R225,IF(Q$218=99,P225,IF(Q$218=0,INDEX($E192:$M192,0,Q$216),(INDEX($E192:$M192,0,Q$218+1)-INDEX($E192:$M192,0,Q$218))/(INDEX($E$185:$M$185,0,Q$218+1)-INDEX($E$185:$M$185,0,Q$218))+P225)))</f>
        <v>9.0239745751619225</v>
      </c>
      <c r="R225" s="9" cm="1">
        <f t="array" ref="R225">IF(R$218=-1,S225,IF(R$218=99,Q225,IF(R$218=0,INDEX($E192:$M192,0,R$216),(INDEX($E192:$M192,0,R$218+1)-INDEX($E192:$M192,0,R$218))/(INDEX($E$185:$M$185,0,R$218+1)-INDEX($E$185:$M$185,0,R$218))+Q225)))</f>
        <v>9.227477905515352</v>
      </c>
      <c r="S225" s="9" cm="1">
        <f t="array" ref="S225">IF(S$218=-1,T225,IF(S$218=99,R225,IF(S$218=0,INDEX($E192:$M192,0,S$216),(INDEX($E192:$M192,0,S$218+1)-INDEX($E192:$M192,0,S$218))/(INDEX($E$185:$M$185,0,S$218+1)-INDEX($E$185:$M$185,0,S$218))+R225)))</f>
        <v>9.236564034005557</v>
      </c>
      <c r="T225" s="9" cm="1">
        <f t="array" ref="T225">IF(T$218=-1,W225,IF(T$218=99,S225,IF(T$218=0,INDEX($E192:$M192,0,T$216),(INDEX($E192:$M192,0,T$218+1)-INDEX($E192:$M192,0,T$218))/(INDEX($E$185:$M$185,0,T$218+1)-INDEX($E$185:$M$185,0,T$218))+S225)))</f>
        <v>9.2456501624957621</v>
      </c>
      <c r="U225" s="9" cm="1">
        <f t="array" ref="U225">IF(U$218=-1,W225,IF(U$218=99,S225,IF(U$218=0,INDEX($E192:$M192,0,U$216),(INDEX($E192:$M192,0,U$218+1)-INDEX($E192:$M192,0,U$218))/(INDEX($E$185:$M$185,0,U$218+1)-INDEX($E$185:$M$185,0,U$218))+S225)))</f>
        <v>9.2456501624957621</v>
      </c>
      <c r="V225" s="9" cm="1">
        <f t="array" ref="V225">IF(V$218=-1,W225,IF(V$218=99,S225,IF(V$218=0,INDEX($E192:$M192,0,V$216),(INDEX($E192:$M192,0,V$218+1)-INDEX($E192:$M192,0,V$218))/(INDEX($E$185:$M$185,0,V$218+1)-INDEX($E$185:$M$185,0,V$218))+S225)))</f>
        <v>9.2456501624957621</v>
      </c>
      <c r="W225" s="9" cm="1">
        <f t="array" ref="W225">IF(W$218=-1,X225,IF(W$218=99,T225,IF(W$218=0,INDEX($E192:$M192,0,W$216),(INDEX($E192:$M192,0,W$218+1)-INDEX($E192:$M192,0,W$218))/(INDEX($E$185:$M$185,0,W$218+1)-INDEX($E$185:$M$185,0,W$218))+T225)))</f>
        <v>9.2547362909859672</v>
      </c>
      <c r="X225" s="9" cm="1">
        <f t="array" ref="X225">IF(X$218=-1,Y225,IF(X$218=99,W225,IF(X$218=0,INDEX($E192:$M192,0,X$216),(INDEX($E192:$M192,0,X$218+1)-INDEX($E192:$M192,0,X$218))/(INDEX($E$185:$M$185,0,X$218+1)-INDEX($E$185:$M$185,0,X$218))+W225)))</f>
        <v>9.2638224194761722</v>
      </c>
      <c r="Y225" s="9" cm="1">
        <f t="array" ref="Y225">IF(Y$218=-1,Z225,IF(Y$218=99,X225,IF(Y$218=0,INDEX($E192:$M192,0,Y$216),(INDEX($E192:$M192,0,Y$218+1)-INDEX($E192:$M192,0,Y$218))/(INDEX($E$185:$M$185,0,Y$218+1)-INDEX($E$185:$M$185,0,Y$218))+X225)))</f>
        <v>9.2729085479663773</v>
      </c>
      <c r="Z225" s="9" cm="1">
        <f t="array" ref="Z225">IF(Z$218=-1,AA225,IF(Z$218=99,Y225,IF(Z$218=0,INDEX($E192:$M192,0,Z$216),(INDEX($E192:$M192,0,Z$218+1)-INDEX($E192:$M192,0,Z$218))/(INDEX($E$185:$M$185,0,Z$218+1)-INDEX($E$185:$M$185,0,Z$218))+Y225)))</f>
        <v>9.2819946764565824</v>
      </c>
      <c r="AA225" s="9" cm="1">
        <f t="array" ref="AA225">IF(AA$218=-1,AB225,IF(AA$218=99,Z225,IF(AA$218=0,INDEX($E192:$M192,0,AA$216),(INDEX($E192:$M192,0,AA$218+1)-INDEX($E192:$M192,0,AA$218))/(INDEX($E$185:$M$185,0,AA$218+1)-INDEX($E$185:$M$185,0,AA$218))+Z225)))</f>
        <v>9.2910808049467875</v>
      </c>
      <c r="AB225" s="9" cm="1">
        <f t="array" ref="AB225">IF(AB$218=-1,AC225,IF(AB$218=99,AA225,IF(AB$218=0,INDEX($E192:$M192,0,AB$216),(INDEX($E192:$M192,0,AB$218+1)-INDEX($E192:$M192,0,AB$218))/(INDEX($E$185:$M$185,0,AB$218+1)-INDEX($E$185:$M$185,0,AB$218))+AA225)))</f>
        <v>9.3001669334369925</v>
      </c>
      <c r="AC225" s="9" cm="1">
        <f t="array" ref="AC225">IF(AC$218=-1,AD225,IF(AC$218=99,AB225,IF(AC$218=0,INDEX($E192:$M192,0,AC$216),(INDEX($E192:$M192,0,AC$218+1)-INDEX($E192:$M192,0,AC$218))/(INDEX($E$185:$M$185,0,AC$218+1)-INDEX($E$185:$M$185,0,AC$218))+AB225)))</f>
        <v>9.3092530619272011</v>
      </c>
      <c r="AD225" s="9" cm="1">
        <f t="array" ref="AD225">IF(AD$218=-1,AE225,IF(AD$218=99,AC225,IF(AD$218=0,INDEX($E192:$M192,0,AD$216),(INDEX($E192:$M192,0,AD$218+1)-INDEX($E192:$M192,0,AD$218))/(INDEX($E$185:$M$185,0,AD$218+1)-INDEX($E$185:$M$185,0,AD$218))+AC225)))</f>
        <v>9.2654534592477358</v>
      </c>
      <c r="AE225" s="9" cm="1">
        <f t="array" ref="AE225">IF(AE$218=-1,AH225,IF(AE$218=99,AD225,IF(AE$218=0,INDEX($E192:$M192,0,AE$216),(INDEX($E192:$M192,0,AE$218+1)-INDEX($E192:$M192,0,AE$218))/(INDEX($E$185:$M$185,0,AE$218+1)-INDEX($E$185:$M$185,0,AE$218))+AD225)))</f>
        <v>9.2216538565682704</v>
      </c>
      <c r="AF225" s="9" cm="1">
        <f t="array" ref="AF225">IF(AF$218=-1,AH225,IF(AF$218=99,AD225,IF(AF$218=0,INDEX($E192:$M192,0,AF$216),(INDEX($E192:$M192,0,AF$218+1)-INDEX($E192:$M192,0,AF$218))/(INDEX($E$185:$M$185,0,AF$218+1)-INDEX($E$185:$M$185,0,AF$218))+AD225)))</f>
        <v>9.2216538565682704</v>
      </c>
      <c r="AG225" s="9" cm="1">
        <f t="array" ref="AG225">IF(AG$218=-1,AH225,IF(AG$218=99,AD225,IF(AG$218=0,INDEX($E192:$M192,0,AG$216),(INDEX($E192:$M192,0,AG$218+1)-INDEX($E192:$M192,0,AG$218))/(INDEX($E$185:$M$185,0,AG$218+1)-INDEX($E$185:$M$185,0,AG$218))+AD225)))</f>
        <v>9.2216538565682704</v>
      </c>
      <c r="AH225" s="9" cm="1">
        <f t="array" ref="AH225">IF(AH$218=-1,AI225,IF(AH$218=99,AE225,IF(AH$218=0,INDEX($E192:$M192,0,AH$216),(INDEX($E192:$M192,0,AH$218+1)-INDEX($E192:$M192,0,AH$218))/(INDEX($E$185:$M$185,0,AH$218+1)-INDEX($E$185:$M$185,0,AH$218))+AE225)))</f>
        <v>9.177854253888805</v>
      </c>
      <c r="AI225" s="9" cm="1">
        <f t="array" ref="AI225">IF(AI$218=-1,AJ225,IF(AI$218=99,AH225,IF(AI$218=0,INDEX($E192:$M192,0,AI$216),(INDEX($E192:$M192,0,AI$218+1)-INDEX($E192:$M192,0,AI$218))/(INDEX($E$185:$M$185,0,AI$218+1)-INDEX($E$185:$M$185,0,AI$218))+AH225)))</f>
        <v>9.1340546512093397</v>
      </c>
      <c r="AJ225" s="9" cm="1">
        <f t="array" ref="AJ225">IF(AJ$218=-1,AK225,IF(AJ$218=99,AI225,IF(AJ$218=0,INDEX($E192:$M192,0,AJ$216),(INDEX($E192:$M192,0,AJ$218+1)-INDEX($E192:$M192,0,AJ$218))/(INDEX($E$185:$M$185,0,AJ$218+1)-INDEX($E$185:$M$185,0,AJ$218))+AI225)))</f>
        <v>9.0902550485298743</v>
      </c>
      <c r="AK225" s="9" cm="1">
        <f t="array" ref="AK225">IF(AK$218=-1,AL225,IF(AK$218=99,AJ225,IF(AK$218=0,INDEX($E192:$M192,0,AK$216),(INDEX($E192:$M192,0,AK$218+1)-INDEX($E192:$M192,0,AK$218))/(INDEX($E$185:$M$185,0,AK$218+1)-INDEX($E$185:$M$185,0,AK$218))+AJ225)))</f>
        <v>9.0464554458504089</v>
      </c>
      <c r="AL225" s="9" cm="1">
        <f t="array" ref="AL225">IF(AL$218=-1,AM225,IF(AL$218=99,AK225,IF(AL$218=0,INDEX($E192:$M192,0,AL$216),(INDEX($E192:$M192,0,AL$218+1)-INDEX($E192:$M192,0,AL$218))/(INDEX($E$185:$M$185,0,AL$218+1)-INDEX($E$185:$M$185,0,AL$218))+AK225)))</f>
        <v>9.0026558431709436</v>
      </c>
      <c r="AM225" s="9" cm="1">
        <f t="array" ref="AM225">IF(AM$218=-1,AO225,IF(AM$218=99,AL225,IF(AM$218=0,INDEX($E192:$M192,0,AM$216),(INDEX($E192:$M192,0,AM$218+1)-INDEX($E192:$M192,0,AM$218))/(INDEX($E$185:$M$185,0,AM$218+1)-INDEX($E$185:$M$185,0,AM$218))+AL225)))</f>
        <v>8.9588562404914782</v>
      </c>
      <c r="AN225" s="9" cm="1">
        <f t="array" ref="AN225">IF(AN$218=-1,AP225,IF(AN$218=99,AL225,IF(AN$218=0,INDEX($E192:$M192,0,AN$216),(INDEX($E192:$M192,0,AN$218+1)-INDEX($E192:$M192,0,AN$218))/(INDEX($E$185:$M$185,0,AN$218+1)-INDEX($E$185:$M$185,0,AN$218))+AL225)))</f>
        <v>8.9588562404914782</v>
      </c>
      <c r="AO225" s="9" cm="1">
        <f t="array" ref="AO225">IF(AO$218=-1,AQ225,IF(AO$218=99,AM225,IF(AO$218=0,INDEX($E192:$M192,0,AO$216),(INDEX($E192:$M192,0,AO$218+1)-INDEX($E192:$M192,0,AO$218))/(INDEX($E$185:$M$185,0,AO$218+1)-INDEX($E$185:$M$185,0,AO$218))+AM225)))</f>
        <v>8.9150566378120129</v>
      </c>
      <c r="AP225" s="9" cm="1">
        <f t="array" ref="AP225">IF(AP$218=-1,AR225,IF(AP$218=99,AO225,IF(AP$218=0,INDEX($E192:$M192,0,AP$216),(INDEX($E192:$M192,0,AP$218+1)-INDEX($E192:$M192,0,AP$218))/(INDEX($E$185:$M$185,0,AP$218+1)-INDEX($E$185:$M$185,0,AP$218))+AO225)))</f>
        <v>8.8712570351325493</v>
      </c>
      <c r="AQ225" s="9" cm="1">
        <f t="array" ref="AQ225">IF(AQ$218=-1,AR225,IF(AQ$218=99,AO225,IF(AQ$218=0,INDEX($E192:$M192,0,AQ$216),(INDEX($E192:$M192,0,AQ$218+1)-INDEX($E192:$M192,0,AQ$218))/(INDEX($E$185:$M$185,0,AQ$218+1)-INDEX($E$185:$M$185,0,AQ$218))+AO225)))</f>
        <v>8.8712570351325493</v>
      </c>
      <c r="AR225" s="243">
        <f t="shared" si="532"/>
        <v>8.3959089720529487</v>
      </c>
      <c r="AS225" s="9" cm="1">
        <f t="array" ref="AS225">IF(AS$218=-1,AT225,IF(AS$218=99,AR225,IF(AS$218=0,INDEX($E192:$M192,0,AS$216),(INDEX($E192:$M192,0,AS$218+1)-INDEX($E192:$M192,0,AS$218))/(INDEX($E$185:$M$185,0,AS$218+1)-INDEX($E$185:$M$185,0,AS$218))+AR225)))</f>
        <v>7.9205609089733473</v>
      </c>
      <c r="AT225" s="9" cm="1">
        <f t="array" ref="AT225">IF(AT$218=-1,AU225,IF(AT$218=99,AS225,IF(AT$218=0,INDEX($E192:$M192,0,AT$216),(INDEX($E192:$M192,0,AT$218+1)-INDEX($E192:$M192,0,AT$218))/(INDEX($E$185:$M$185,0,AT$218+1)-INDEX($E$185:$M$185,0,AT$218))+AS225)))</f>
        <v>7.7130446920400964</v>
      </c>
      <c r="AU225" s="9" cm="1">
        <f t="array" ref="AU225">IF(AU$218=-1,#REF!,IF(AU$218=99,AT225,IF(AU$218=0,INDEX($E192:$M192,0,AU$216),(INDEX($E192:$M192,0,AU$218+1)-INDEX($E192:$M192,0,AU$218))/(INDEX($E$185:$M$185,0,AU$218+1)-INDEX($E$185:$M$185,0,AU$218))+AT225)))</f>
        <v>7.5885227819274288</v>
      </c>
      <c r="AV225" s="9"/>
      <c r="AY225" s="9"/>
      <c r="AZ225" s="9"/>
      <c r="BJ225" s="9"/>
      <c r="BK225" s="50"/>
    </row>
    <row r="226" spans="6:63" ht="15">
      <c r="F226" s="20" t="str">
        <f t="shared" si="527"/>
        <v>COM_PROJ</v>
      </c>
      <c r="G226" s="21" t="str">
        <f t="shared" si="528"/>
        <v>-</v>
      </c>
      <c r="H226" s="48" t="str">
        <f t="shared" si="529"/>
        <v>TPPUGAT</v>
      </c>
      <c r="I226" s="21" t="str">
        <f t="shared" si="530"/>
        <v>-</v>
      </c>
      <c r="J226" s="21" t="str">
        <f t="shared" si="530"/>
        <v>-</v>
      </c>
      <c r="K226" s="21" t="str">
        <f t="shared" si="530"/>
        <v>-</v>
      </c>
      <c r="L226" s="21" t="str">
        <f t="shared" si="530"/>
        <v>-</v>
      </c>
      <c r="M226" s="20">
        <f t="shared" si="531"/>
        <v>0</v>
      </c>
      <c r="N226" s="9" cm="1">
        <f t="array" ref="N226">IF(N$218=-1,O226,IF(N$218=99,#REF!,IF(N$218=0,INDEX($E193:$M193,0,N$216),(INDEX($E193:$M193,0,N$218+1)-INDEX($E193:$M193,0,N$218))/(INDEX($E$185:$M$185,0,N$218+1)-INDEX($E$185:$M$185,0,N$218))+#REF!)))</f>
        <v>0.64854136839212595</v>
      </c>
      <c r="O226" s="9" cm="1">
        <f t="array" ref="O226">IF(O$218=-1,P226,IF(O$218=99,N226,IF(O$218=0,INDEX($E193:$M193,0,O$216),(INDEX($E193:$M193,0,O$218+1)-INDEX($E193:$M193,0,O$218))/(INDEX($E$185:$M$185,0,O$218+1)-INDEX($E$185:$M$185,0,O$218))+N226)))</f>
        <v>0.67405613843991108</v>
      </c>
      <c r="P226" s="9" cm="1">
        <f t="array" ref="P226">IF(P$218=-1,Q226,IF(P$218=99,O226,IF(P$218=0,INDEX($E193:$M193,0,P$216),(INDEX($E193:$M193,0,P$218+1)-INDEX($E193:$M193,0,P$218))/(INDEX($E$185:$M$185,0,P$218+1)-INDEX($E$185:$M$185,0,P$218))+O226)))</f>
        <v>0.6995709084876961</v>
      </c>
      <c r="Q226" s="9" cm="1">
        <f t="array" ref="Q226">IF(Q$218=-1,R226,IF(Q$218=99,P226,IF(Q$218=0,INDEX($E193:$M193,0,Q$216),(INDEX($E193:$M193,0,Q$218+1)-INDEX($E193:$M193,0,Q$218))/(INDEX($E$185:$M$185,0,Q$218+1)-INDEX($E$185:$M$185,0,Q$218))+P226)))</f>
        <v>0.64248252977129328</v>
      </c>
      <c r="R226" s="9" cm="1">
        <f t="array" ref="R226">IF(R$218=-1,S226,IF(R$218=99,Q226,IF(R$218=0,INDEX($E193:$M193,0,R$216),(INDEX($E193:$M193,0,R$218+1)-INDEX($E193:$M193,0,R$218))/(INDEX($E$185:$M$185,0,R$218+1)-INDEX($E$185:$M$185,0,R$218))+Q226)))</f>
        <v>0.63988638610905979</v>
      </c>
      <c r="S226" s="9" cm="1">
        <f t="array" ref="S226">IF(S$218=-1,T226,IF(S$218=99,R226,IF(S$218=0,INDEX($E193:$M193,0,S$216),(INDEX($E193:$M193,0,S$218+1)-INDEX($E193:$M193,0,S$218))/(INDEX($E$185:$M$185,0,S$218+1)-INDEX($E$185:$M$185,0,S$218))+R226)))</f>
        <v>0.66654414817097207</v>
      </c>
      <c r="T226" s="9" cm="1">
        <f t="array" ref="T226">IF(T$218=-1,W226,IF(T$218=99,S226,IF(T$218=0,INDEX($E193:$M193,0,T$216),(INDEX($E193:$M193,0,T$218+1)-INDEX($E193:$M193,0,T$218))/(INDEX($E$185:$M$185,0,T$218+1)-INDEX($E$185:$M$185,0,T$218))+S226)))</f>
        <v>0.69320191023288436</v>
      </c>
      <c r="U226" s="9" cm="1">
        <f t="array" ref="U226">IF(U$218=-1,W226,IF(U$218=99,S226,IF(U$218=0,INDEX($E193:$M193,0,U$216),(INDEX($E193:$M193,0,U$218+1)-INDEX($E193:$M193,0,U$218))/(INDEX($E$185:$M$185,0,U$218+1)-INDEX($E$185:$M$185,0,U$218))+S226)))</f>
        <v>0.69320191023288436</v>
      </c>
      <c r="V226" s="9" cm="1">
        <f t="array" ref="V226">IF(V$218=-1,W226,IF(V$218=99,S226,IF(V$218=0,INDEX($E193:$M193,0,V$216),(INDEX($E193:$M193,0,V$218+1)-INDEX($E193:$M193,0,V$218))/(INDEX($E$185:$M$185,0,V$218+1)-INDEX($E$185:$M$185,0,V$218))+S226)))</f>
        <v>0.69320191023288436</v>
      </c>
      <c r="W226" s="9" cm="1">
        <f t="array" ref="W226">IF(W$218=-1,X226,IF(W$218=99,T226,IF(W$218=0,INDEX($E193:$M193,0,W$216),(INDEX($E193:$M193,0,W$218+1)-INDEX($E193:$M193,0,W$218))/(INDEX($E$185:$M$185,0,W$218+1)-INDEX($E$185:$M$185,0,W$218))+T226)))</f>
        <v>0.71985967229479664</v>
      </c>
      <c r="X226" s="9" cm="1">
        <f t="array" ref="X226">IF(X$218=-1,Y226,IF(X$218=99,W226,IF(X$218=0,INDEX($E193:$M193,0,X$216),(INDEX($E193:$M193,0,X$218+1)-INDEX($E193:$M193,0,X$218))/(INDEX($E$185:$M$185,0,X$218+1)-INDEX($E$185:$M$185,0,X$218))+W226)))</f>
        <v>0.74651743435670892</v>
      </c>
      <c r="Y226" s="9" cm="1">
        <f t="array" ref="Y226">IF(Y$218=-1,Z226,IF(Y$218=99,X226,IF(Y$218=0,INDEX($E193:$M193,0,Y$216),(INDEX($E193:$M193,0,Y$218+1)-INDEX($E193:$M193,0,Y$218))/(INDEX($E$185:$M$185,0,Y$218+1)-INDEX($E$185:$M$185,0,Y$218))+X226)))</f>
        <v>0.7731751964186212</v>
      </c>
      <c r="Z226" s="9" cm="1">
        <f t="array" ref="Z226">IF(Z$218=-1,AA226,IF(Z$218=99,Y226,IF(Z$218=0,INDEX($E193:$M193,0,Z$216),(INDEX($E193:$M193,0,Z$218+1)-INDEX($E193:$M193,0,Z$218))/(INDEX($E$185:$M$185,0,Z$218+1)-INDEX($E$185:$M$185,0,Z$218))+Y226)))</f>
        <v>0.79983295848053348</v>
      </c>
      <c r="AA226" s="9" cm="1">
        <f t="array" ref="AA226">IF(AA$218=-1,AB226,IF(AA$218=99,Z226,IF(AA$218=0,INDEX($E193:$M193,0,AA$216),(INDEX($E193:$M193,0,AA$218+1)-INDEX($E193:$M193,0,AA$218))/(INDEX($E$185:$M$185,0,AA$218+1)-INDEX($E$185:$M$185,0,AA$218))+Z226)))</f>
        <v>0.82649072054244577</v>
      </c>
      <c r="AB226" s="9" cm="1">
        <f t="array" ref="AB226">IF(AB$218=-1,AC226,IF(AB$218=99,AA226,IF(AB$218=0,INDEX($E193:$M193,0,AB$216),(INDEX($E193:$M193,0,AB$218+1)-INDEX($E193:$M193,0,AB$218))/(INDEX($E$185:$M$185,0,AB$218+1)-INDEX($E$185:$M$185,0,AB$218))+AA226)))</f>
        <v>0.85314848260435805</v>
      </c>
      <c r="AC226" s="9" cm="1">
        <f t="array" ref="AC226">IF(AC$218=-1,AD226,IF(AC$218=99,AB226,IF(AC$218=0,INDEX($E193:$M193,0,AC$216),(INDEX($E193:$M193,0,AC$218+1)-INDEX($E193:$M193,0,AC$218))/(INDEX($E$185:$M$185,0,AC$218+1)-INDEX($E$185:$M$185,0,AC$218))+AB226)))</f>
        <v>0.87980624466627066</v>
      </c>
      <c r="AD226" s="9" cm="1">
        <f t="array" ref="AD226">IF(AD$218=-1,AE226,IF(AD$218=99,AC226,IF(AD$218=0,INDEX($E193:$M193,0,AD$216),(INDEX($E193:$M193,0,AD$218+1)-INDEX($E193:$M193,0,AD$218))/(INDEX($E$185:$M$185,0,AD$218+1)-INDEX($E$185:$M$185,0,AD$218))+AC226)))</f>
        <v>0.90855749904863325</v>
      </c>
      <c r="AE226" s="9" cm="1">
        <f t="array" ref="AE226">IF(AE$218=-1,AH226,IF(AE$218=99,AD226,IF(AE$218=0,INDEX($E193:$M193,0,AE$216),(INDEX($E193:$M193,0,AE$218+1)-INDEX($E193:$M193,0,AE$218))/(INDEX($E$185:$M$185,0,AE$218+1)-INDEX($E$185:$M$185,0,AE$218))+AD226)))</f>
        <v>0.93730875343099584</v>
      </c>
      <c r="AF226" s="9" cm="1">
        <f t="array" ref="AF226">IF(AF$218=-1,AH226,IF(AF$218=99,AD226,IF(AF$218=0,INDEX($E193:$M193,0,AF$216),(INDEX($E193:$M193,0,AF$218+1)-INDEX($E193:$M193,0,AF$218))/(INDEX($E$185:$M$185,0,AF$218+1)-INDEX($E$185:$M$185,0,AF$218))+AD226)))</f>
        <v>0.93730875343099584</v>
      </c>
      <c r="AG226" s="9" cm="1">
        <f t="array" ref="AG226">IF(AG$218=-1,AH226,IF(AG$218=99,AD226,IF(AG$218=0,INDEX($E193:$M193,0,AG$216),(INDEX($E193:$M193,0,AG$218+1)-INDEX($E193:$M193,0,AG$218))/(INDEX($E$185:$M$185,0,AG$218+1)-INDEX($E$185:$M$185,0,AG$218))+AD226)))</f>
        <v>0.93730875343099584</v>
      </c>
      <c r="AH226" s="9" cm="1">
        <f t="array" ref="AH226">IF(AH$218=-1,AI226,IF(AH$218=99,AE226,IF(AH$218=0,INDEX($E193:$M193,0,AH$216),(INDEX($E193:$M193,0,AH$218+1)-INDEX($E193:$M193,0,AH$218))/(INDEX($E$185:$M$185,0,AH$218+1)-INDEX($E$185:$M$185,0,AH$218))+AE226)))</f>
        <v>0.96606000781335843</v>
      </c>
      <c r="AI226" s="9" cm="1">
        <f t="array" ref="AI226">IF(AI$218=-1,AJ226,IF(AI$218=99,AH226,IF(AI$218=0,INDEX($E193:$M193,0,AI$216),(INDEX($E193:$M193,0,AI$218+1)-INDEX($E193:$M193,0,AI$218))/(INDEX($E$185:$M$185,0,AI$218+1)-INDEX($E$185:$M$185,0,AI$218))+AH226)))</f>
        <v>0.99481126219572102</v>
      </c>
      <c r="AJ226" s="9" cm="1">
        <f t="array" ref="AJ226">IF(AJ$218=-1,AK226,IF(AJ$218=99,AI226,IF(AJ$218=0,INDEX($E193:$M193,0,AJ$216),(INDEX($E193:$M193,0,AJ$218+1)-INDEX($E193:$M193,0,AJ$218))/(INDEX($E$185:$M$185,0,AJ$218+1)-INDEX($E$185:$M$185,0,AJ$218))+AI226)))</f>
        <v>1.0235625165780837</v>
      </c>
      <c r="AK226" s="9" cm="1">
        <f t="array" ref="AK226">IF(AK$218=-1,AL226,IF(AK$218=99,AJ226,IF(AK$218=0,INDEX($E193:$M193,0,AK$216),(INDEX($E193:$M193,0,AK$218+1)-INDEX($E193:$M193,0,AK$218))/(INDEX($E$185:$M$185,0,AK$218+1)-INDEX($E$185:$M$185,0,AK$218))+AJ226)))</f>
        <v>1.0523137709604464</v>
      </c>
      <c r="AL226" s="9" cm="1">
        <f t="array" ref="AL226">IF(AL$218=-1,AM226,IF(AL$218=99,AK226,IF(AL$218=0,INDEX($E193:$M193,0,AL$216),(INDEX($E193:$M193,0,AL$218+1)-INDEX($E193:$M193,0,AL$218))/(INDEX($E$185:$M$185,0,AL$218+1)-INDEX($E$185:$M$185,0,AL$218))+AK226)))</f>
        <v>1.0810650253428091</v>
      </c>
      <c r="AM226" s="9" cm="1">
        <f t="array" ref="AM226">IF(AM$218=-1,AO226,IF(AM$218=99,AL226,IF(AM$218=0,INDEX($E193:$M193,0,AM$216),(INDEX($E193:$M193,0,AM$218+1)-INDEX($E193:$M193,0,AM$218))/(INDEX($E$185:$M$185,0,AM$218+1)-INDEX($E$185:$M$185,0,AM$218))+AL226)))</f>
        <v>1.1098162797251718</v>
      </c>
      <c r="AN226" s="9" cm="1">
        <f t="array" ref="AN226">IF(AN$218=-1,AP226,IF(AN$218=99,AL226,IF(AN$218=0,INDEX($E193:$M193,0,AN$216),(INDEX($E193:$M193,0,AN$218+1)-INDEX($E193:$M193,0,AN$218))/(INDEX($E$185:$M$185,0,AN$218+1)-INDEX($E$185:$M$185,0,AN$218))+AL226)))</f>
        <v>1.1098162797251718</v>
      </c>
      <c r="AO226" s="9" cm="1">
        <f t="array" ref="AO226">IF(AO$218=-1,AQ226,IF(AO$218=99,AM226,IF(AO$218=0,INDEX($E193:$M193,0,AO$216),(INDEX($E193:$M193,0,AO$218+1)-INDEX($E193:$M193,0,AO$218))/(INDEX($E$185:$M$185,0,AO$218+1)-INDEX($E$185:$M$185,0,AO$218))+AM226)))</f>
        <v>1.1385675341075345</v>
      </c>
      <c r="AP226" s="9" cm="1">
        <f t="array" ref="AP226">IF(AP$218=-1,AR226,IF(AP$218=99,AO226,IF(AP$218=0,INDEX($E193:$M193,0,AP$216),(INDEX($E193:$M193,0,AP$218+1)-INDEX($E193:$M193,0,AP$218))/(INDEX($E$185:$M$185,0,AP$218+1)-INDEX($E$185:$M$185,0,AP$218))+AO226)))</f>
        <v>1.1673187884898968</v>
      </c>
      <c r="AQ226" s="9" cm="1">
        <f t="array" ref="AQ226">IF(AQ$218=-1,AR226,IF(AQ$218=99,AO226,IF(AQ$218=0,INDEX($E193:$M193,0,AQ$216),(INDEX($E193:$M193,0,AQ$218+1)-INDEX($E193:$M193,0,AQ$218))/(INDEX($E$185:$M$185,0,AQ$218+1)-INDEX($E$185:$M$185,0,AQ$218))+AO226)))</f>
        <v>1.1673187884898968</v>
      </c>
      <c r="AR226" s="243">
        <f t="shared" si="532"/>
        <v>1.2707834125207516</v>
      </c>
      <c r="AS226" s="9" cm="1">
        <f t="array" ref="AS226">IF(AS$218=-1,AT226,IF(AS$218=99,AR226,IF(AS$218=0,INDEX($E193:$M193,0,AS$216),(INDEX($E193:$M193,0,AS$218+1)-INDEX($E193:$M193,0,AS$218))/(INDEX($E$185:$M$185,0,AS$218+1)-INDEX($E$185:$M$185,0,AS$218))+AR226)))</f>
        <v>1.3742480365516063</v>
      </c>
      <c r="AT226" s="9" cm="1">
        <f t="array" ref="AT226">IF(AT$218=-1,AU226,IF(AT$218=99,AS226,IF(AT$218=0,INDEX($E193:$M193,0,AT$216),(INDEX($E193:$M193,0,AT$218+1)-INDEX($E193:$M193,0,AT$218))/(INDEX($E$185:$M$185,0,AT$218+1)-INDEX($E$185:$M$185,0,AT$218))+AS226)))</f>
        <v>1.5073494303226469</v>
      </c>
      <c r="AU226" s="9" cm="1">
        <f t="array" ref="AU226">IF(AU$218=-1,#REF!,IF(AU$218=99,AT226,IF(AU$218=0,INDEX($E193:$M193,0,AU$216),(INDEX($E193:$M193,0,AU$218+1)-INDEX($E193:$M193,0,AU$218))/(INDEX($E$185:$M$185,0,AU$218+1)-INDEX($E$185:$M$185,0,AU$218))+AT226)))</f>
        <v>1.5904246596034544</v>
      </c>
      <c r="AV226" s="9"/>
      <c r="AY226" s="9"/>
      <c r="AZ226" s="9"/>
      <c r="BJ226" s="9"/>
      <c r="BK226" s="50"/>
    </row>
    <row r="227" spans="5:21" ht="15">
      <c r="E227" t="s">
        <v>16</v>
      </c>
      <c r="J227"/>
      <c r="U227" s="36"/>
    </row>
    <row r="228" spans="5:63" s="102" customFormat="1" ht="15">
      <c r="E228" s="101" t="s">
        <v>16</v>
      </c>
      <c r="F228" s="102" t="s">
        <v>376</v>
      </c>
      <c r="G228" s="102">
        <v>1</v>
      </c>
      <c r="H228" s="102">
        <v>2006</v>
      </c>
      <c r="I228" s="102" t="e">
        <f>#REF!</f>
        <v>#REF!</v>
      </c>
      <c r="J228" s="102">
        <v>2017</v>
      </c>
      <c r="K228" s="102">
        <v>2020</v>
      </c>
      <c r="L228" s="102">
        <v>2030</v>
      </c>
      <c r="M228" s="102">
        <v>2040</v>
      </c>
      <c r="N228" s="107"/>
      <c r="O228" s="101"/>
      <c r="U228" s="102" t="e">
        <f t="shared" si="533" ref="U228:BK228">MATCH(T$232,$H$228:$N$228,$G228)</f>
        <v>#N/A</v>
      </c>
      <c r="V228" s="102">
        <f t="shared" si="533"/>
        <v>3</v>
      </c>
      <c r="W228" s="102">
        <f t="shared" si="533"/>
        <v>3</v>
      </c>
      <c r="X228" s="102">
        <f t="shared" si="533"/>
        <v>3</v>
      </c>
      <c r="Y228" s="102">
        <f t="shared" si="533"/>
        <v>4</v>
      </c>
      <c r="Z228" s="102">
        <f t="shared" si="533"/>
        <v>4</v>
      </c>
      <c r="AA228" s="102">
        <f t="shared" si="533"/>
        <v>4</v>
      </c>
      <c r="AB228" s="102">
        <f>MATCH(Z$232,$H$228:$N$228,$G228)</f>
        <v>4</v>
      </c>
      <c r="AC228" s="102">
        <f>MATCH(Z$232,$H$228:$N$228,$G228)</f>
        <v>4</v>
      </c>
      <c r="AD228" s="102">
        <f>MATCH(AA$232,$H$228:$N$228,$G228)</f>
        <v>4</v>
      </c>
      <c r="AE228" s="102">
        <f t="shared" si="533"/>
        <v>4</v>
      </c>
      <c r="AF228" s="102">
        <f t="shared" si="533"/>
        <v>4</v>
      </c>
      <c r="AG228" s="102">
        <f t="shared" si="533"/>
        <v>4</v>
      </c>
      <c r="AH228" s="102">
        <f t="shared" si="533"/>
        <v>4</v>
      </c>
      <c r="AI228" s="102">
        <f t="shared" si="533"/>
        <v>4</v>
      </c>
      <c r="AJ228" s="102">
        <f t="shared" si="533"/>
        <v>4</v>
      </c>
      <c r="AK228" s="102">
        <f t="shared" si="533"/>
        <v>5</v>
      </c>
      <c r="AL228" s="102">
        <f t="shared" si="533"/>
        <v>5</v>
      </c>
      <c r="AM228" s="102">
        <f>MATCH(AK$232,$H$228:$N$228,$G228)</f>
        <v>5</v>
      </c>
      <c r="AN228" s="102">
        <f>MATCH(AK$232,$H$228:$N$228,$G228)</f>
        <v>5</v>
      </c>
      <c r="AO228" s="102">
        <f>MATCH(AL$232,$H$228:$N$228,$G228)</f>
        <v>5</v>
      </c>
      <c r="AP228" s="102">
        <f t="shared" si="533"/>
        <v>5</v>
      </c>
      <c r="AQ228" s="102">
        <f t="shared" si="533"/>
        <v>5</v>
      </c>
      <c r="AR228" s="102">
        <f t="shared" si="533"/>
        <v>5</v>
      </c>
      <c r="AS228" s="102">
        <f t="shared" si="533"/>
        <v>5</v>
      </c>
      <c r="AT228" s="102">
        <f t="shared" si="533"/>
        <v>5</v>
      </c>
      <c r="AU228" s="102">
        <f>MATCH(AS$232,$H$228:$N$228,$G228)</f>
        <v>5</v>
      </c>
      <c r="AV228" s="102">
        <f>MATCH(AT$232,$H$228:$N$228,$G228)</f>
        <v>5</v>
      </c>
      <c r="AW228" s="102">
        <f t="shared" si="533"/>
        <v>5</v>
      </c>
      <c r="AX228" s="102">
        <f>MATCH(AV$232,$H$228:$N$228,$G228)</f>
        <v>5</v>
      </c>
      <c r="AY228" s="102">
        <f t="shared" si="533"/>
        <v>6</v>
      </c>
      <c r="AZ228" s="102">
        <f t="shared" si="533"/>
        <v>6</v>
      </c>
      <c r="BA228" s="102">
        <f t="shared" si="533"/>
        <v>6</v>
      </c>
      <c r="BB228" s="102">
        <f t="shared" si="533"/>
        <v>6</v>
      </c>
      <c r="BC228" s="102">
        <f t="shared" si="533"/>
        <v>6</v>
      </c>
      <c r="BD228" s="102">
        <f t="shared" si="533"/>
        <v>6</v>
      </c>
      <c r="BE228" s="102">
        <f t="shared" si="533"/>
        <v>6</v>
      </c>
      <c r="BF228" s="102">
        <f t="shared" si="533"/>
        <v>6</v>
      </c>
      <c r="BG228" s="102">
        <f t="shared" si="533"/>
        <v>6</v>
      </c>
      <c r="BH228" s="102">
        <f t="shared" si="533"/>
        <v>6</v>
      </c>
      <c r="BI228" s="102">
        <f t="shared" si="533"/>
        <v>6</v>
      </c>
      <c r="BJ228" s="102">
        <f t="shared" si="533"/>
        <v>6</v>
      </c>
      <c r="BK228" s="102">
        <f t="shared" si="533"/>
        <v>6</v>
      </c>
    </row>
    <row r="229" spans="5:63" ht="15">
      <c r="E229" s="36" t="s">
        <v>16</v>
      </c>
      <c r="F229" t="s">
        <v>377</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8" t="e">
        <v>#REF!</v>
      </c>
      <c r="O229" s="36">
        <v>2017</v>
      </c>
      <c r="P229">
        <v>2020</v>
      </c>
      <c r="Q229">
        <v>2030</v>
      </c>
      <c r="R229">
        <v>2040</v>
      </c>
      <c r="S229">
        <v>0</v>
      </c>
      <c r="U229" t="e">
        <f t="shared" si="534" ref="U229:BK229">MATCH(T$232,$H$228:$N$228,$G229)</f>
        <v>#N/A</v>
      </c>
      <c r="V229">
        <f t="shared" si="534"/>
        <v>3</v>
      </c>
      <c r="W229" t="e">
        <f t="shared" si="534"/>
        <v>#N/A</v>
      </c>
      <c r="X229" t="e">
        <f t="shared" si="534"/>
        <v>#N/A</v>
      </c>
      <c r="Y229">
        <f t="shared" si="534"/>
        <v>4</v>
      </c>
      <c r="Z229" t="e">
        <f t="shared" si="534"/>
        <v>#N/A</v>
      </c>
      <c r="AA229" t="e">
        <f t="shared" si="534"/>
        <v>#N/A</v>
      </c>
      <c r="AB229" t="e">
        <f>MATCH(Z$232,$H$228:$N$228,$G229)</f>
        <v>#N/A</v>
      </c>
      <c r="AC229" t="e">
        <f>MATCH(Z$232,$H$228:$N$228,$G229)</f>
        <v>#N/A</v>
      </c>
      <c r="AD229" t="e">
        <f>MATCH(AA$232,$H$228:$N$228,$G229)</f>
        <v>#N/A</v>
      </c>
      <c r="AE229" t="e">
        <f t="shared" si="534"/>
        <v>#N/A</v>
      </c>
      <c r="AF229" t="e">
        <f t="shared" si="534"/>
        <v>#N/A</v>
      </c>
      <c r="AG229" t="e">
        <f t="shared" si="534"/>
        <v>#N/A</v>
      </c>
      <c r="AH229" t="e">
        <f t="shared" si="534"/>
        <v>#N/A</v>
      </c>
      <c r="AI229" t="e">
        <f t="shared" si="534"/>
        <v>#N/A</v>
      </c>
      <c r="AJ229" t="e">
        <f t="shared" si="534"/>
        <v>#N/A</v>
      </c>
      <c r="AK229">
        <f t="shared" si="534"/>
        <v>5</v>
      </c>
      <c r="AL229" t="e">
        <f t="shared" si="534"/>
        <v>#N/A</v>
      </c>
      <c r="AM229" t="e">
        <f>MATCH(AK$232,$H$228:$N$228,$G229)</f>
        <v>#N/A</v>
      </c>
      <c r="AN229" t="e">
        <f>MATCH(AK$232,$H$228:$N$228,$G229)</f>
        <v>#N/A</v>
      </c>
      <c r="AO229" t="e">
        <f>MATCH(AL$232,$H$228:$N$228,$G229)</f>
        <v>#N/A</v>
      </c>
      <c r="AP229" t="e">
        <f t="shared" si="534"/>
        <v>#N/A</v>
      </c>
      <c r="AQ229" t="e">
        <f t="shared" si="534"/>
        <v>#N/A</v>
      </c>
      <c r="AR229" t="e">
        <f t="shared" si="534"/>
        <v>#N/A</v>
      </c>
      <c r="AS229" t="e">
        <f t="shared" si="534"/>
        <v>#N/A</v>
      </c>
      <c r="AT229" t="e">
        <f t="shared" si="534"/>
        <v>#N/A</v>
      </c>
      <c r="AU229" t="e">
        <f>MATCH(AS$232,$H$228:$N$228,$G229)</f>
        <v>#N/A</v>
      </c>
      <c r="AV229" t="e">
        <f>MATCH(AT$232,$H$228:$N$228,$G229)</f>
        <v>#N/A</v>
      </c>
      <c r="AW229" t="e">
        <f t="shared" si="534"/>
        <v>#N/A</v>
      </c>
      <c r="AX229" t="e">
        <f>MATCH(AV$232,$H$228:$N$228,$G229)</f>
        <v>#N/A</v>
      </c>
      <c r="AY229">
        <f t="shared" si="534"/>
        <v>6</v>
      </c>
      <c r="AZ229" t="e">
        <f t="shared" si="534"/>
        <v>#N/A</v>
      </c>
      <c r="BA229" t="e">
        <f t="shared" si="534"/>
        <v>#N/A</v>
      </c>
      <c r="BB229" t="e">
        <f t="shared" si="534"/>
        <v>#N/A</v>
      </c>
      <c r="BC229" t="e">
        <f t="shared" si="534"/>
        <v>#N/A</v>
      </c>
      <c r="BD229" t="e">
        <f t="shared" si="534"/>
        <v>#N/A</v>
      </c>
      <c r="BE229" t="e">
        <f t="shared" si="534"/>
        <v>#N/A</v>
      </c>
      <c r="BF229" t="e">
        <f t="shared" si="534"/>
        <v>#N/A</v>
      </c>
      <c r="BG229" t="e">
        <f t="shared" si="534"/>
        <v>#N/A</v>
      </c>
      <c r="BH229" t="e">
        <f t="shared" si="534"/>
        <v>#N/A</v>
      </c>
      <c r="BI229" t="e">
        <f t="shared" si="534"/>
        <v>#N/A</v>
      </c>
      <c r="BJ229" t="e">
        <f t="shared" si="534"/>
        <v>#N/A</v>
      </c>
      <c r="BK229" t="e">
        <f t="shared" si="534"/>
        <v>#N/A</v>
      </c>
    </row>
    <row r="230" spans="5:63" ht="15">
      <c r="E230" s="36" t="s">
        <v>16</v>
      </c>
      <c r="F230" t="s">
        <v>375</v>
      </c>
      <c r="G230">
        <v>-1</v>
      </c>
      <c r="H230">
        <v>0</v>
      </c>
      <c r="I230">
        <v>1</v>
      </c>
      <c r="J230">
        <v>2</v>
      </c>
      <c r="K230">
        <v>3</v>
      </c>
      <c r="L230">
        <v>4</v>
      </c>
      <c r="M230">
        <v>5</v>
      </c>
      <c r="U230">
        <f t="shared" si="535" ref="U230:BK230">MATCH(T$232,$H$229:$N$229,$G230)</f>
        <v>6</v>
      </c>
      <c r="V230">
        <f t="shared" si="535"/>
        <v>3</v>
      </c>
      <c r="W230">
        <f t="shared" si="535"/>
        <v>2</v>
      </c>
      <c r="X230">
        <f t="shared" si="535"/>
        <v>2</v>
      </c>
      <c r="Y230">
        <f t="shared" si="535"/>
        <v>2</v>
      </c>
      <c r="Z230">
        <f t="shared" si="535"/>
        <v>1</v>
      </c>
      <c r="AA230">
        <f t="shared" si="535"/>
        <v>1</v>
      </c>
      <c r="AB230">
        <f>MATCH(Z$232,$H$229:$N$229,$G230)</f>
        <v>1</v>
      </c>
      <c r="AC230">
        <f>MATCH(Z$232,$H$229:$N$229,$G230)</f>
        <v>1</v>
      </c>
      <c r="AD230">
        <f>MATCH(AA$232,$H$229:$N$229,$G230)</f>
        <v>1</v>
      </c>
      <c r="AE230">
        <f t="shared" si="535"/>
        <v>1</v>
      </c>
      <c r="AF230">
        <f t="shared" si="535"/>
        <v>1</v>
      </c>
      <c r="AG230">
        <f t="shared" si="535"/>
        <v>1</v>
      </c>
      <c r="AH230">
        <f t="shared" si="535"/>
        <v>1</v>
      </c>
      <c r="AI230">
        <f t="shared" si="535"/>
        <v>1</v>
      </c>
      <c r="AJ230">
        <f t="shared" si="535"/>
        <v>1</v>
      </c>
      <c r="AK230">
        <f t="shared" si="535"/>
        <v>1</v>
      </c>
      <c r="AL230" t="e">
        <f t="shared" si="535"/>
        <v>#N/A</v>
      </c>
      <c r="AM230" t="e">
        <f>MATCH(AK$232,$H$229:$N$229,$G230)</f>
        <v>#N/A</v>
      </c>
      <c r="AN230" t="e">
        <f>MATCH(AK$232,$H$229:$N$229,$G230)</f>
        <v>#N/A</v>
      </c>
      <c r="AO230" t="e">
        <f>MATCH(AL$232,$H$229:$N$229,$G230)</f>
        <v>#N/A</v>
      </c>
      <c r="AP230" t="e">
        <f t="shared" si="535"/>
        <v>#N/A</v>
      </c>
      <c r="AQ230" t="e">
        <f t="shared" si="535"/>
        <v>#N/A</v>
      </c>
      <c r="AR230" t="e">
        <f t="shared" si="535"/>
        <v>#N/A</v>
      </c>
      <c r="AS230" t="e">
        <f t="shared" si="535"/>
        <v>#N/A</v>
      </c>
      <c r="AT230" t="e">
        <f t="shared" si="535"/>
        <v>#N/A</v>
      </c>
      <c r="AU230" t="e">
        <f>MATCH(AS$232,$H$229:$N$229,$G230)</f>
        <v>#N/A</v>
      </c>
      <c r="AV230" t="e">
        <f>MATCH(AT$232,$H$229:$N$229,$G230)</f>
        <v>#N/A</v>
      </c>
      <c r="AW230" t="e">
        <f t="shared" si="535"/>
        <v>#N/A</v>
      </c>
      <c r="AX230" t="e">
        <f>MATCH(AV$232,$H$229:$N$229,$G230)</f>
        <v>#N/A</v>
      </c>
      <c r="AY230" t="e">
        <f t="shared" si="535"/>
        <v>#N/A</v>
      </c>
      <c r="AZ230" t="e">
        <f t="shared" si="535"/>
        <v>#N/A</v>
      </c>
      <c r="BA230" t="e">
        <f t="shared" si="535"/>
        <v>#N/A</v>
      </c>
      <c r="BB230" t="e">
        <f t="shared" si="535"/>
        <v>#N/A</v>
      </c>
      <c r="BC230" t="e">
        <f t="shared" si="535"/>
        <v>#N/A</v>
      </c>
      <c r="BD230" t="e">
        <f t="shared" si="535"/>
        <v>#N/A</v>
      </c>
      <c r="BE230" t="e">
        <f t="shared" si="535"/>
        <v>#N/A</v>
      </c>
      <c r="BF230" t="e">
        <f t="shared" si="535"/>
        <v>#N/A</v>
      </c>
      <c r="BG230" t="e">
        <f t="shared" si="535"/>
        <v>#N/A</v>
      </c>
      <c r="BH230" t="e">
        <f t="shared" si="535"/>
        <v>#N/A</v>
      </c>
      <c r="BI230" t="e">
        <f t="shared" si="535"/>
        <v>#N/A</v>
      </c>
      <c r="BJ230" t="e">
        <f t="shared" si="535"/>
        <v>#N/A</v>
      </c>
      <c r="BK230" t="e">
        <f t="shared" si="535"/>
        <v>#N/A</v>
      </c>
    </row>
    <row r="231" spans="5:70" s="104" customFormat="1" ht="15">
      <c r="E231" s="103" t="s">
        <v>16</v>
      </c>
      <c r="F231" s="104" t="s">
        <v>378</v>
      </c>
      <c r="O231" s="71"/>
      <c r="P231" s="71"/>
      <c r="Q231" s="71"/>
      <c r="R231" s="71"/>
      <c r="S231" s="71"/>
      <c r="T231" s="71"/>
      <c r="U231" s="71">
        <f t="shared" si="536" ref="U231:BK231">IF(ISNA(U228),-1,IF(ISNA(U230),99,IF(ISNA(U229),U228,0)))</f>
        <v>-1</v>
      </c>
      <c r="V231" s="71">
        <f t="shared" si="536"/>
        <v>0</v>
      </c>
      <c r="W231" s="71">
        <f t="shared" si="536"/>
        <v>3</v>
      </c>
      <c r="X231" s="71">
        <f t="shared" si="536"/>
        <v>3</v>
      </c>
      <c r="Y231" s="71">
        <f t="shared" si="536"/>
        <v>0</v>
      </c>
      <c r="Z231" s="71">
        <f t="shared" si="536"/>
        <v>4</v>
      </c>
      <c r="AA231" s="71">
        <f t="shared" si="536"/>
        <v>4</v>
      </c>
      <c r="AB231" s="71">
        <f t="shared" si="537" ref="AB231:AC231">IF(ISNA(AB228),-1,IF(ISNA(AB230),99,IF(ISNA(AB229),AB228,0)))</f>
        <v>4</v>
      </c>
      <c r="AC231" s="71">
        <f t="shared" si="537"/>
        <v>4</v>
      </c>
      <c r="AD231" s="71">
        <f t="shared" si="536"/>
        <v>4</v>
      </c>
      <c r="AE231" s="71">
        <f t="shared" si="536"/>
        <v>4</v>
      </c>
      <c r="AF231" s="71">
        <f t="shared" si="536"/>
        <v>4</v>
      </c>
      <c r="AG231" s="71">
        <f t="shared" si="536"/>
        <v>4</v>
      </c>
      <c r="AH231" s="71">
        <f t="shared" si="536"/>
        <v>4</v>
      </c>
      <c r="AI231" s="71">
        <f t="shared" si="536"/>
        <v>4</v>
      </c>
      <c r="AJ231" s="71">
        <f t="shared" si="536"/>
        <v>4</v>
      </c>
      <c r="AK231" s="71">
        <f t="shared" si="536"/>
        <v>0</v>
      </c>
      <c r="AL231" s="71">
        <f t="shared" si="536"/>
        <v>99</v>
      </c>
      <c r="AM231" s="71">
        <f t="shared" si="538" ref="AM231:AN231">IF(ISNA(AM228),-1,IF(ISNA(AM230),99,IF(ISNA(AM229),AM228,0)))</f>
        <v>99</v>
      </c>
      <c r="AN231" s="71">
        <f t="shared" si="538"/>
        <v>99</v>
      </c>
      <c r="AO231" s="71">
        <f t="shared" si="536"/>
        <v>99</v>
      </c>
      <c r="AP231" s="71">
        <f t="shared" si="536"/>
        <v>99</v>
      </c>
      <c r="AQ231" s="71">
        <f t="shared" si="536"/>
        <v>99</v>
      </c>
      <c r="AR231" s="71">
        <f t="shared" si="536"/>
        <v>99</v>
      </c>
      <c r="AS231" s="71">
        <f t="shared" si="536"/>
        <v>99</v>
      </c>
      <c r="AT231" s="71">
        <f t="shared" si="536"/>
        <v>99</v>
      </c>
      <c r="AU231" s="71">
        <f t="shared" si="539" ref="AU231">IF(ISNA(AU228),-1,IF(ISNA(AU230),99,IF(ISNA(AU229),AU228,0)))</f>
        <v>99</v>
      </c>
      <c r="AV231" s="71">
        <f t="shared" si="536"/>
        <v>99</v>
      </c>
      <c r="AW231" s="71">
        <f t="shared" si="540" ref="AW231">IF(ISNA(AW228),-1,IF(ISNA(AW230),99,IF(ISNA(AW229),AW228,0)))</f>
        <v>99</v>
      </c>
      <c r="AX231" s="71">
        <f t="shared" si="536"/>
        <v>99</v>
      </c>
      <c r="AY231" s="71">
        <f t="shared" si="536"/>
        <v>99</v>
      </c>
      <c r="AZ231" s="71">
        <f t="shared" si="536"/>
        <v>99</v>
      </c>
      <c r="BA231" s="71">
        <f t="shared" si="536"/>
        <v>99</v>
      </c>
      <c r="BB231" s="71">
        <f t="shared" si="536"/>
        <v>99</v>
      </c>
      <c r="BC231" s="71">
        <f t="shared" si="536"/>
        <v>99</v>
      </c>
      <c r="BD231" s="71">
        <f t="shared" si="536"/>
        <v>99</v>
      </c>
      <c r="BE231" s="71">
        <f t="shared" si="536"/>
        <v>99</v>
      </c>
      <c r="BF231" s="71">
        <f t="shared" si="536"/>
        <v>99</v>
      </c>
      <c r="BG231" s="71">
        <f t="shared" si="536"/>
        <v>99</v>
      </c>
      <c r="BH231" s="71">
        <f t="shared" si="536"/>
        <v>99</v>
      </c>
      <c r="BI231" s="71">
        <f t="shared" si="536"/>
        <v>99</v>
      </c>
      <c r="BJ231" s="71">
        <f t="shared" si="536"/>
        <v>99</v>
      </c>
      <c r="BK231" s="71">
        <f t="shared" si="536"/>
        <v>99</v>
      </c>
      <c r="BM231" s="71"/>
      <c r="BN231" s="71"/>
      <c r="BO231" s="71"/>
      <c r="BP231" s="71"/>
      <c r="BQ231" s="71"/>
      <c r="BR231" s="71"/>
    </row>
    <row r="232" spans="5:69" ht="15">
      <c r="E232" t="s">
        <v>16</v>
      </c>
      <c r="G232" s="16"/>
      <c r="H232" s="16"/>
      <c r="I232" s="16"/>
      <c r="J232" s="16"/>
      <c r="K232" s="16"/>
      <c r="L232" s="16" t="s">
        <v>418</v>
      </c>
      <c r="M232" s="16"/>
      <c r="N232" s="18"/>
      <c r="O232" s="18"/>
      <c r="P232" s="18"/>
      <c r="Q232" s="18"/>
      <c r="R232" s="18"/>
      <c r="S232" s="18"/>
      <c r="T232" s="18"/>
      <c r="U232" s="18">
        <v>2017</v>
      </c>
      <c r="V232" s="18">
        <f t="shared" si="541" ref="V232:BH232">1+U232</f>
        <v>2018</v>
      </c>
      <c r="W232" s="18">
        <f t="shared" si="541"/>
        <v>2019</v>
      </c>
      <c r="X232" s="18">
        <f t="shared" si="541"/>
        <v>2020</v>
      </c>
      <c r="Y232" s="18">
        <f t="shared" si="541"/>
        <v>2021</v>
      </c>
      <c r="Z232" s="18">
        <f t="shared" si="541"/>
        <v>2022</v>
      </c>
      <c r="AA232" s="18">
        <f t="shared" si="541"/>
        <v>2023</v>
      </c>
      <c r="AB232" s="18">
        <f>1+Z232</f>
        <v>2023</v>
      </c>
      <c r="AC232" s="18">
        <f>1+Z232</f>
        <v>2023</v>
      </c>
      <c r="AD232" s="18">
        <f>1+AA232</f>
        <v>2024</v>
      </c>
      <c r="AE232" s="18">
        <f t="shared" si="541"/>
        <v>2025</v>
      </c>
      <c r="AF232" s="18">
        <f t="shared" si="541"/>
        <v>2026</v>
      </c>
      <c r="AG232" s="18">
        <f t="shared" si="541"/>
        <v>2027</v>
      </c>
      <c r="AH232" s="18">
        <f t="shared" si="541"/>
        <v>2028</v>
      </c>
      <c r="AI232" s="18">
        <f t="shared" si="541"/>
        <v>2029</v>
      </c>
      <c r="AJ232" s="18">
        <f t="shared" si="541"/>
        <v>2030</v>
      </c>
      <c r="AK232" s="18">
        <f t="shared" si="541"/>
        <v>2031</v>
      </c>
      <c r="AL232" s="18">
        <f t="shared" si="541"/>
        <v>2032</v>
      </c>
      <c r="AM232" s="18">
        <f>1+AK232</f>
        <v>2032</v>
      </c>
      <c r="AN232" s="18">
        <f>1+AK232</f>
        <v>2032</v>
      </c>
      <c r="AO232" s="18">
        <f>1+AL232</f>
        <v>2033</v>
      </c>
      <c r="AP232" s="18">
        <f t="shared" si="541"/>
        <v>2034</v>
      </c>
      <c r="AQ232" s="18">
        <f t="shared" si="541"/>
        <v>2035</v>
      </c>
      <c r="AR232" s="18">
        <f t="shared" si="541"/>
        <v>2036</v>
      </c>
      <c r="AS232" s="18">
        <f t="shared" si="541"/>
        <v>2037</v>
      </c>
      <c r="AT232" s="18">
        <f t="shared" si="541"/>
        <v>2038</v>
      </c>
      <c r="AU232" s="18">
        <f>1+AS232</f>
        <v>2038</v>
      </c>
      <c r="AV232" s="18">
        <f>1+AT232</f>
        <v>2039</v>
      </c>
      <c r="AW232" s="18">
        <f t="shared" si="541"/>
        <v>2040</v>
      </c>
      <c r="AX232" s="18">
        <f>1+AV232</f>
        <v>2040</v>
      </c>
      <c r="AY232" s="18">
        <f t="shared" si="541"/>
        <v>2041</v>
      </c>
      <c r="AZ232" s="18">
        <f t="shared" si="541"/>
        <v>2042</v>
      </c>
      <c r="BA232" s="18">
        <f t="shared" si="541"/>
        <v>2043</v>
      </c>
      <c r="BB232" s="18">
        <f t="shared" si="541"/>
        <v>2044</v>
      </c>
      <c r="BC232" s="18">
        <f t="shared" si="541"/>
        <v>2045</v>
      </c>
      <c r="BD232" s="18">
        <f t="shared" si="541"/>
        <v>2046</v>
      </c>
      <c r="BE232" s="18">
        <f t="shared" si="541"/>
        <v>2047</v>
      </c>
      <c r="BF232" s="18">
        <f t="shared" si="541"/>
        <v>2048</v>
      </c>
      <c r="BG232" s="18">
        <f t="shared" si="541"/>
        <v>2049</v>
      </c>
      <c r="BH232" s="18">
        <f t="shared" si="541"/>
        <v>2050</v>
      </c>
      <c r="BI232" s="18">
        <v>2060</v>
      </c>
      <c r="BJ232" s="18">
        <v>2070</v>
      </c>
      <c r="BL232" s="18"/>
      <c r="BM232" s="18"/>
      <c r="BN232" s="18"/>
      <c r="BO232" s="18"/>
      <c r="BP232" s="18"/>
      <c r="BQ232" s="18"/>
    </row>
    <row r="233" spans="5:69" ht="15">
      <c r="E233" t="s">
        <v>16</v>
      </c>
      <c r="F233" s="20" t="str">
        <f t="shared" si="542" ref="F233:F238">IF(E233="*","","COM_PROJ")</f>
        <v/>
      </c>
      <c r="G233" s="21" t="str">
        <f t="shared" si="543" ref="G233:G238">IF($E233="*","","-")</f>
        <v/>
      </c>
      <c r="I233" s="21" t="str">
        <f t="shared" si="544" ref="I233:L238">IF($E233="*","","-")</f>
        <v/>
      </c>
      <c r="J233" s="21"/>
      <c r="K233" s="21" t="str">
        <f t="shared" si="544"/>
        <v/>
      </c>
      <c r="L233" s="21" t="str">
        <f t="shared" si="544"/>
        <v/>
      </c>
      <c r="M233" s="48" t="str">
        <f t="shared" si="545" ref="M233:M240">B161</f>
        <v>TPPRCAR</v>
      </c>
      <c r="N233" s="9"/>
      <c r="O233" s="9"/>
      <c r="P233" s="9"/>
      <c r="Q233" s="9"/>
      <c r="R233" s="9"/>
      <c r="S233" s="9"/>
      <c r="T233" s="9"/>
      <c r="U233" s="9" cm="1">
        <f t="array" ref="U233">IF(V$231=-1,V233,IF(V$231=99,T233,IF(V$231=0,INDEX($E161:$M161,0,V$229),(INDEX($E161:$M161,0,V$231+1)-INDEX($E161:$M161,0,V$231))/(INDEX($E$160:$M$160,0,V$231+1)-INDEX($E$160:$M$160,0,V$231))+T233)))</f>
        <v>109.6316893111631</v>
      </c>
      <c r="V233" s="9" cm="1">
        <f t="array" ref="V233">IF(W$231=-1,W233,IF(W$231=99,U233,IF(W$231=0,INDEX($E161:$M161,0,W$229),(INDEX($E161:$M161,0,W$231+1)-INDEX($E161:$M161,0,W$231))/(INDEX($E$160:$M$160,0,W$231+1)-INDEX($E$160:$M$160,0,W$231))+U233)))</f>
        <v>111.40041571649564</v>
      </c>
      <c r="W233" s="9" cm="1">
        <f t="array" ref="W233">IF(X$231=-1,X233,IF(X$231=99,V233,IF(X$231=0,INDEX($E161:$M161,0,X$229),(INDEX($E161:$M161,0,X$231+1)-INDEX($E161:$M161,0,X$231))/(INDEX($E$160:$M$160,0,X$231+1)-INDEX($E$160:$M$160,0,X$231))+V233)))</f>
        <v>113.16914212182819</v>
      </c>
      <c r="X233" s="9" cm="1">
        <f t="array" ref="X233">IF(Y$231=-1,Y233,IF(Y$231=99,W233,IF(Y$231=0,INDEX($E161:$M161,0,Y$229),(INDEX($E161:$M161,0,Y$231+1)-INDEX($E161:$M161,0,Y$231))/(INDEX($E$160:$M$160,0,Y$231+1)-INDEX($E$160:$M$160,0,Y$231))+W233)))</f>
        <v>111.40041571649564</v>
      </c>
      <c r="Y233" s="9" cm="1">
        <f t="array" ref="Y233">IF(Z$231=-1,Z233,IF(Z$231=99,X233,IF(Z$231=0,INDEX($E161:$M161,0,Z$229),(INDEX($E161:$M161,0,Z$231+1)-INDEX($E161:$M161,0,Z$231))/(INDEX($E$160:$M$160,0,Z$231+1)-INDEX($E$160:$M$160,0,Z$231))+X233)))</f>
        <v>116.21473688347258</v>
      </c>
      <c r="Z233" s="9" cm="1">
        <f t="array" ref="Z233">IF(AA$231=-1,AA233,IF(AA$231=99,Y233,IF(AA$231=0,INDEX($E161:$M161,0,AA$229),(INDEX($E161:$M161,0,AA$231+1)-INDEX($E161:$M161,0,AA$231))/(INDEX($E$160:$M$160,0,AA$231+1)-INDEX($E$160:$M$160,0,AA$231))+Y233)))</f>
        <v>121.02905805044952</v>
      </c>
      <c r="AA233" s="9" cm="1">
        <f t="array" ref="AA233">IF(AD$231=-1,AD233,IF(AD$231=99,Z233,IF(AD$231=0,INDEX($E161:$M161,0,AD$229),(INDEX($E161:$M161,0,AD$231+1)-INDEX($E161:$M161,0,AD$231))/(INDEX($E$160:$M$160,0,AD$231+1)-INDEX($E$160:$M$160,0,AD$231))+Z233)))</f>
        <v>125.84337921742646</v>
      </c>
      <c r="AB233" s="9" cm="1">
        <f t="array" ref="AB233">IF(AD$231=-1,AD233,IF(AD$231=99,Z233,IF(AD$231=0,INDEX($E161:$M161,0,AD$229),(INDEX($E161:$M161,0,AD$231+1)-INDEX($E161:$M161,0,AD$231))/(INDEX($E$160:$M$160,0,AD$231+1)-INDEX($E$160:$M$160,0,AD$231))+Z233)))</f>
        <v>125.84337921742646</v>
      </c>
      <c r="AC233" s="9" cm="1">
        <f t="array" ref="AC233">IF(AD$231=-1,AD233,IF(AD$231=99,Z233,IF(AD$231=0,INDEX($E161:$M161,0,AD$229),(INDEX($E161:$M161,0,AD$231+1)-INDEX($E161:$M161,0,AD$231))/(INDEX($E$160:$M$160,0,AD$231+1)-INDEX($E$160:$M$160,0,AD$231))+Z233)))</f>
        <v>125.84337921742646</v>
      </c>
      <c r="AD233" s="9" cm="1">
        <f t="array" ref="AD233">IF(AE$231=-1,AE233,IF(AE$231=99,AA233,IF(AE$231=0,INDEX($E161:$M161,0,AE$229),(INDEX($E161:$M161,0,AE$231+1)-INDEX($E161:$M161,0,AE$231))/(INDEX($E$160:$M$160,0,AE$231+1)-INDEX($E$160:$M$160,0,AE$231))+AA233)))</f>
        <v>130.6577003844034</v>
      </c>
      <c r="AE233" s="9" cm="1">
        <f t="array" ref="AE233">IF(AF$231=-1,AF233,IF(AF$231=99,AD233,IF(AF$231=0,INDEX($E161:$M161,0,AF$229),(INDEX($E161:$M161,0,AF$231+1)-INDEX($E161:$M161,0,AF$231))/(INDEX($E$160:$M$160,0,AF$231+1)-INDEX($E$160:$M$160,0,AF$231))+AD233)))</f>
        <v>135.47202155138032</v>
      </c>
      <c r="AF233" s="9" cm="1">
        <f t="array" ref="AF233">IF(AG$231=-1,AG233,IF(AG$231=99,AE233,IF(AG$231=0,INDEX($E161:$M161,0,AG$229),(INDEX($E161:$M161,0,AG$231+1)-INDEX($E161:$M161,0,AG$231))/(INDEX($E$160:$M$160,0,AG$231+1)-INDEX($E$160:$M$160,0,AG$231))+AE233)))</f>
        <v>140.28634271835725</v>
      </c>
      <c r="AG233" s="9" cm="1">
        <f t="array" ref="AG233">IF(AH$231=-1,AH233,IF(AH$231=99,AF233,IF(AH$231=0,INDEX($E161:$M161,0,AH$229),(INDEX($E161:$M161,0,AH$231+1)-INDEX($E161:$M161,0,AH$231))/(INDEX($E$160:$M$160,0,AH$231+1)-INDEX($E$160:$M$160,0,AH$231))+AF233)))</f>
        <v>145.10066388533417</v>
      </c>
      <c r="AH233" s="9" cm="1">
        <f t="array" ref="AH233">IF(AI$231=-1,AI233,IF(AI$231=99,AG233,IF(AI$231=0,INDEX($E161:$M161,0,AI$229),(INDEX($E161:$M161,0,AI$231+1)-INDEX($E161:$M161,0,AI$231))/(INDEX($E$160:$M$160,0,AI$231+1)-INDEX($E$160:$M$160,0,AI$231))+AG233)))</f>
        <v>149.9149850523111</v>
      </c>
      <c r="AI233" s="9" cm="1">
        <f t="array" ref="AI233">IF(AJ$231=-1,AJ233,IF(AJ$231=99,AH233,IF(AJ$231=0,INDEX($E161:$M161,0,AJ$229),(INDEX($E161:$M161,0,AJ$231+1)-INDEX($E161:$M161,0,AJ$231))/(INDEX($E$160:$M$160,0,AJ$231+1)-INDEX($E$160:$M$160,0,AJ$231))+AH233)))</f>
        <v>154.72930621928802</v>
      </c>
      <c r="AJ233" s="9" cm="1">
        <f t="array" ref="AJ233">IF(AK$231=-1,AK233,IF(AK$231=99,AI233,IF(AK$231=0,INDEX($E161:$M161,0,AK$229),(INDEX($E161:$M161,0,AK$231+1)-INDEX($E161:$M161,0,AK$231))/(INDEX($E$160:$M$160,0,AK$231+1)-INDEX($E$160:$M$160,0,AK$231))+AI233)))</f>
        <v>154.72930621928805</v>
      </c>
      <c r="AK233" s="9" cm="1">
        <f t="array" ref="AK233">IF(AL$231=-1,AL233,IF(AL$231=99,AJ233,IF(AL$231=0,INDEX($E161:$M161,0,AL$229),(INDEX($E161:$M161,0,AL$231+1)-INDEX($E161:$M161,0,AL$231))/(INDEX($E$160:$M$160,0,AL$231+1)-INDEX($E$160:$M$160,0,AL$231))+AJ233)))</f>
        <v>154.72930621928805</v>
      </c>
      <c r="AL233" s="9" cm="1">
        <f t="array" ref="AL233">IF(AO$231=-1,AO233,IF(AO$231=99,AK233,IF(AO$231=0,INDEX($E161:$M161,0,AO$229),(INDEX($E161:$M161,0,AO$231+1)-INDEX($E161:$M161,0,AO$231))/(INDEX($E$160:$M$160,0,AO$231+1)-INDEX($E$160:$M$160,0,AO$231))+AK233)))</f>
        <v>154.72930621928805</v>
      </c>
      <c r="AM233" s="9" cm="1">
        <f t="array" ref="AM233">IF(AO$231=-1,AO233,IF(AO$231=99,AK233,IF(AO$231=0,INDEX($E161:$M161,0,AO$229),(INDEX($E161:$M161,0,AO$231+1)-INDEX($E161:$M161,0,AO$231))/(INDEX($E$160:$M$160,0,AO$231+1)-INDEX($E$160:$M$160,0,AO$231))+AK233)))</f>
        <v>154.72930621928805</v>
      </c>
      <c r="AN233" s="9" cm="1">
        <f t="array" ref="AN233">IF(AO$231=-1,AO233,IF(AO$231=99,AK233,IF(AO$231=0,INDEX($E161:$M161,0,AO$229),(INDEX($E161:$M161,0,AO$231+1)-INDEX($E161:$M161,0,AO$231))/(INDEX($E$160:$M$160,0,AO$231+1)-INDEX($E$160:$M$160,0,AO$231))+AK233)))</f>
        <v>154.72930621928805</v>
      </c>
      <c r="AO233" s="9" cm="1">
        <f t="array" ref="AO233">IF(AP$231=-1,AP233,IF(AP$231=99,AL233,IF(AP$231=0,INDEX($E161:$M161,0,AP$229),(INDEX($E161:$M161,0,AP$231+1)-INDEX($E161:$M161,0,AP$231))/(INDEX($E$160:$M$160,0,AP$231+1)-INDEX($E$160:$M$160,0,AP$231))+AL233)))</f>
        <v>154.72930621928805</v>
      </c>
      <c r="AP233" s="9" cm="1">
        <f t="array" ref="AP233">IF(AQ$231=-1,AQ233,IF(AQ$231=99,AO233,IF(AQ$231=0,INDEX($E161:$M161,0,AQ$229),(INDEX($E161:$M161,0,AQ$231+1)-INDEX($E161:$M161,0,AQ$231))/(INDEX($E$160:$M$160,0,AQ$231+1)-INDEX($E$160:$M$160,0,AQ$231))+AO233)))</f>
        <v>154.72930621928805</v>
      </c>
      <c r="AQ233" s="9" cm="1">
        <f t="array" ref="AQ233">IF(AR$231=-1,AR233,IF(AR$231=99,AP233,IF(AR$231=0,INDEX($E161:$M161,0,AR$229),(INDEX($E161:$M161,0,AR$231+1)-INDEX($E161:$M161,0,AR$231))/(INDEX($E$160:$M$160,0,AR$231+1)-INDEX($E$160:$M$160,0,AR$231))+AP233)))</f>
        <v>154.72930621928805</v>
      </c>
      <c r="AR233" s="9" cm="1">
        <f t="array" ref="AR233">IF(AS$231=-1,AS233,IF(AS$231=99,AQ233,IF(AS$231=0,INDEX($E161:$M161,0,AS$229),(INDEX($E161:$M161,0,AS$231+1)-INDEX($E161:$M161,0,AS$231))/(INDEX($E$160:$M$160,0,AS$231+1)-INDEX($E$160:$M$160,0,AS$231))+AQ233)))</f>
        <v>154.72930621928805</v>
      </c>
      <c r="AS233" s="9" cm="1">
        <f t="array" ref="AS233">IF(AT$231=-1,AT233,IF(AT$231=99,AR233,IF(AT$231=0,INDEX($E161:$M161,0,AT$229),(INDEX($E161:$M161,0,AT$231+1)-INDEX($E161:$M161,0,AT$231))/(INDEX($E$160:$M$160,0,AT$231+1)-INDEX($E$160:$M$160,0,AT$231))+AR233)))</f>
        <v>154.72930621928805</v>
      </c>
      <c r="AT233" s="9" cm="1">
        <f t="array" ref="AT233">IF(AV$231=-1,AV233,IF(AV$231=99,AS233,IF(AV$231=0,INDEX($E161:$M161,0,AV$229),(INDEX($E161:$M161,0,AV$231+1)-INDEX($E161:$M161,0,AV$231))/(INDEX($E$160:$M$160,0,AV$231+1)-INDEX($E$160:$M$160,0,AV$231))+AS233)))</f>
        <v>154.72930621928805</v>
      </c>
      <c r="AU233" s="9" cm="1">
        <f t="array" ref="AU233">IF(AW$231=-1,AW233,IF(AW$231=99,AS233,IF(AW$231=0,INDEX($E161:$M161,0,AW$229),(INDEX($E161:$M161,0,AW$231+1)-INDEX($E161:$M161,0,AW$231))/(INDEX($E$160:$M$160,0,AW$231+1)-INDEX($E$160:$M$160,0,AW$231))+AS233)))</f>
        <v>154.72930621928805</v>
      </c>
      <c r="AV233" s="9" cm="1">
        <f t="array" ref="AV233">IF(AX$231=-1,AX233,IF(AX$231=99,AT233,IF(AX$231=0,INDEX($E161:$M161,0,AX$229),(INDEX($E161:$M161,0,AX$231+1)-INDEX($E161:$M161,0,AX$231))/(INDEX($E$160:$M$160,0,AX$231+1)-INDEX($E$160:$M$160,0,AX$231))+AT233)))</f>
        <v>154.72930621928805</v>
      </c>
      <c r="AW233" s="9" cm="1">
        <f t="array" ref="AW233">IF(AY$231=-1,AY233,IF(AY$231=99,AV233,IF(AY$231=0,INDEX($E161:$M161,0,AY$229),(INDEX($E161:$M161,0,AY$231+1)-INDEX($E161:$M161,0,AY$231))/(INDEX($E$160:$M$160,0,AY$231+1)-INDEX($E$160:$M$160,0,AY$231))+AV233)))</f>
        <v>154.72930621928805</v>
      </c>
      <c r="AX233" s="9" cm="1">
        <f t="array" ref="AX233">IF(AY$231=-1,AY233,IF(AY$231=99,AV233,IF(AY$231=0,INDEX($E161:$M161,0,AY$229),(INDEX($E161:$M161,0,AY$231+1)-INDEX($E161:$M161,0,AY$231))/(INDEX($E$160:$M$160,0,AY$231+1)-INDEX($E$160:$M$160,0,AY$231))+AV233)))</f>
        <v>154.72930621928805</v>
      </c>
      <c r="AY233" s="9" cm="1">
        <f t="array" ref="AY233">IF(AZ$231=-1,AZ233,IF(AZ$231=99,AX233,IF(AZ$231=0,INDEX($E161:$M161,0,AZ$229),(INDEX($E161:$M161,0,AZ$231+1)-INDEX($E161:$M161,0,AZ$231))/(INDEX($E$160:$M$160,0,AZ$231+1)-INDEX($E$160:$M$160,0,AZ$231))+AX233)))</f>
        <v>154.72930621928805</v>
      </c>
      <c r="AZ233" s="9" cm="1">
        <f t="array" ref="AZ233">IF(BA$231=-1,BA233,IF(BA$231=99,AY233,IF(BA$231=0,INDEX($E161:$M161,0,BA$229),(INDEX($E161:$M161,0,BA$231+1)-INDEX($E161:$M161,0,BA$231))/(INDEX($E$160:$M$160,0,BA$231+1)-INDEX($E$160:$M$160,0,BA$231))+AY233)))</f>
        <v>154.72930621928805</v>
      </c>
      <c r="BA233" s="9" cm="1">
        <f t="array" ref="BA233">IF(BB$231=-1,BB233,IF(BB$231=99,AZ233,IF(BB$231=0,INDEX($E161:$M161,0,BB$229),(INDEX($E161:$M161,0,BB$231+1)-INDEX($E161:$M161,0,BB$231))/(INDEX($E$160:$M$160,0,BB$231+1)-INDEX($E$160:$M$160,0,BB$231))+AZ233)))</f>
        <v>154.72930621928805</v>
      </c>
      <c r="BB233" s="9" cm="1">
        <f t="array" ref="BB233">IF(BC$231=-1,BC233,IF(BC$231=99,BA233,IF(BC$231=0,INDEX($E161:$M161,0,BC$229),(INDEX($E161:$M161,0,BC$231+1)-INDEX($E161:$M161,0,BC$231))/(INDEX($E$160:$M$160,0,BC$231+1)-INDEX($E$160:$M$160,0,BC$231))+BA233)))</f>
        <v>154.72930621928805</v>
      </c>
      <c r="BC233" s="9" cm="1">
        <f t="array" ref="BC233">IF(BD$231=-1,BD233,IF(BD$231=99,BB233,IF(BD$231=0,INDEX($E161:$M161,0,BD$229),(INDEX($E161:$M161,0,BD$231+1)-INDEX($E161:$M161,0,BD$231))/(INDEX($E$160:$M$160,0,BD$231+1)-INDEX($E$160:$M$160,0,BD$231))+BB233)))</f>
        <v>154.72930621928805</v>
      </c>
      <c r="BD233" s="9" cm="1">
        <f t="array" ref="BD233">IF(BE$231=-1,BE233,IF(BE$231=99,BC233,IF(BE$231=0,INDEX($E161:$M161,0,BE$229),(INDEX($E161:$M161,0,BE$231+1)-INDEX($E161:$M161,0,BE$231))/(INDEX($E$160:$M$160,0,BE$231+1)-INDEX($E$160:$M$160,0,BE$231))+BC233)))</f>
        <v>154.72930621928805</v>
      </c>
      <c r="BE233" s="9" cm="1">
        <f t="array" ref="BE233">IF(BF$231=-1,BF233,IF(BF$231=99,BD233,IF(BF$231=0,INDEX($E161:$M161,0,BF$229),(INDEX($E161:$M161,0,BF$231+1)-INDEX($E161:$M161,0,BF$231))/(INDEX($E$160:$M$160,0,BF$231+1)-INDEX($E$160:$M$160,0,BF$231))+BD233)))</f>
        <v>154.72930621928805</v>
      </c>
      <c r="BF233" s="9" cm="1">
        <f t="array" ref="BF233">IF(BG$231=-1,BG233,IF(BG$231=99,BE233,IF(BG$231=0,INDEX($E161:$M161,0,BG$229),(INDEX($E161:$M161,0,BG$231+1)-INDEX($E161:$M161,0,BG$231))/(INDEX($E$160:$M$160,0,BG$231+1)-INDEX($E$160:$M$160,0,BG$231))+BE233)))</f>
        <v>154.72930621928805</v>
      </c>
      <c r="BG233" s="9" cm="1">
        <f t="array" ref="BG233">IF(BH$231=-1,BH233,IF(BH$231=99,BF233,IF(BH$231=0,INDEX($E161:$M161,0,BH$229),(INDEX($E161:$M161,0,BH$231+1)-INDEX($E161:$M161,0,BH$231))/(INDEX($E$160:$M$160,0,BH$231+1)-INDEX($E$160:$M$160,0,BH$231))+BF233)))</f>
        <v>154.72930621928805</v>
      </c>
      <c r="BH233" s="9" cm="1">
        <f t="array" ref="BH233">IF(BI$231=-1,BI233,IF(BI$231=99,BG233,IF(BI$231=0,INDEX($E161:$M161,0,BI$229),(INDEX($E161:$M161,0,BI$231+1)-INDEX($E161:$M161,0,BI$231))/(INDEX($E$160:$M$160,0,BI$231+1)-INDEX($E$160:$M$160,0,BI$231))+BG233)))</f>
        <v>154.72930621928805</v>
      </c>
      <c r="BI233" s="9" cm="1">
        <f t="array" ref="BI233">IF(BJ$231=-1,BJ233,IF(BJ$231=99,BH233,IF(BJ$231=0,INDEX($E161:$M161,0,BJ$229),(INDEX($E161:$M161,0,BJ$231+1)-INDEX($E161:$M161,0,BJ$231))/(INDEX($E$160:$M$160,0,BJ$231+1)-INDEX($E$160:$M$160,0,BJ$231))+BH233)))</f>
        <v>154.72930621928805</v>
      </c>
      <c r="BJ233" s="9" cm="1">
        <f t="array" ref="BJ233">IF(BK$231=-1,BL233,IF(BK$231=99,BI233,IF(BK$231=0,INDEX($E161:$M161,0,BK$229),(INDEX($E161:$M161,0,BK$231+1)-INDEX($E161:$M161,0,BK$231))/(INDEX($E$160:$M$160,0,BK$231+1)-INDEX($E$160:$M$160,0,BK$231))+BI233)))</f>
        <v>154.72930621928805</v>
      </c>
      <c r="BL233" s="9"/>
      <c r="BM233" s="9"/>
      <c r="BN233" s="9"/>
      <c r="BO233" s="9"/>
      <c r="BP233" s="9"/>
      <c r="BQ233" s="9"/>
    </row>
    <row r="234" spans="5:69" ht="15">
      <c r="E234" t="s">
        <v>16</v>
      </c>
      <c r="F234" s="20" t="str">
        <f t="shared" si="542"/>
        <v/>
      </c>
      <c r="G234" s="21" t="str">
        <f t="shared" si="543"/>
        <v/>
      </c>
      <c r="I234" s="21" t="str">
        <f t="shared" si="544"/>
        <v/>
      </c>
      <c r="J234" s="21"/>
      <c r="K234" s="21" t="str">
        <f t="shared" si="544"/>
        <v/>
      </c>
      <c r="L234" s="21" t="str">
        <f t="shared" si="544"/>
        <v/>
      </c>
      <c r="M234" s="48" t="str">
        <f t="shared" si="545"/>
        <v>TPPRSUV</v>
      </c>
      <c r="N234" s="9"/>
      <c r="O234" s="9"/>
      <c r="P234" s="9"/>
      <c r="Q234" s="9"/>
      <c r="R234" s="9"/>
      <c r="S234" s="9"/>
      <c r="T234" s="9"/>
      <c r="U234" s="9" cm="1">
        <f t="array" ref="U234">IF(V$231=-1,V234,IF(V$231=99,T234,IF(V$231=0,INDEX($E162:$M162,0,V$229),(INDEX($E162:$M162,0,V$231+1)-INDEX($E162:$M162,0,V$231))/(INDEX($E$160:$M$160,0,V$231+1)-INDEX($E$160:$M$160,0,V$231))+T234)))</f>
        <v>23.296733978622161</v>
      </c>
      <c r="V234" s="9" cm="1">
        <f t="array" ref="V234">IF(W$231=-1,W234,IF(W$231=99,U234,IF(W$231=0,INDEX($E162:$M162,0,W$229),(INDEX($E162:$M162,0,W$231+1)-INDEX($E162:$M162,0,W$231))/(INDEX($E$160:$M$160,0,W$231+1)-INDEX($E$160:$M$160,0,W$231))+U234)))</f>
        <v>23.672588339755329</v>
      </c>
      <c r="W234" s="9" cm="1">
        <f t="array" ref="W234">IF(X$231=-1,X234,IF(X$231=99,V234,IF(X$231=0,INDEX($E162:$M162,0,X$229),(INDEX($E162:$M162,0,X$231+1)-INDEX($E162:$M162,0,X$231))/(INDEX($E$160:$M$160,0,X$231+1)-INDEX($E$160:$M$160,0,X$231))+V234)))</f>
        <v>24.048442700888497</v>
      </c>
      <c r="X234" s="9" cm="1">
        <f t="array" ref="X234">IF(Y$231=-1,Y234,IF(Y$231=99,W234,IF(Y$231=0,INDEX($E162:$M162,0,Y$229),(INDEX($E162:$M162,0,Y$231+1)-INDEX($E162:$M162,0,Y$231))/(INDEX($E$160:$M$160,0,Y$231+1)-INDEX($E$160:$M$160,0,Y$231))+W234)))</f>
        <v>23.672588339755329</v>
      </c>
      <c r="Y234" s="9" cm="1">
        <f t="array" ref="Y234">IF(Z$231=-1,Z234,IF(Z$231=99,X234,IF(Z$231=0,INDEX($E162:$M162,0,Z$229),(INDEX($E162:$M162,0,Z$231+1)-INDEX($E162:$M162,0,Z$231))/(INDEX($E$160:$M$160,0,Z$231+1)-INDEX($E$160:$M$160,0,Z$231))+X234)))</f>
        <v>24.695631587737928</v>
      </c>
      <c r="Z234" s="9" cm="1">
        <f t="array" ref="Z234">IF(AA$231=-1,AA234,IF(AA$231=99,Y234,IF(AA$231=0,INDEX($E162:$M162,0,AA$229),(INDEX($E162:$M162,0,AA$231+1)-INDEX($E162:$M162,0,AA$231))/(INDEX($E$160:$M$160,0,AA$231+1)-INDEX($E$160:$M$160,0,AA$231))+Y234)))</f>
        <v>25.718674835720527</v>
      </c>
      <c r="AA234" s="9" cm="1">
        <f t="array" ref="AA234">IF(AD$231=-1,AD234,IF(AD$231=99,Z234,IF(AD$231=0,INDEX($E162:$M162,0,AD$229),(INDEX($E162:$M162,0,AD$231+1)-INDEX($E162:$M162,0,AD$231))/(INDEX($E$160:$M$160,0,AD$231+1)-INDEX($E$160:$M$160,0,AD$231))+Z234)))</f>
        <v>26.741718083703127</v>
      </c>
      <c r="AB234" s="9" cm="1">
        <f t="array" ref="AB234">IF(AD$231=-1,AD234,IF(AD$231=99,Z234,IF(AD$231=0,INDEX($E162:$M162,0,AD$229),(INDEX($E162:$M162,0,AD$231+1)-INDEX($E162:$M162,0,AD$231))/(INDEX($E$160:$M$160,0,AD$231+1)-INDEX($E$160:$M$160,0,AD$231))+Z234)))</f>
        <v>26.741718083703127</v>
      </c>
      <c r="AC234" s="9" cm="1">
        <f t="array" ref="AC234">IF(AD$231=-1,AD234,IF(AD$231=99,Z234,IF(AD$231=0,INDEX($E162:$M162,0,AD$229),(INDEX($E162:$M162,0,AD$231+1)-INDEX($E162:$M162,0,AD$231))/(INDEX($E$160:$M$160,0,AD$231+1)-INDEX($E$160:$M$160,0,AD$231))+Z234)))</f>
        <v>26.741718083703127</v>
      </c>
      <c r="AD234" s="9" cm="1">
        <f t="array" ref="AD234">IF(AE$231=-1,AE234,IF(AE$231=99,AA234,IF(AE$231=0,INDEX($E162:$M162,0,AE$229),(INDEX($E162:$M162,0,AE$231+1)-INDEX($E162:$M162,0,AE$231))/(INDEX($E$160:$M$160,0,AE$231+1)-INDEX($E$160:$M$160,0,AE$231))+AA234)))</f>
        <v>27.764761331685726</v>
      </c>
      <c r="AE234" s="9" cm="1">
        <f t="array" ref="AE234">IF(AF$231=-1,AF234,IF(AF$231=99,AD234,IF(AF$231=0,INDEX($E162:$M162,0,AF$229),(INDEX($E162:$M162,0,AF$231+1)-INDEX($E162:$M162,0,AF$231))/(INDEX($E$160:$M$160,0,AF$231+1)-INDEX($E$160:$M$160,0,AF$231))+AD234)))</f>
        <v>28.787804579668325</v>
      </c>
      <c r="AF234" s="9" cm="1">
        <f t="array" ref="AF234">IF(AG$231=-1,AG234,IF(AG$231=99,AE234,IF(AG$231=0,INDEX($E162:$M162,0,AG$229),(INDEX($E162:$M162,0,AG$231+1)-INDEX($E162:$M162,0,AG$231))/(INDEX($E$160:$M$160,0,AG$231+1)-INDEX($E$160:$M$160,0,AG$231))+AE234)))</f>
        <v>29.810847827650925</v>
      </c>
      <c r="AG234" s="9" cm="1">
        <f t="array" ref="AG234">IF(AH$231=-1,AH234,IF(AH$231=99,AF234,IF(AH$231=0,INDEX($E162:$M162,0,AH$229),(INDEX($E162:$M162,0,AH$231+1)-INDEX($E162:$M162,0,AH$231))/(INDEX($E$160:$M$160,0,AH$231+1)-INDEX($E$160:$M$160,0,AH$231))+AF234)))</f>
        <v>30.833891075633524</v>
      </c>
      <c r="AH234" s="9" cm="1">
        <f t="array" ref="AH234">IF(AI$231=-1,AI234,IF(AI$231=99,AG234,IF(AI$231=0,INDEX($E162:$M162,0,AI$229),(INDEX($E162:$M162,0,AI$231+1)-INDEX($E162:$M162,0,AI$231))/(INDEX($E$160:$M$160,0,AI$231+1)-INDEX($E$160:$M$160,0,AI$231))+AG234)))</f>
        <v>31.856934323616123</v>
      </c>
      <c r="AI234" s="9" cm="1">
        <f t="array" ref="AI234">IF(AJ$231=-1,AJ234,IF(AJ$231=99,AH234,IF(AJ$231=0,INDEX($E162:$M162,0,AJ$229),(INDEX($E162:$M162,0,AJ$231+1)-INDEX($E162:$M162,0,AJ$231))/(INDEX($E$160:$M$160,0,AJ$231+1)-INDEX($E$160:$M$160,0,AJ$231))+AH234)))</f>
        <v>32.879977571598722</v>
      </c>
      <c r="AJ234" s="9" cm="1">
        <f t="array" ref="AJ234">IF(AK$231=-1,AK234,IF(AK$231=99,AI234,IF(AK$231=0,INDEX($E162:$M162,0,AK$229),(INDEX($E162:$M162,0,AK$231+1)-INDEX($E162:$M162,0,AK$231))/(INDEX($E$160:$M$160,0,AK$231+1)-INDEX($E$160:$M$160,0,AK$231))+AI234)))</f>
        <v>32.879977571598715</v>
      </c>
      <c r="AK234" s="9" cm="1">
        <f t="array" ref="AK234">IF(AL$231=-1,AL234,IF(AL$231=99,AJ234,IF(AL$231=0,INDEX($E162:$M162,0,AL$229),(INDEX($E162:$M162,0,AL$231+1)-INDEX($E162:$M162,0,AL$231))/(INDEX($E$160:$M$160,0,AL$231+1)-INDEX($E$160:$M$160,0,AL$231))+AJ234)))</f>
        <v>32.879977571598715</v>
      </c>
      <c r="AL234" s="9" cm="1">
        <f t="array" ref="AL234">IF(AO$231=-1,AO234,IF(AO$231=99,AK234,IF(AO$231=0,INDEX($E162:$M162,0,AO$229),(INDEX($E162:$M162,0,AO$231+1)-INDEX($E162:$M162,0,AO$231))/(INDEX($E$160:$M$160,0,AO$231+1)-INDEX($E$160:$M$160,0,AO$231))+AK234)))</f>
        <v>32.879977571598715</v>
      </c>
      <c r="AM234" s="9" cm="1">
        <f t="array" ref="AM234">IF(AO$231=-1,AO234,IF(AO$231=99,AK234,IF(AO$231=0,INDEX($E162:$M162,0,AO$229),(INDEX($E162:$M162,0,AO$231+1)-INDEX($E162:$M162,0,AO$231))/(INDEX($E$160:$M$160,0,AO$231+1)-INDEX($E$160:$M$160,0,AO$231))+AK234)))</f>
        <v>32.879977571598715</v>
      </c>
      <c r="AN234" s="9" cm="1">
        <f t="array" ref="AN234">IF(AO$231=-1,AO234,IF(AO$231=99,AK234,IF(AO$231=0,INDEX($E162:$M162,0,AO$229),(INDEX($E162:$M162,0,AO$231+1)-INDEX($E162:$M162,0,AO$231))/(INDEX($E$160:$M$160,0,AO$231+1)-INDEX($E$160:$M$160,0,AO$231))+AK234)))</f>
        <v>32.879977571598715</v>
      </c>
      <c r="AO234" s="9" cm="1">
        <f t="array" ref="AO234">IF(AP$231=-1,AP234,IF(AP$231=99,AL234,IF(AP$231=0,INDEX($E162:$M162,0,AP$229),(INDEX($E162:$M162,0,AP$231+1)-INDEX($E162:$M162,0,AP$231))/(INDEX($E$160:$M$160,0,AP$231+1)-INDEX($E$160:$M$160,0,AP$231))+AL234)))</f>
        <v>32.879977571598715</v>
      </c>
      <c r="AP234" s="9" cm="1">
        <f t="array" ref="AP234">IF(AQ$231=-1,AQ234,IF(AQ$231=99,AO234,IF(AQ$231=0,INDEX($E162:$M162,0,AQ$229),(INDEX($E162:$M162,0,AQ$231+1)-INDEX($E162:$M162,0,AQ$231))/(INDEX($E$160:$M$160,0,AQ$231+1)-INDEX($E$160:$M$160,0,AQ$231))+AO234)))</f>
        <v>32.879977571598715</v>
      </c>
      <c r="AQ234" s="9" cm="1">
        <f t="array" ref="AQ234">IF(AR$231=-1,AR234,IF(AR$231=99,AP234,IF(AR$231=0,INDEX($E162:$M162,0,AR$229),(INDEX($E162:$M162,0,AR$231+1)-INDEX($E162:$M162,0,AR$231))/(INDEX($E$160:$M$160,0,AR$231+1)-INDEX($E$160:$M$160,0,AR$231))+AP234)))</f>
        <v>32.879977571598715</v>
      </c>
      <c r="AR234" s="9" cm="1">
        <f t="array" ref="AR234">IF(AS$231=-1,AS234,IF(AS$231=99,AQ234,IF(AS$231=0,INDEX($E162:$M162,0,AS$229),(INDEX($E162:$M162,0,AS$231+1)-INDEX($E162:$M162,0,AS$231))/(INDEX($E$160:$M$160,0,AS$231+1)-INDEX($E$160:$M$160,0,AS$231))+AQ234)))</f>
        <v>32.879977571598715</v>
      </c>
      <c r="AS234" s="9" cm="1">
        <f t="array" ref="AS234">IF(AT$231=-1,AT234,IF(AT$231=99,AR234,IF(AT$231=0,INDEX($E162:$M162,0,AT$229),(INDEX($E162:$M162,0,AT$231+1)-INDEX($E162:$M162,0,AT$231))/(INDEX($E$160:$M$160,0,AT$231+1)-INDEX($E$160:$M$160,0,AT$231))+AR234)))</f>
        <v>32.879977571598715</v>
      </c>
      <c r="AT234" s="9" cm="1">
        <f t="array" ref="AT234">IF(AV$231=-1,AV234,IF(AV$231=99,AS234,IF(AV$231=0,INDEX($E162:$M162,0,AV$229),(INDEX($E162:$M162,0,AV$231+1)-INDEX($E162:$M162,0,AV$231))/(INDEX($E$160:$M$160,0,AV$231+1)-INDEX($E$160:$M$160,0,AV$231))+AS234)))</f>
        <v>32.879977571598715</v>
      </c>
      <c r="AU234" s="9" cm="1">
        <f t="array" ref="AU234">IF(AW$231=-1,AW234,IF(AW$231=99,AS234,IF(AW$231=0,INDEX($E162:$M162,0,AW$229),(INDEX($E162:$M162,0,AW$231+1)-INDEX($E162:$M162,0,AW$231))/(INDEX($E$160:$M$160,0,AW$231+1)-INDEX($E$160:$M$160,0,AW$231))+AS234)))</f>
        <v>32.879977571598715</v>
      </c>
      <c r="AV234" s="9" cm="1">
        <f t="array" ref="AV234">IF(AX$231=-1,AX234,IF(AX$231=99,AT234,IF(AX$231=0,INDEX($E162:$M162,0,AX$229),(INDEX($E162:$M162,0,AX$231+1)-INDEX($E162:$M162,0,AX$231))/(INDEX($E$160:$M$160,0,AX$231+1)-INDEX($E$160:$M$160,0,AX$231))+AT234)))</f>
        <v>32.879977571598715</v>
      </c>
      <c r="AW234" s="9" cm="1">
        <f t="array" ref="AW234">IF(AY$231=-1,AY234,IF(AY$231=99,AV234,IF(AY$231=0,INDEX($E162:$M162,0,AY$229),(INDEX($E162:$M162,0,AY$231+1)-INDEX($E162:$M162,0,AY$231))/(INDEX($E$160:$M$160,0,AY$231+1)-INDEX($E$160:$M$160,0,AY$231))+AV234)))</f>
        <v>32.879977571598715</v>
      </c>
      <c r="AX234" s="9" cm="1">
        <f t="array" ref="AX234">IF(AY$231=-1,AY234,IF(AY$231=99,AV234,IF(AY$231=0,INDEX($E162:$M162,0,AY$229),(INDEX($E162:$M162,0,AY$231+1)-INDEX($E162:$M162,0,AY$231))/(INDEX($E$160:$M$160,0,AY$231+1)-INDEX($E$160:$M$160,0,AY$231))+AV234)))</f>
        <v>32.879977571598715</v>
      </c>
      <c r="AY234" s="9" cm="1">
        <f t="array" ref="AY234">IF(AZ$231=-1,AZ234,IF(AZ$231=99,AX234,IF(AZ$231=0,INDEX($E162:$M162,0,AZ$229),(INDEX($E162:$M162,0,AZ$231+1)-INDEX($E162:$M162,0,AZ$231))/(INDEX($E$160:$M$160,0,AZ$231+1)-INDEX($E$160:$M$160,0,AZ$231))+AX234)))</f>
        <v>32.879977571598715</v>
      </c>
      <c r="AZ234" s="9" cm="1">
        <f t="array" ref="AZ234">IF(BA$231=-1,BA234,IF(BA$231=99,AY234,IF(BA$231=0,INDEX($E162:$M162,0,BA$229),(INDEX($E162:$M162,0,BA$231+1)-INDEX($E162:$M162,0,BA$231))/(INDEX($E$160:$M$160,0,BA$231+1)-INDEX($E$160:$M$160,0,BA$231))+AY234)))</f>
        <v>32.879977571598715</v>
      </c>
      <c r="BA234" s="9" cm="1">
        <f t="array" ref="BA234">IF(BB$231=-1,BB234,IF(BB$231=99,AZ234,IF(BB$231=0,INDEX($E162:$M162,0,BB$229),(INDEX($E162:$M162,0,BB$231+1)-INDEX($E162:$M162,0,BB$231))/(INDEX($E$160:$M$160,0,BB$231+1)-INDEX($E$160:$M$160,0,BB$231))+AZ234)))</f>
        <v>32.879977571598715</v>
      </c>
      <c r="BB234" s="9" cm="1">
        <f t="array" ref="BB234">IF(BC$231=-1,BC234,IF(BC$231=99,BA234,IF(BC$231=0,INDEX($E162:$M162,0,BC$229),(INDEX($E162:$M162,0,BC$231+1)-INDEX($E162:$M162,0,BC$231))/(INDEX($E$160:$M$160,0,BC$231+1)-INDEX($E$160:$M$160,0,BC$231))+BA234)))</f>
        <v>32.879977571598715</v>
      </c>
      <c r="BC234" s="9" cm="1">
        <f t="array" ref="BC234">IF(BD$231=-1,BD234,IF(BD$231=99,BB234,IF(BD$231=0,INDEX($E162:$M162,0,BD$229),(INDEX($E162:$M162,0,BD$231+1)-INDEX($E162:$M162,0,BD$231))/(INDEX($E$160:$M$160,0,BD$231+1)-INDEX($E$160:$M$160,0,BD$231))+BB234)))</f>
        <v>32.879977571598715</v>
      </c>
      <c r="BD234" s="9" cm="1">
        <f t="array" ref="BD234">IF(BE$231=-1,BE234,IF(BE$231=99,BC234,IF(BE$231=0,INDEX($E162:$M162,0,BE$229),(INDEX($E162:$M162,0,BE$231+1)-INDEX($E162:$M162,0,BE$231))/(INDEX($E$160:$M$160,0,BE$231+1)-INDEX($E$160:$M$160,0,BE$231))+BC234)))</f>
        <v>32.879977571598715</v>
      </c>
      <c r="BE234" s="9" cm="1">
        <f t="array" ref="BE234">IF(BF$231=-1,BF234,IF(BF$231=99,BD234,IF(BF$231=0,INDEX($E162:$M162,0,BF$229),(INDEX($E162:$M162,0,BF$231+1)-INDEX($E162:$M162,0,BF$231))/(INDEX($E$160:$M$160,0,BF$231+1)-INDEX($E$160:$M$160,0,BF$231))+BD234)))</f>
        <v>32.879977571598715</v>
      </c>
      <c r="BF234" s="9" cm="1">
        <f t="array" ref="BF234">IF(BG$231=-1,BG234,IF(BG$231=99,BE234,IF(BG$231=0,INDEX($E162:$M162,0,BG$229),(INDEX($E162:$M162,0,BG$231+1)-INDEX($E162:$M162,0,BG$231))/(INDEX($E$160:$M$160,0,BG$231+1)-INDEX($E$160:$M$160,0,BG$231))+BE234)))</f>
        <v>32.879977571598715</v>
      </c>
      <c r="BG234" s="9" cm="1">
        <f t="array" ref="BG234">IF(BH$231=-1,BH234,IF(BH$231=99,BF234,IF(BH$231=0,INDEX($E162:$M162,0,BH$229),(INDEX($E162:$M162,0,BH$231+1)-INDEX($E162:$M162,0,BH$231))/(INDEX($E$160:$M$160,0,BH$231+1)-INDEX($E$160:$M$160,0,BH$231))+BF234)))</f>
        <v>32.879977571598715</v>
      </c>
      <c r="BH234" s="9" cm="1">
        <f t="array" ref="BH234">IF(BI$231=-1,BI234,IF(BI$231=99,BG234,IF(BI$231=0,INDEX($E162:$M162,0,BI$229),(INDEX($E162:$M162,0,BI$231+1)-INDEX($E162:$M162,0,BI$231))/(INDEX($E$160:$M$160,0,BI$231+1)-INDEX($E$160:$M$160,0,BI$231))+BG234)))</f>
        <v>32.879977571598715</v>
      </c>
      <c r="BI234" s="9" cm="1">
        <f t="array" ref="BI234">IF(BJ$231=-1,BJ234,IF(BJ$231=99,BH234,IF(BJ$231=0,INDEX($E162:$M162,0,BJ$229),(INDEX($E162:$M162,0,BJ$231+1)-INDEX($E162:$M162,0,BJ$231))/(INDEX($E$160:$M$160,0,BJ$231+1)-INDEX($E$160:$M$160,0,BJ$231))+BH234)))</f>
        <v>32.879977571598715</v>
      </c>
      <c r="BJ234" s="9" cm="1">
        <f t="array" ref="BJ234">IF(BK$231=-1,BL234,IF(BK$231=99,BI234,IF(BK$231=0,INDEX($E162:$M162,0,BK$229),(INDEX($E162:$M162,0,BK$231+1)-INDEX($E162:$M162,0,BK$231))/(INDEX($E$160:$M$160,0,BK$231+1)-INDEX($E$160:$M$160,0,BK$231))+BI234)))</f>
        <v>32.879977571598715</v>
      </c>
      <c r="BL234" s="9"/>
      <c r="BM234" s="9"/>
      <c r="BN234" s="9"/>
      <c r="BO234" s="9"/>
      <c r="BP234" s="9"/>
      <c r="BQ234" s="9"/>
    </row>
    <row r="235" spans="5:69" ht="15">
      <c r="E235" t="s">
        <v>16</v>
      </c>
      <c r="F235" s="20" t="str">
        <f t="shared" si="542"/>
        <v/>
      </c>
      <c r="G235" s="21" t="str">
        <f t="shared" si="543"/>
        <v/>
      </c>
      <c r="I235" s="21" t="str">
        <f t="shared" si="544"/>
        <v/>
      </c>
      <c r="J235" s="21"/>
      <c r="K235" s="21" t="str">
        <f t="shared" si="544"/>
        <v/>
      </c>
      <c r="L235" s="21" t="str">
        <f t="shared" si="544"/>
        <v/>
      </c>
      <c r="M235" s="48" t="str">
        <f t="shared" si="545"/>
        <v>TPPRMOT</v>
      </c>
      <c r="N235" s="9"/>
      <c r="O235" s="9"/>
      <c r="P235" s="9"/>
      <c r="Q235" s="9"/>
      <c r="R235" s="9"/>
      <c r="S235" s="9"/>
      <c r="T235" s="9"/>
      <c r="U235" s="9" cm="1">
        <f t="array" ref="U235">IF(V$231=-1,V235,IF(V$231=99,T235,IF(V$231=0,INDEX($E163:$M163,0,V$229),(INDEX($E163:$M163,0,V$231+1)-INDEX($E163:$M163,0,V$231))/(INDEX($E$160:$M$160,0,V$231+1)-INDEX($E$160:$M$160,0,V$231))+T235)))</f>
        <v>4.1111883491686161</v>
      </c>
      <c r="V235" s="9" cm="1">
        <f t="array" ref="V235">IF(W$231=-1,W235,IF(W$231=99,U235,IF(W$231=0,INDEX($E163:$M163,0,W$229),(INDEX($E163:$M163,0,W$231+1)-INDEX($E163:$M163,0,W$231))/(INDEX($E$160:$M$160,0,W$231+1)-INDEX($E$160:$M$160,0,W$231))+U235)))</f>
        <v>4.1775155893685865</v>
      </c>
      <c r="W235" s="9" cm="1">
        <f t="array" ref="W235">IF(X$231=-1,X235,IF(X$231=99,V235,IF(X$231=0,INDEX($E163:$M163,0,X$229),(INDEX($E163:$M163,0,X$231+1)-INDEX($E163:$M163,0,X$231))/(INDEX($E$160:$M$160,0,X$231+1)-INDEX($E$160:$M$160,0,X$231))+V235)))</f>
        <v>4.2438428295685569</v>
      </c>
      <c r="X235" s="9" cm="1">
        <f t="array" ref="X235">IF(Y$231=-1,Y235,IF(Y$231=99,W235,IF(Y$231=0,INDEX($E163:$M163,0,Y$229),(INDEX($E163:$M163,0,Y$231+1)-INDEX($E163:$M163,0,Y$231))/(INDEX($E$160:$M$160,0,Y$231+1)-INDEX($E$160:$M$160,0,Y$231))+W235)))</f>
        <v>4.1775155893685865</v>
      </c>
      <c r="Y235" s="9" cm="1">
        <f t="array" ref="Y235">IF(Z$231=-1,Z235,IF(Z$231=99,X235,IF(Z$231=0,INDEX($E163:$M163,0,Z$229),(INDEX($E163:$M163,0,Z$231+1)-INDEX($E163:$M163,0,Z$231))/(INDEX($E$160:$M$160,0,Z$231+1)-INDEX($E$160:$M$160,0,Z$231))+X235)))</f>
        <v>4.3580526331302218</v>
      </c>
      <c r="Z235" s="9" cm="1">
        <f t="array" ref="Z235">IF(AA$231=-1,AA235,IF(AA$231=99,Y235,IF(AA$231=0,INDEX($E163:$M163,0,AA$229),(INDEX($E163:$M163,0,AA$231+1)-INDEX($E163:$M163,0,AA$231))/(INDEX($E$160:$M$160,0,AA$231+1)-INDEX($E$160:$M$160,0,AA$231))+Y235)))</f>
        <v>4.5385896768918572</v>
      </c>
      <c r="AA235" s="9" cm="1">
        <f t="array" ref="AA235">IF(AD$231=-1,AD235,IF(AD$231=99,Z235,IF(AD$231=0,INDEX($E163:$M163,0,AD$229),(INDEX($E163:$M163,0,AD$231+1)-INDEX($E163:$M163,0,AD$231))/(INDEX($E$160:$M$160,0,AD$231+1)-INDEX($E$160:$M$160,0,AD$231))+Z235)))</f>
        <v>4.7191267206534926</v>
      </c>
      <c r="AB235" s="9" cm="1">
        <f t="array" ref="AB235">IF(AD$231=-1,AD235,IF(AD$231=99,Z235,IF(AD$231=0,INDEX($E163:$M163,0,AD$229),(INDEX($E163:$M163,0,AD$231+1)-INDEX($E163:$M163,0,AD$231))/(INDEX($E$160:$M$160,0,AD$231+1)-INDEX($E$160:$M$160,0,AD$231))+Z235)))</f>
        <v>4.7191267206534926</v>
      </c>
      <c r="AC235" s="9" cm="1">
        <f t="array" ref="AC235">IF(AD$231=-1,AD235,IF(AD$231=99,Z235,IF(AD$231=0,INDEX($E163:$M163,0,AD$229),(INDEX($E163:$M163,0,AD$231+1)-INDEX($E163:$M163,0,AD$231))/(INDEX($E$160:$M$160,0,AD$231+1)-INDEX($E$160:$M$160,0,AD$231))+Z235)))</f>
        <v>4.7191267206534926</v>
      </c>
      <c r="AD235" s="9" cm="1">
        <f t="array" ref="AD235">IF(AE$231=-1,AE235,IF(AE$231=99,AA235,IF(AE$231=0,INDEX($E163:$M163,0,AE$229),(INDEX($E163:$M163,0,AE$231+1)-INDEX($E163:$M163,0,AE$231))/(INDEX($E$160:$M$160,0,AE$231+1)-INDEX($E$160:$M$160,0,AE$231))+AA235)))</f>
        <v>4.899663764415128</v>
      </c>
      <c r="AE235" s="9" cm="1">
        <f t="array" ref="AE235">IF(AF$231=-1,AF235,IF(AF$231=99,AD235,IF(AF$231=0,INDEX($E163:$M163,0,AF$229),(INDEX($E163:$M163,0,AF$231+1)-INDEX($E163:$M163,0,AF$231))/(INDEX($E$160:$M$160,0,AF$231+1)-INDEX($E$160:$M$160,0,AF$231))+AD235)))</f>
        <v>5.0802008081767633</v>
      </c>
      <c r="AF235" s="9" cm="1">
        <f t="array" ref="AF235">IF(AG$231=-1,AG235,IF(AG$231=99,AE235,IF(AG$231=0,INDEX($E163:$M163,0,AG$229),(INDEX($E163:$M163,0,AG$231+1)-INDEX($E163:$M163,0,AG$231))/(INDEX($E$160:$M$160,0,AG$231+1)-INDEX($E$160:$M$160,0,AG$231))+AE235)))</f>
        <v>5.2607378519383987</v>
      </c>
      <c r="AG235" s="9" cm="1">
        <f t="array" ref="AG235">IF(AH$231=-1,AH235,IF(AH$231=99,AF235,IF(AH$231=0,INDEX($E163:$M163,0,AH$229),(INDEX($E163:$M163,0,AH$231+1)-INDEX($E163:$M163,0,AH$231))/(INDEX($E$160:$M$160,0,AH$231+1)-INDEX($E$160:$M$160,0,AH$231))+AF235)))</f>
        <v>5.4412748957000341</v>
      </c>
      <c r="AH235" s="9" cm="1">
        <f t="array" ref="AH235">IF(AI$231=-1,AI235,IF(AI$231=99,AG235,IF(AI$231=0,INDEX($E163:$M163,0,AI$229),(INDEX($E163:$M163,0,AI$231+1)-INDEX($E163:$M163,0,AI$231))/(INDEX($E$160:$M$160,0,AI$231+1)-INDEX($E$160:$M$160,0,AI$231))+AG235)))</f>
        <v>5.6218119394616695</v>
      </c>
      <c r="AI235" s="9" cm="1">
        <f t="array" ref="AI235">IF(AJ$231=-1,AJ235,IF(AJ$231=99,AH235,IF(AJ$231=0,INDEX($E163:$M163,0,AJ$229),(INDEX($E163:$M163,0,AJ$231+1)-INDEX($E163:$M163,0,AJ$231))/(INDEX($E$160:$M$160,0,AJ$231+1)-INDEX($E$160:$M$160,0,AJ$231))+AH235)))</f>
        <v>5.8023489832233048</v>
      </c>
      <c r="AJ235" s="9" cm="1">
        <f t="array" ref="AJ235">IF(AK$231=-1,AK235,IF(AK$231=99,AI235,IF(AK$231=0,INDEX($E163:$M163,0,AK$229),(INDEX($E163:$M163,0,AK$231+1)-INDEX($E163:$M163,0,AK$231))/(INDEX($E$160:$M$160,0,AK$231+1)-INDEX($E$160:$M$160,0,AK$231))+AI235)))</f>
        <v>5.8023489832233022</v>
      </c>
      <c r="AK235" s="9" cm="1">
        <f t="array" ref="AK235">IF(AL$231=-1,AL235,IF(AL$231=99,AJ235,IF(AL$231=0,INDEX($E163:$M163,0,AL$229),(INDEX($E163:$M163,0,AL$231+1)-INDEX($E163:$M163,0,AL$231))/(INDEX($E$160:$M$160,0,AL$231+1)-INDEX($E$160:$M$160,0,AL$231))+AJ235)))</f>
        <v>5.8023489832233022</v>
      </c>
      <c r="AL235" s="9" cm="1">
        <f t="array" ref="AL235">IF(AO$231=-1,AO235,IF(AO$231=99,AK235,IF(AO$231=0,INDEX($E163:$M163,0,AO$229),(INDEX($E163:$M163,0,AO$231+1)-INDEX($E163:$M163,0,AO$231))/(INDEX($E$160:$M$160,0,AO$231+1)-INDEX($E$160:$M$160,0,AO$231))+AK235)))</f>
        <v>5.8023489832233022</v>
      </c>
      <c r="AM235" s="9" cm="1">
        <f t="array" ref="AM235">IF(AO$231=-1,AO235,IF(AO$231=99,AK235,IF(AO$231=0,INDEX($E163:$M163,0,AO$229),(INDEX($E163:$M163,0,AO$231+1)-INDEX($E163:$M163,0,AO$231))/(INDEX($E$160:$M$160,0,AO$231+1)-INDEX($E$160:$M$160,0,AO$231))+AK235)))</f>
        <v>5.8023489832233022</v>
      </c>
      <c r="AN235" s="9" cm="1">
        <f t="array" ref="AN235">IF(AO$231=-1,AO235,IF(AO$231=99,AK235,IF(AO$231=0,INDEX($E163:$M163,0,AO$229),(INDEX($E163:$M163,0,AO$231+1)-INDEX($E163:$M163,0,AO$231))/(INDEX($E$160:$M$160,0,AO$231+1)-INDEX($E$160:$M$160,0,AO$231))+AK235)))</f>
        <v>5.8023489832233022</v>
      </c>
      <c r="AO235" s="9" cm="1">
        <f t="array" ref="AO235">IF(AP$231=-1,AP235,IF(AP$231=99,AL235,IF(AP$231=0,INDEX($E163:$M163,0,AP$229),(INDEX($E163:$M163,0,AP$231+1)-INDEX($E163:$M163,0,AP$231))/(INDEX($E$160:$M$160,0,AP$231+1)-INDEX($E$160:$M$160,0,AP$231))+AL235)))</f>
        <v>5.8023489832233022</v>
      </c>
      <c r="AP235" s="9" cm="1">
        <f t="array" ref="AP235">IF(AQ$231=-1,AQ235,IF(AQ$231=99,AO235,IF(AQ$231=0,INDEX($E163:$M163,0,AQ$229),(INDEX($E163:$M163,0,AQ$231+1)-INDEX($E163:$M163,0,AQ$231))/(INDEX($E$160:$M$160,0,AQ$231+1)-INDEX($E$160:$M$160,0,AQ$231))+AO235)))</f>
        <v>5.8023489832233022</v>
      </c>
      <c r="AQ235" s="9" cm="1">
        <f t="array" ref="AQ235">IF(AR$231=-1,AR235,IF(AR$231=99,AP235,IF(AR$231=0,INDEX($E163:$M163,0,AR$229),(INDEX($E163:$M163,0,AR$231+1)-INDEX($E163:$M163,0,AR$231))/(INDEX($E$160:$M$160,0,AR$231+1)-INDEX($E$160:$M$160,0,AR$231))+AP235)))</f>
        <v>5.8023489832233022</v>
      </c>
      <c r="AR235" s="9" cm="1">
        <f t="array" ref="AR235">IF(AS$231=-1,AS235,IF(AS$231=99,AQ235,IF(AS$231=0,INDEX($E163:$M163,0,AS$229),(INDEX($E163:$M163,0,AS$231+1)-INDEX($E163:$M163,0,AS$231))/(INDEX($E$160:$M$160,0,AS$231+1)-INDEX($E$160:$M$160,0,AS$231))+AQ235)))</f>
        <v>5.8023489832233022</v>
      </c>
      <c r="AS235" s="9" cm="1">
        <f t="array" ref="AS235">IF(AT$231=-1,AT235,IF(AT$231=99,AR235,IF(AT$231=0,INDEX($E163:$M163,0,AT$229),(INDEX($E163:$M163,0,AT$231+1)-INDEX($E163:$M163,0,AT$231))/(INDEX($E$160:$M$160,0,AT$231+1)-INDEX($E$160:$M$160,0,AT$231))+AR235)))</f>
        <v>5.8023489832233022</v>
      </c>
      <c r="AT235" s="9" cm="1">
        <f t="array" ref="AT235">IF(AV$231=-1,AV235,IF(AV$231=99,AS235,IF(AV$231=0,INDEX($E163:$M163,0,AV$229),(INDEX($E163:$M163,0,AV$231+1)-INDEX($E163:$M163,0,AV$231))/(INDEX($E$160:$M$160,0,AV$231+1)-INDEX($E$160:$M$160,0,AV$231))+AS235)))</f>
        <v>5.8023489832233022</v>
      </c>
      <c r="AU235" s="9" cm="1">
        <f t="array" ref="AU235">IF(AW$231=-1,AW235,IF(AW$231=99,AS235,IF(AW$231=0,INDEX($E163:$M163,0,AW$229),(INDEX($E163:$M163,0,AW$231+1)-INDEX($E163:$M163,0,AW$231))/(INDEX($E$160:$M$160,0,AW$231+1)-INDEX($E$160:$M$160,0,AW$231))+AS235)))</f>
        <v>5.8023489832233022</v>
      </c>
      <c r="AV235" s="9" cm="1">
        <f t="array" ref="AV235">IF(AX$231=-1,AX235,IF(AX$231=99,AT235,IF(AX$231=0,INDEX($E163:$M163,0,AX$229),(INDEX($E163:$M163,0,AX$231+1)-INDEX($E163:$M163,0,AX$231))/(INDEX($E$160:$M$160,0,AX$231+1)-INDEX($E$160:$M$160,0,AX$231))+AT235)))</f>
        <v>5.8023489832233022</v>
      </c>
      <c r="AW235" s="9" cm="1">
        <f t="array" ref="AW235">IF(AY$231=-1,AY235,IF(AY$231=99,AV235,IF(AY$231=0,INDEX($E163:$M163,0,AY$229),(INDEX($E163:$M163,0,AY$231+1)-INDEX($E163:$M163,0,AY$231))/(INDEX($E$160:$M$160,0,AY$231+1)-INDEX($E$160:$M$160,0,AY$231))+AV235)))</f>
        <v>5.8023489832233022</v>
      </c>
      <c r="AX235" s="9" cm="1">
        <f t="array" ref="AX235">IF(AY$231=-1,AY235,IF(AY$231=99,AV235,IF(AY$231=0,INDEX($E163:$M163,0,AY$229),(INDEX($E163:$M163,0,AY$231+1)-INDEX($E163:$M163,0,AY$231))/(INDEX($E$160:$M$160,0,AY$231+1)-INDEX($E$160:$M$160,0,AY$231))+AV235)))</f>
        <v>5.8023489832233022</v>
      </c>
      <c r="AY235" s="9" cm="1">
        <f t="array" ref="AY235">IF(AZ$231=-1,AZ235,IF(AZ$231=99,AX235,IF(AZ$231=0,INDEX($E163:$M163,0,AZ$229),(INDEX($E163:$M163,0,AZ$231+1)-INDEX($E163:$M163,0,AZ$231))/(INDEX($E$160:$M$160,0,AZ$231+1)-INDEX($E$160:$M$160,0,AZ$231))+AX235)))</f>
        <v>5.8023489832233022</v>
      </c>
      <c r="AZ235" s="9" cm="1">
        <f t="array" ref="AZ235">IF(BA$231=-1,BA235,IF(BA$231=99,AY235,IF(BA$231=0,INDEX($E163:$M163,0,BA$229),(INDEX($E163:$M163,0,BA$231+1)-INDEX($E163:$M163,0,BA$231))/(INDEX($E$160:$M$160,0,BA$231+1)-INDEX($E$160:$M$160,0,BA$231))+AY235)))</f>
        <v>5.8023489832233022</v>
      </c>
      <c r="BA235" s="9" cm="1">
        <f t="array" ref="BA235">IF(BB$231=-1,BB235,IF(BB$231=99,AZ235,IF(BB$231=0,INDEX($E163:$M163,0,BB$229),(INDEX($E163:$M163,0,BB$231+1)-INDEX($E163:$M163,0,BB$231))/(INDEX($E$160:$M$160,0,BB$231+1)-INDEX($E$160:$M$160,0,BB$231))+AZ235)))</f>
        <v>5.8023489832233022</v>
      </c>
      <c r="BB235" s="9" cm="1">
        <f t="array" ref="BB235">IF(BC$231=-1,BC235,IF(BC$231=99,BA235,IF(BC$231=0,INDEX($E163:$M163,0,BC$229),(INDEX($E163:$M163,0,BC$231+1)-INDEX($E163:$M163,0,BC$231))/(INDEX($E$160:$M$160,0,BC$231+1)-INDEX($E$160:$M$160,0,BC$231))+BA235)))</f>
        <v>5.8023489832233022</v>
      </c>
      <c r="BC235" s="9" cm="1">
        <f t="array" ref="BC235">IF(BD$231=-1,BD235,IF(BD$231=99,BB235,IF(BD$231=0,INDEX($E163:$M163,0,BD$229),(INDEX($E163:$M163,0,BD$231+1)-INDEX($E163:$M163,0,BD$231))/(INDEX($E$160:$M$160,0,BD$231+1)-INDEX($E$160:$M$160,0,BD$231))+BB235)))</f>
        <v>5.8023489832233022</v>
      </c>
      <c r="BD235" s="9" cm="1">
        <f t="array" ref="BD235">IF(BE$231=-1,BE235,IF(BE$231=99,BC235,IF(BE$231=0,INDEX($E163:$M163,0,BE$229),(INDEX($E163:$M163,0,BE$231+1)-INDEX($E163:$M163,0,BE$231))/(INDEX($E$160:$M$160,0,BE$231+1)-INDEX($E$160:$M$160,0,BE$231))+BC235)))</f>
        <v>5.8023489832233022</v>
      </c>
      <c r="BE235" s="9" cm="1">
        <f t="array" ref="BE235">IF(BF$231=-1,BF235,IF(BF$231=99,BD235,IF(BF$231=0,INDEX($E163:$M163,0,BF$229),(INDEX($E163:$M163,0,BF$231+1)-INDEX($E163:$M163,0,BF$231))/(INDEX($E$160:$M$160,0,BF$231+1)-INDEX($E$160:$M$160,0,BF$231))+BD235)))</f>
        <v>5.8023489832233022</v>
      </c>
      <c r="BF235" s="9" cm="1">
        <f t="array" ref="BF235">IF(BG$231=-1,BG235,IF(BG$231=99,BE235,IF(BG$231=0,INDEX($E163:$M163,0,BG$229),(INDEX($E163:$M163,0,BG$231+1)-INDEX($E163:$M163,0,BG$231))/(INDEX($E$160:$M$160,0,BG$231+1)-INDEX($E$160:$M$160,0,BG$231))+BE235)))</f>
        <v>5.8023489832233022</v>
      </c>
      <c r="BG235" s="9" cm="1">
        <f t="array" ref="BG235">IF(BH$231=-1,BH235,IF(BH$231=99,BF235,IF(BH$231=0,INDEX($E163:$M163,0,BH$229),(INDEX($E163:$M163,0,BH$231+1)-INDEX($E163:$M163,0,BH$231))/(INDEX($E$160:$M$160,0,BH$231+1)-INDEX($E$160:$M$160,0,BH$231))+BF235)))</f>
        <v>5.8023489832233022</v>
      </c>
      <c r="BH235" s="9" cm="1">
        <f t="array" ref="BH235">IF(BI$231=-1,BI235,IF(BI$231=99,BG235,IF(BI$231=0,INDEX($E163:$M163,0,BI$229),(INDEX($E163:$M163,0,BI$231+1)-INDEX($E163:$M163,0,BI$231))/(INDEX($E$160:$M$160,0,BI$231+1)-INDEX($E$160:$M$160,0,BI$231))+BG235)))</f>
        <v>5.8023489832233022</v>
      </c>
      <c r="BI235" s="9" cm="1">
        <f t="array" ref="BI235">IF(BJ$231=-1,BJ235,IF(BJ$231=99,BH235,IF(BJ$231=0,INDEX($E163:$M163,0,BJ$229),(INDEX($E163:$M163,0,BJ$231+1)-INDEX($E163:$M163,0,BJ$231))/(INDEX($E$160:$M$160,0,BJ$231+1)-INDEX($E$160:$M$160,0,BJ$231))+BH235)))</f>
        <v>5.8023489832233022</v>
      </c>
      <c r="BJ235" s="9" cm="1">
        <f t="array" ref="BJ235">IF(BK$231=-1,BL235,IF(BK$231=99,BI235,IF(BK$231=0,INDEX($E163:$M163,0,BK$229),(INDEX($E163:$M163,0,BK$231+1)-INDEX($E163:$M163,0,BK$231))/(INDEX($E$160:$M$160,0,BK$231+1)-INDEX($E$160:$M$160,0,BK$231))+BI235)))</f>
        <v>5.8023489832233022</v>
      </c>
      <c r="BL235" s="9"/>
      <c r="BM235" s="9"/>
      <c r="BN235" s="9"/>
      <c r="BO235" s="9"/>
      <c r="BP235" s="9"/>
      <c r="BQ235" s="9"/>
    </row>
    <row r="236" spans="5:69" ht="15">
      <c r="E236" t="s">
        <v>16</v>
      </c>
      <c r="F236" s="20" t="str">
        <f t="shared" si="542"/>
        <v/>
      </c>
      <c r="G236" s="21" t="str">
        <f t="shared" si="543"/>
        <v/>
      </c>
      <c r="I236" s="21" t="str">
        <f t="shared" si="544"/>
        <v/>
      </c>
      <c r="J236" s="21"/>
      <c r="K236" s="21" t="str">
        <f t="shared" si="544"/>
        <v/>
      </c>
      <c r="L236" s="21" t="str">
        <f t="shared" si="544"/>
        <v/>
      </c>
      <c r="M236" s="48" t="str">
        <f t="shared" si="545"/>
        <v>TPPUBUS</v>
      </c>
      <c r="N236" s="9"/>
      <c r="O236" s="9"/>
      <c r="P236" s="9"/>
      <c r="Q236" s="9"/>
      <c r="R236" s="9"/>
      <c r="S236" s="9"/>
      <c r="T236" s="9"/>
      <c r="U236" s="9" cm="1">
        <f t="array" ref="U236">IF(V$231=-1,V236,IF(V$231=99,T236,IF(V$231=0,INDEX($E164:$M164,0,V$229),(INDEX($E164:$M164,0,V$231+1)-INDEX($E164:$M164,0,V$231))/(INDEX($E$160:$M$160,0,V$231+1)-INDEX($E$160:$M$160,0,V$231))+T236)))</f>
        <v>16.665664027538941</v>
      </c>
      <c r="V236" s="9" cm="1">
        <f t="array" ref="V236">IF(W$231=-1,W236,IF(W$231=99,U236,IF(W$231=0,INDEX($E164:$M164,0,W$229),(INDEX($E164:$M164,0,W$231+1)-INDEX($E164:$M164,0,W$231))/(INDEX($E$160:$M$160,0,W$231+1)-INDEX($E$160:$M$160,0,W$231))+U236)))</f>
        <v>17.04149821278704</v>
      </c>
      <c r="W236" s="9" cm="1">
        <f t="array" ref="W236">IF(X$231=-1,X236,IF(X$231=99,V236,IF(X$231=0,INDEX($E164:$M164,0,X$229),(INDEX($E164:$M164,0,X$231+1)-INDEX($E164:$M164,0,X$231))/(INDEX($E$160:$M$160,0,X$231+1)-INDEX($E$160:$M$160,0,X$231))+V236)))</f>
        <v>17.417332398035139</v>
      </c>
      <c r="X236" s="9" cm="1">
        <f t="array" ref="X236">IF(Y$231=-1,Y236,IF(Y$231=99,W236,IF(Y$231=0,INDEX($E164:$M164,0,Y$229),(INDEX($E164:$M164,0,Y$231+1)-INDEX($E164:$M164,0,Y$231))/(INDEX($E$160:$M$160,0,Y$231+1)-INDEX($E$160:$M$160,0,Y$231))+W236)))</f>
        <v>17.04149821278704</v>
      </c>
      <c r="Y236" s="9" cm="1">
        <f t="array" ref="Y236">IF(Z$231=-1,Z236,IF(Z$231=99,X236,IF(Z$231=0,INDEX($E164:$M164,0,Z$229),(INDEX($E164:$M164,0,Z$231+1)-INDEX($E164:$M164,0,Z$231))/(INDEX($E$160:$M$160,0,Z$231+1)-INDEX($E$160:$M$160,0,Z$231))+X236)))</f>
        <v>17.058278663958259</v>
      </c>
      <c r="Z236" s="9" cm="1">
        <f t="array" ref="Z236">IF(AA$231=-1,AA236,IF(AA$231=99,Y236,IF(AA$231=0,INDEX($E164:$M164,0,AA$229),(INDEX($E164:$M164,0,AA$231+1)-INDEX($E164:$M164,0,AA$231))/(INDEX($E$160:$M$160,0,AA$231+1)-INDEX($E$160:$M$160,0,AA$231))+Y236)))</f>
        <v>17.075059115129477</v>
      </c>
      <c r="AA236" s="9" cm="1">
        <f t="array" ref="AA236">IF(AD$231=-1,AD236,IF(AD$231=99,Z236,IF(AD$231=0,INDEX($E164:$M164,0,AD$229),(INDEX($E164:$M164,0,AD$231+1)-INDEX($E164:$M164,0,AD$231))/(INDEX($E$160:$M$160,0,AD$231+1)-INDEX($E$160:$M$160,0,AD$231))+Z236)))</f>
        <v>17.091839566300695</v>
      </c>
      <c r="AB236" s="9" cm="1">
        <f t="array" ref="AB236">IF(AD$231=-1,AD236,IF(AD$231=99,Z236,IF(AD$231=0,INDEX($E164:$M164,0,AD$229),(INDEX($E164:$M164,0,AD$231+1)-INDEX($E164:$M164,0,AD$231))/(INDEX($E$160:$M$160,0,AD$231+1)-INDEX($E$160:$M$160,0,AD$231))+Z236)))</f>
        <v>17.091839566300695</v>
      </c>
      <c r="AC236" s="9" cm="1">
        <f t="array" ref="AC236">IF(AD$231=-1,AD236,IF(AD$231=99,Z236,IF(AD$231=0,INDEX($E164:$M164,0,AD$229),(INDEX($E164:$M164,0,AD$231+1)-INDEX($E164:$M164,0,AD$231))/(INDEX($E$160:$M$160,0,AD$231+1)-INDEX($E$160:$M$160,0,AD$231))+Z236)))</f>
        <v>17.091839566300695</v>
      </c>
      <c r="AD236" s="9" cm="1">
        <f t="array" ref="AD236">IF(AE$231=-1,AE236,IF(AE$231=99,AA236,IF(AE$231=0,INDEX($E164:$M164,0,AE$229),(INDEX($E164:$M164,0,AE$231+1)-INDEX($E164:$M164,0,AE$231))/(INDEX($E$160:$M$160,0,AE$231+1)-INDEX($E$160:$M$160,0,AE$231))+AA236)))</f>
        <v>17.108620017471914</v>
      </c>
      <c r="AE236" s="9" cm="1">
        <f t="array" ref="AE236">IF(AF$231=-1,AF236,IF(AF$231=99,AD236,IF(AF$231=0,INDEX($E164:$M164,0,AF$229),(INDEX($E164:$M164,0,AF$231+1)-INDEX($E164:$M164,0,AF$231))/(INDEX($E$160:$M$160,0,AF$231+1)-INDEX($E$160:$M$160,0,AF$231))+AD236)))</f>
        <v>17.125400468643132</v>
      </c>
      <c r="AF236" s="9" cm="1">
        <f t="array" ref="AF236">IF(AG$231=-1,AG236,IF(AG$231=99,AE236,IF(AG$231=0,INDEX($E164:$M164,0,AG$229),(INDEX($E164:$M164,0,AG$231+1)-INDEX($E164:$M164,0,AG$231))/(INDEX($E$160:$M$160,0,AG$231+1)-INDEX($E$160:$M$160,0,AG$231))+AE236)))</f>
        <v>17.142180919814351</v>
      </c>
      <c r="AG236" s="9" cm="1">
        <f t="array" ref="AG236">IF(AH$231=-1,AH236,IF(AH$231=99,AF236,IF(AH$231=0,INDEX($E164:$M164,0,AH$229),(INDEX($E164:$M164,0,AH$231+1)-INDEX($E164:$M164,0,AH$231))/(INDEX($E$160:$M$160,0,AH$231+1)-INDEX($E$160:$M$160,0,AH$231))+AF236)))</f>
        <v>17.158961370985569</v>
      </c>
      <c r="AH236" s="9" cm="1">
        <f t="array" ref="AH236">IF(AI$231=-1,AI236,IF(AI$231=99,AG236,IF(AI$231=0,INDEX($E164:$M164,0,AI$229),(INDEX($E164:$M164,0,AI$231+1)-INDEX($E164:$M164,0,AI$231))/(INDEX($E$160:$M$160,0,AI$231+1)-INDEX($E$160:$M$160,0,AI$231))+AG236)))</f>
        <v>17.175741822156787</v>
      </c>
      <c r="AI236" s="9" cm="1">
        <f t="array" ref="AI236">IF(AJ$231=-1,AJ236,IF(AJ$231=99,AH236,IF(AJ$231=0,INDEX($E164:$M164,0,AJ$229),(INDEX($E164:$M164,0,AJ$231+1)-INDEX($E164:$M164,0,AJ$231))/(INDEX($E$160:$M$160,0,AJ$231+1)-INDEX($E$160:$M$160,0,AJ$231))+AH236)))</f>
        <v>17.192522273328006</v>
      </c>
      <c r="AJ236" s="9" cm="1">
        <f t="array" ref="AJ236">IF(AK$231=-1,AK236,IF(AK$231=99,AI236,IF(AK$231=0,INDEX($E164:$M164,0,AK$229),(INDEX($E164:$M164,0,AK$231+1)-INDEX($E164:$M164,0,AK$231))/(INDEX($E$160:$M$160,0,AK$231+1)-INDEX($E$160:$M$160,0,AK$231))+AI236)))</f>
        <v>17.192522273328002</v>
      </c>
      <c r="AK236" s="9" cm="1">
        <f t="array" ref="AK236">IF(AL$231=-1,AL236,IF(AL$231=99,AJ236,IF(AL$231=0,INDEX($E164:$M164,0,AL$229),(INDEX($E164:$M164,0,AL$231+1)-INDEX($E164:$M164,0,AL$231))/(INDEX($E$160:$M$160,0,AL$231+1)-INDEX($E$160:$M$160,0,AL$231))+AJ236)))</f>
        <v>17.192522273328002</v>
      </c>
      <c r="AL236" s="9" cm="1">
        <f t="array" ref="AL236">IF(AO$231=-1,AO236,IF(AO$231=99,AK236,IF(AO$231=0,INDEX($E164:$M164,0,AO$229),(INDEX($E164:$M164,0,AO$231+1)-INDEX($E164:$M164,0,AO$231))/(INDEX($E$160:$M$160,0,AO$231+1)-INDEX($E$160:$M$160,0,AO$231))+AK236)))</f>
        <v>17.192522273328002</v>
      </c>
      <c r="AM236" s="9" cm="1">
        <f t="array" ref="AM236">IF(AO$231=-1,AO236,IF(AO$231=99,AK236,IF(AO$231=0,INDEX($E164:$M164,0,AO$229),(INDEX($E164:$M164,0,AO$231+1)-INDEX($E164:$M164,0,AO$231))/(INDEX($E$160:$M$160,0,AO$231+1)-INDEX($E$160:$M$160,0,AO$231))+AK236)))</f>
        <v>17.192522273328002</v>
      </c>
      <c r="AN236" s="9" cm="1">
        <f t="array" ref="AN236">IF(AO$231=-1,AO236,IF(AO$231=99,AK236,IF(AO$231=0,INDEX($E164:$M164,0,AO$229),(INDEX($E164:$M164,0,AO$231+1)-INDEX($E164:$M164,0,AO$231))/(INDEX($E$160:$M$160,0,AO$231+1)-INDEX($E$160:$M$160,0,AO$231))+AK236)))</f>
        <v>17.192522273328002</v>
      </c>
      <c r="AO236" s="9" cm="1">
        <f t="array" ref="AO236">IF(AP$231=-1,AP236,IF(AP$231=99,AL236,IF(AP$231=0,INDEX($E164:$M164,0,AP$229),(INDEX($E164:$M164,0,AP$231+1)-INDEX($E164:$M164,0,AP$231))/(INDEX($E$160:$M$160,0,AP$231+1)-INDEX($E$160:$M$160,0,AP$231))+AL236)))</f>
        <v>17.192522273328002</v>
      </c>
      <c r="AP236" s="9" cm="1">
        <f t="array" ref="AP236">IF(AQ$231=-1,AQ236,IF(AQ$231=99,AO236,IF(AQ$231=0,INDEX($E164:$M164,0,AQ$229),(INDEX($E164:$M164,0,AQ$231+1)-INDEX($E164:$M164,0,AQ$231))/(INDEX($E$160:$M$160,0,AQ$231+1)-INDEX($E$160:$M$160,0,AQ$231))+AO236)))</f>
        <v>17.192522273328002</v>
      </c>
      <c r="AQ236" s="9" cm="1">
        <f t="array" ref="AQ236">IF(AR$231=-1,AR236,IF(AR$231=99,AP236,IF(AR$231=0,INDEX($E164:$M164,0,AR$229),(INDEX($E164:$M164,0,AR$231+1)-INDEX($E164:$M164,0,AR$231))/(INDEX($E$160:$M$160,0,AR$231+1)-INDEX($E$160:$M$160,0,AR$231))+AP236)))</f>
        <v>17.192522273328002</v>
      </c>
      <c r="AR236" s="9" cm="1">
        <f t="array" ref="AR236">IF(AS$231=-1,AS236,IF(AS$231=99,AQ236,IF(AS$231=0,INDEX($E164:$M164,0,AS$229),(INDEX($E164:$M164,0,AS$231+1)-INDEX($E164:$M164,0,AS$231))/(INDEX($E$160:$M$160,0,AS$231+1)-INDEX($E$160:$M$160,0,AS$231))+AQ236)))</f>
        <v>17.192522273328002</v>
      </c>
      <c r="AS236" s="9" cm="1">
        <f t="array" ref="AS236">IF(AT$231=-1,AT236,IF(AT$231=99,AR236,IF(AT$231=0,INDEX($E164:$M164,0,AT$229),(INDEX($E164:$M164,0,AT$231+1)-INDEX($E164:$M164,0,AT$231))/(INDEX($E$160:$M$160,0,AT$231+1)-INDEX($E$160:$M$160,0,AT$231))+AR236)))</f>
        <v>17.192522273328002</v>
      </c>
      <c r="AT236" s="9" cm="1">
        <f t="array" ref="AT236">IF(AV$231=-1,AV236,IF(AV$231=99,AS236,IF(AV$231=0,INDEX($E164:$M164,0,AV$229),(INDEX($E164:$M164,0,AV$231+1)-INDEX($E164:$M164,0,AV$231))/(INDEX($E$160:$M$160,0,AV$231+1)-INDEX($E$160:$M$160,0,AV$231))+AS236)))</f>
        <v>17.192522273328002</v>
      </c>
      <c r="AU236" s="9" cm="1">
        <f t="array" ref="AU236">IF(AW$231=-1,AW236,IF(AW$231=99,AS236,IF(AW$231=0,INDEX($E164:$M164,0,AW$229),(INDEX($E164:$M164,0,AW$231+1)-INDEX($E164:$M164,0,AW$231))/(INDEX($E$160:$M$160,0,AW$231+1)-INDEX($E$160:$M$160,0,AW$231))+AS236)))</f>
        <v>17.192522273328002</v>
      </c>
      <c r="AV236" s="9" cm="1">
        <f t="array" ref="AV236">IF(AX$231=-1,AX236,IF(AX$231=99,AT236,IF(AX$231=0,INDEX($E164:$M164,0,AX$229),(INDEX($E164:$M164,0,AX$231+1)-INDEX($E164:$M164,0,AX$231))/(INDEX($E$160:$M$160,0,AX$231+1)-INDEX($E$160:$M$160,0,AX$231))+AT236)))</f>
        <v>17.192522273328002</v>
      </c>
      <c r="AW236" s="9" cm="1">
        <f t="array" ref="AW236">IF(AY$231=-1,AY236,IF(AY$231=99,AV236,IF(AY$231=0,INDEX($E164:$M164,0,AY$229),(INDEX($E164:$M164,0,AY$231+1)-INDEX($E164:$M164,0,AY$231))/(INDEX($E$160:$M$160,0,AY$231+1)-INDEX($E$160:$M$160,0,AY$231))+AV236)))</f>
        <v>17.192522273328002</v>
      </c>
      <c r="AX236" s="9" cm="1">
        <f t="array" ref="AX236">IF(AY$231=-1,AY236,IF(AY$231=99,AV236,IF(AY$231=0,INDEX($E164:$M164,0,AY$229),(INDEX($E164:$M164,0,AY$231+1)-INDEX($E164:$M164,0,AY$231))/(INDEX($E$160:$M$160,0,AY$231+1)-INDEX($E$160:$M$160,0,AY$231))+AV236)))</f>
        <v>17.192522273328002</v>
      </c>
      <c r="AY236" s="9" cm="1">
        <f t="array" ref="AY236">IF(AZ$231=-1,AZ236,IF(AZ$231=99,AX236,IF(AZ$231=0,INDEX($E164:$M164,0,AZ$229),(INDEX($E164:$M164,0,AZ$231+1)-INDEX($E164:$M164,0,AZ$231))/(INDEX($E$160:$M$160,0,AZ$231+1)-INDEX($E$160:$M$160,0,AZ$231))+AX236)))</f>
        <v>17.192522273328002</v>
      </c>
      <c r="AZ236" s="9" cm="1">
        <f t="array" ref="AZ236">IF(BA$231=-1,BA236,IF(BA$231=99,AY236,IF(BA$231=0,INDEX($E164:$M164,0,BA$229),(INDEX($E164:$M164,0,BA$231+1)-INDEX($E164:$M164,0,BA$231))/(INDEX($E$160:$M$160,0,BA$231+1)-INDEX($E$160:$M$160,0,BA$231))+AY236)))</f>
        <v>17.192522273328002</v>
      </c>
      <c r="BA236" s="9" cm="1">
        <f t="array" ref="BA236">IF(BB$231=-1,BB236,IF(BB$231=99,AZ236,IF(BB$231=0,INDEX($E164:$M164,0,BB$229),(INDEX($E164:$M164,0,BB$231+1)-INDEX($E164:$M164,0,BB$231))/(INDEX($E$160:$M$160,0,BB$231+1)-INDEX($E$160:$M$160,0,BB$231))+AZ236)))</f>
        <v>17.192522273328002</v>
      </c>
      <c r="BB236" s="9" cm="1">
        <f t="array" ref="BB236">IF(BC$231=-1,BC236,IF(BC$231=99,BA236,IF(BC$231=0,INDEX($E164:$M164,0,BC$229),(INDEX($E164:$M164,0,BC$231+1)-INDEX($E164:$M164,0,BC$231))/(INDEX($E$160:$M$160,0,BC$231+1)-INDEX($E$160:$M$160,0,BC$231))+BA236)))</f>
        <v>17.192522273328002</v>
      </c>
      <c r="BC236" s="9" cm="1">
        <f t="array" ref="BC236">IF(BD$231=-1,BD236,IF(BD$231=99,BB236,IF(BD$231=0,INDEX($E164:$M164,0,BD$229),(INDEX($E164:$M164,0,BD$231+1)-INDEX($E164:$M164,0,BD$231))/(INDEX($E$160:$M$160,0,BD$231+1)-INDEX($E$160:$M$160,0,BD$231))+BB236)))</f>
        <v>17.192522273328002</v>
      </c>
      <c r="BD236" s="9" cm="1">
        <f t="array" ref="BD236">IF(BE$231=-1,BE236,IF(BE$231=99,BC236,IF(BE$231=0,INDEX($E164:$M164,0,BE$229),(INDEX($E164:$M164,0,BE$231+1)-INDEX($E164:$M164,0,BE$231))/(INDEX($E$160:$M$160,0,BE$231+1)-INDEX($E$160:$M$160,0,BE$231))+BC236)))</f>
        <v>17.192522273328002</v>
      </c>
      <c r="BE236" s="9" cm="1">
        <f t="array" ref="BE236">IF(BF$231=-1,BF236,IF(BF$231=99,BD236,IF(BF$231=0,INDEX($E164:$M164,0,BF$229),(INDEX($E164:$M164,0,BF$231+1)-INDEX($E164:$M164,0,BF$231))/(INDEX($E$160:$M$160,0,BF$231+1)-INDEX($E$160:$M$160,0,BF$231))+BD236)))</f>
        <v>17.192522273328002</v>
      </c>
      <c r="BF236" s="9" cm="1">
        <f t="array" ref="BF236">IF(BG$231=-1,BG236,IF(BG$231=99,BE236,IF(BG$231=0,INDEX($E164:$M164,0,BG$229),(INDEX($E164:$M164,0,BG$231+1)-INDEX($E164:$M164,0,BG$231))/(INDEX($E$160:$M$160,0,BG$231+1)-INDEX($E$160:$M$160,0,BG$231))+BE236)))</f>
        <v>17.192522273328002</v>
      </c>
      <c r="BG236" s="9" cm="1">
        <f t="array" ref="BG236">IF(BH$231=-1,BH236,IF(BH$231=99,BF236,IF(BH$231=0,INDEX($E164:$M164,0,BH$229),(INDEX($E164:$M164,0,BH$231+1)-INDEX($E164:$M164,0,BH$231))/(INDEX($E$160:$M$160,0,BH$231+1)-INDEX($E$160:$M$160,0,BH$231))+BF236)))</f>
        <v>17.192522273328002</v>
      </c>
      <c r="BH236" s="9" cm="1">
        <f t="array" ref="BH236">IF(BI$231=-1,BI236,IF(BI$231=99,BG236,IF(BI$231=0,INDEX($E164:$M164,0,BI$229),(INDEX($E164:$M164,0,BI$231+1)-INDEX($E164:$M164,0,BI$231))/(INDEX($E$160:$M$160,0,BI$231+1)-INDEX($E$160:$M$160,0,BI$231))+BG236)))</f>
        <v>17.192522273328002</v>
      </c>
      <c r="BI236" s="9" cm="1">
        <f t="array" ref="BI236">IF(BJ$231=-1,BJ236,IF(BJ$231=99,BH236,IF(BJ$231=0,INDEX($E164:$M164,0,BJ$229),(INDEX($E164:$M164,0,BJ$231+1)-INDEX($E164:$M164,0,BJ$231))/(INDEX($E$160:$M$160,0,BJ$231+1)-INDEX($E$160:$M$160,0,BJ$231))+BH236)))</f>
        <v>17.192522273328002</v>
      </c>
      <c r="BJ236" s="9" cm="1">
        <f t="array" ref="BJ236">IF(BK$231=-1,BL236,IF(BK$231=99,BI236,IF(BK$231=0,INDEX($E164:$M164,0,BK$229),(INDEX($E164:$M164,0,BK$231+1)-INDEX($E164:$M164,0,BK$231))/(INDEX($E$160:$M$160,0,BK$231+1)-INDEX($E$160:$M$160,0,BK$231))+BI236)))</f>
        <v>17.192522273328002</v>
      </c>
      <c r="BL236" s="9"/>
      <c r="BM236" s="9"/>
      <c r="BN236" s="9"/>
      <c r="BO236" s="9"/>
      <c r="BP236" s="9"/>
      <c r="BQ236" s="9"/>
    </row>
    <row r="237" spans="5:69" ht="15">
      <c r="E237" t="s">
        <v>16</v>
      </c>
      <c r="F237" s="20" t="str">
        <f t="shared" si="542"/>
        <v/>
      </c>
      <c r="G237" s="21" t="str">
        <f t="shared" si="543"/>
        <v/>
      </c>
      <c r="I237" s="21" t="str">
        <f t="shared" si="544"/>
        <v/>
      </c>
      <c r="J237" s="21"/>
      <c r="K237" s="21" t="str">
        <f t="shared" si="544"/>
        <v/>
      </c>
      <c r="L237" s="21" t="str">
        <f t="shared" si="544"/>
        <v/>
      </c>
      <c r="M237" s="48" t="str">
        <f t="shared" si="545"/>
        <v>TPPUMBT</v>
      </c>
      <c r="N237" s="9"/>
      <c r="O237" s="9"/>
      <c r="P237" s="9"/>
      <c r="Q237" s="9"/>
      <c r="R237" s="9"/>
      <c r="S237" s="9"/>
      <c r="T237" s="9"/>
      <c r="U237" s="9" cm="1">
        <f t="array" ref="U237">IF(V$231=-1,V237,IF(V$231=99,T237,IF(V$231=0,INDEX($E165:$M165,0,V$229),(INDEX($E165:$M165,0,V$231+1)-INDEX($E165:$M165,0,V$231))/(INDEX($E$160:$M$160,0,V$231+1)-INDEX($E$160:$M$160,0,V$231))+T237)))</f>
        <v>104.71461826380103</v>
      </c>
      <c r="V237" s="9" cm="1">
        <f t="array" ref="V237">IF(W$231=-1,W237,IF(W$231=99,U237,IF(W$231=0,INDEX($E165:$M165,0,W$229),(INDEX($E165:$M165,0,W$231+1)-INDEX($E165:$M165,0,W$231))/(INDEX($E$160:$M$160,0,W$231+1)-INDEX($E$160:$M$160,0,W$231))+U237)))</f>
        <v>107.07608031978086</v>
      </c>
      <c r="W237" s="9" cm="1">
        <f t="array" ref="W237">IF(X$231=-1,X237,IF(X$231=99,V237,IF(X$231=0,INDEX($E165:$M165,0,X$229),(INDEX($E165:$M165,0,X$231+1)-INDEX($E165:$M165,0,X$231))/(INDEX($E$160:$M$160,0,X$231+1)-INDEX($E$160:$M$160,0,X$231))+V237)))</f>
        <v>109.43754237576069</v>
      </c>
      <c r="X237" s="9" cm="1">
        <f t="array" ref="X237">IF(Y$231=-1,Y237,IF(Y$231=99,W237,IF(Y$231=0,INDEX($E165:$M165,0,Y$229),(INDEX($E165:$M165,0,Y$231+1)-INDEX($E165:$M165,0,Y$231))/(INDEX($E$160:$M$160,0,Y$231+1)-INDEX($E$160:$M$160,0,Y$231))+W237)))</f>
        <v>107.07608031978086</v>
      </c>
      <c r="Y237" s="9" cm="1">
        <f t="array" ref="Y237">IF(Z$231=-1,Z237,IF(Z$231=99,X237,IF(Z$231=0,INDEX($E165:$M165,0,Z$229),(INDEX($E165:$M165,0,Z$231+1)-INDEX($E165:$M165,0,Z$231))/(INDEX($E$160:$M$160,0,Z$231+1)-INDEX($E$160:$M$160,0,Z$231))+X237)))</f>
        <v>107.181516174949</v>
      </c>
      <c r="Z237" s="9" cm="1">
        <f t="array" ref="Z237">IF(AA$231=-1,AA237,IF(AA$231=99,Y237,IF(AA$231=0,INDEX($E165:$M165,0,AA$229),(INDEX($E165:$M165,0,AA$231+1)-INDEX($E165:$M165,0,AA$231))/(INDEX($E$160:$M$160,0,AA$231+1)-INDEX($E$160:$M$160,0,AA$231))+Y237)))</f>
        <v>107.28695203011713</v>
      </c>
      <c r="AA237" s="9" cm="1">
        <f t="array" ref="AA237">IF(AD$231=-1,AD237,IF(AD$231=99,Z237,IF(AD$231=0,INDEX($E165:$M165,0,AD$229),(INDEX($E165:$M165,0,AD$231+1)-INDEX($E165:$M165,0,AD$231))/(INDEX($E$160:$M$160,0,AD$231+1)-INDEX($E$160:$M$160,0,AD$231))+Z237)))</f>
        <v>107.39238788528527</v>
      </c>
      <c r="AB237" s="9" cm="1">
        <f t="array" ref="AB237">IF(AD$231=-1,AD237,IF(AD$231=99,Z237,IF(AD$231=0,INDEX($E165:$M165,0,AD$229),(INDEX($E165:$M165,0,AD$231+1)-INDEX($E165:$M165,0,AD$231))/(INDEX($E$160:$M$160,0,AD$231+1)-INDEX($E$160:$M$160,0,AD$231))+Z237)))</f>
        <v>107.39238788528527</v>
      </c>
      <c r="AC237" s="9" cm="1">
        <f t="array" ref="AC237">IF(AD$231=-1,AD237,IF(AD$231=99,Z237,IF(AD$231=0,INDEX($E165:$M165,0,AD$229),(INDEX($E165:$M165,0,AD$231+1)-INDEX($E165:$M165,0,AD$231))/(INDEX($E$160:$M$160,0,AD$231+1)-INDEX($E$160:$M$160,0,AD$231))+Z237)))</f>
        <v>107.39238788528527</v>
      </c>
      <c r="AD237" s="9" cm="1">
        <f t="array" ref="AD237">IF(AE$231=-1,AE237,IF(AE$231=99,AA237,IF(AE$231=0,INDEX($E165:$M165,0,AE$229),(INDEX($E165:$M165,0,AE$231+1)-INDEX($E165:$M165,0,AE$231))/(INDEX($E$160:$M$160,0,AE$231+1)-INDEX($E$160:$M$160,0,AE$231))+AA237)))</f>
        <v>107.49782374045341</v>
      </c>
      <c r="AE237" s="9" cm="1">
        <f t="array" ref="AE237">IF(AF$231=-1,AF237,IF(AF$231=99,AD237,IF(AF$231=0,INDEX($E165:$M165,0,AF$229),(INDEX($E165:$M165,0,AF$231+1)-INDEX($E165:$M165,0,AF$231))/(INDEX($E$160:$M$160,0,AF$231+1)-INDEX($E$160:$M$160,0,AF$231))+AD237)))</f>
        <v>107.60325959562155</v>
      </c>
      <c r="AF237" s="9" cm="1">
        <f t="array" ref="AF237">IF(AG$231=-1,AG237,IF(AG$231=99,AE237,IF(AG$231=0,INDEX($E165:$M165,0,AG$229),(INDEX($E165:$M165,0,AG$231+1)-INDEX($E165:$M165,0,AG$231))/(INDEX($E$160:$M$160,0,AG$231+1)-INDEX($E$160:$M$160,0,AG$231))+AE237)))</f>
        <v>107.70869545078969</v>
      </c>
      <c r="AG237" s="9" cm="1">
        <f t="array" ref="AG237">IF(AH$231=-1,AH237,IF(AH$231=99,AF237,IF(AH$231=0,INDEX($E165:$M165,0,AH$229),(INDEX($E165:$M165,0,AH$231+1)-INDEX($E165:$M165,0,AH$231))/(INDEX($E$160:$M$160,0,AH$231+1)-INDEX($E$160:$M$160,0,AH$231))+AF237)))</f>
        <v>107.81413130595783</v>
      </c>
      <c r="AH237" s="9" cm="1">
        <f t="array" ref="AH237">IF(AI$231=-1,AI237,IF(AI$231=99,AG237,IF(AI$231=0,INDEX($E165:$M165,0,AI$229),(INDEX($E165:$M165,0,AI$231+1)-INDEX($E165:$M165,0,AI$231))/(INDEX($E$160:$M$160,0,AI$231+1)-INDEX($E$160:$M$160,0,AI$231))+AG237)))</f>
        <v>107.91956716112597</v>
      </c>
      <c r="AI237" s="9" cm="1">
        <f t="array" ref="AI237">IF(AJ$231=-1,AJ237,IF(AJ$231=99,AH237,IF(AJ$231=0,INDEX($E165:$M165,0,AJ$229),(INDEX($E165:$M165,0,AJ$231+1)-INDEX($E165:$M165,0,AJ$231))/(INDEX($E$160:$M$160,0,AJ$231+1)-INDEX($E$160:$M$160,0,AJ$231))+AH237)))</f>
        <v>108.02500301629411</v>
      </c>
      <c r="AJ237" s="9" cm="1">
        <f t="array" ref="AJ237">IF(AK$231=-1,AK237,IF(AK$231=99,AI237,IF(AK$231=0,INDEX($E165:$M165,0,AK$229),(INDEX($E165:$M165,0,AK$231+1)-INDEX($E165:$M165,0,AK$231))/(INDEX($E$160:$M$160,0,AK$231+1)-INDEX($E$160:$M$160,0,AK$231))+AI237)))</f>
        <v>108.02500301629409</v>
      </c>
      <c r="AK237" s="9" cm="1">
        <f t="array" ref="AK237">IF(AL$231=-1,AL237,IF(AL$231=99,AJ237,IF(AL$231=0,INDEX($E165:$M165,0,AL$229),(INDEX($E165:$M165,0,AL$231+1)-INDEX($E165:$M165,0,AL$231))/(INDEX($E$160:$M$160,0,AL$231+1)-INDEX($E$160:$M$160,0,AL$231))+AJ237)))</f>
        <v>108.02500301629409</v>
      </c>
      <c r="AL237" s="9" cm="1">
        <f t="array" ref="AL237">IF(AO$231=-1,AO237,IF(AO$231=99,AK237,IF(AO$231=0,INDEX($E165:$M165,0,AO$229),(INDEX($E165:$M165,0,AO$231+1)-INDEX($E165:$M165,0,AO$231))/(INDEX($E$160:$M$160,0,AO$231+1)-INDEX($E$160:$M$160,0,AO$231))+AK237)))</f>
        <v>108.02500301629409</v>
      </c>
      <c r="AM237" s="9" cm="1">
        <f t="array" ref="AM237">IF(AO$231=-1,AO237,IF(AO$231=99,AK237,IF(AO$231=0,INDEX($E165:$M165,0,AO$229),(INDEX($E165:$M165,0,AO$231+1)-INDEX($E165:$M165,0,AO$231))/(INDEX($E$160:$M$160,0,AO$231+1)-INDEX($E$160:$M$160,0,AO$231))+AK237)))</f>
        <v>108.02500301629409</v>
      </c>
      <c r="AN237" s="9" cm="1">
        <f t="array" ref="AN237">IF(AO$231=-1,AO237,IF(AO$231=99,AK237,IF(AO$231=0,INDEX($E165:$M165,0,AO$229),(INDEX($E165:$M165,0,AO$231+1)-INDEX($E165:$M165,0,AO$231))/(INDEX($E$160:$M$160,0,AO$231+1)-INDEX($E$160:$M$160,0,AO$231))+AK237)))</f>
        <v>108.02500301629409</v>
      </c>
      <c r="AO237" s="9" cm="1">
        <f t="array" ref="AO237">IF(AP$231=-1,AP237,IF(AP$231=99,AL237,IF(AP$231=0,INDEX($E165:$M165,0,AP$229),(INDEX($E165:$M165,0,AP$231+1)-INDEX($E165:$M165,0,AP$231))/(INDEX($E$160:$M$160,0,AP$231+1)-INDEX($E$160:$M$160,0,AP$231))+AL237)))</f>
        <v>108.02500301629409</v>
      </c>
      <c r="AP237" s="9" cm="1">
        <f t="array" ref="AP237">IF(AQ$231=-1,AQ237,IF(AQ$231=99,AO237,IF(AQ$231=0,INDEX($E165:$M165,0,AQ$229),(INDEX($E165:$M165,0,AQ$231+1)-INDEX($E165:$M165,0,AQ$231))/(INDEX($E$160:$M$160,0,AQ$231+1)-INDEX($E$160:$M$160,0,AQ$231))+AO237)))</f>
        <v>108.02500301629409</v>
      </c>
      <c r="AQ237" s="9" cm="1">
        <f t="array" ref="AQ237">IF(AR$231=-1,AR237,IF(AR$231=99,AP237,IF(AR$231=0,INDEX($E165:$M165,0,AR$229),(INDEX($E165:$M165,0,AR$231+1)-INDEX($E165:$M165,0,AR$231))/(INDEX($E$160:$M$160,0,AR$231+1)-INDEX($E$160:$M$160,0,AR$231))+AP237)))</f>
        <v>108.02500301629409</v>
      </c>
      <c r="AR237" s="9" cm="1">
        <f t="array" ref="AR237">IF(AS$231=-1,AS237,IF(AS$231=99,AQ237,IF(AS$231=0,INDEX($E165:$M165,0,AS$229),(INDEX($E165:$M165,0,AS$231+1)-INDEX($E165:$M165,0,AS$231))/(INDEX($E$160:$M$160,0,AS$231+1)-INDEX($E$160:$M$160,0,AS$231))+AQ237)))</f>
        <v>108.02500301629409</v>
      </c>
      <c r="AS237" s="9" cm="1">
        <f t="array" ref="AS237">IF(AT$231=-1,AT237,IF(AT$231=99,AR237,IF(AT$231=0,INDEX($E165:$M165,0,AT$229),(INDEX($E165:$M165,0,AT$231+1)-INDEX($E165:$M165,0,AT$231))/(INDEX($E$160:$M$160,0,AT$231+1)-INDEX($E$160:$M$160,0,AT$231))+AR237)))</f>
        <v>108.02500301629409</v>
      </c>
      <c r="AT237" s="9" cm="1">
        <f t="array" ref="AT237">IF(AV$231=-1,AV237,IF(AV$231=99,AS237,IF(AV$231=0,INDEX($E165:$M165,0,AV$229),(INDEX($E165:$M165,0,AV$231+1)-INDEX($E165:$M165,0,AV$231))/(INDEX($E$160:$M$160,0,AV$231+1)-INDEX($E$160:$M$160,0,AV$231))+AS237)))</f>
        <v>108.02500301629409</v>
      </c>
      <c r="AU237" s="9" cm="1">
        <f t="array" ref="AU237">IF(AW$231=-1,AW237,IF(AW$231=99,AS237,IF(AW$231=0,INDEX($E165:$M165,0,AW$229),(INDEX($E165:$M165,0,AW$231+1)-INDEX($E165:$M165,0,AW$231))/(INDEX($E$160:$M$160,0,AW$231+1)-INDEX($E$160:$M$160,0,AW$231))+AS237)))</f>
        <v>108.02500301629409</v>
      </c>
      <c r="AV237" s="9" cm="1">
        <f t="array" ref="AV237">IF(AX$231=-1,AX237,IF(AX$231=99,AT237,IF(AX$231=0,INDEX($E165:$M165,0,AX$229),(INDEX($E165:$M165,0,AX$231+1)-INDEX($E165:$M165,0,AX$231))/(INDEX($E$160:$M$160,0,AX$231+1)-INDEX($E$160:$M$160,0,AX$231))+AT237)))</f>
        <v>108.02500301629409</v>
      </c>
      <c r="AW237" s="9" cm="1">
        <f t="array" ref="AW237">IF(AY$231=-1,AY237,IF(AY$231=99,AV237,IF(AY$231=0,INDEX($E165:$M165,0,AY$229),(INDEX($E165:$M165,0,AY$231+1)-INDEX($E165:$M165,0,AY$231))/(INDEX($E$160:$M$160,0,AY$231+1)-INDEX($E$160:$M$160,0,AY$231))+AV237)))</f>
        <v>108.02500301629409</v>
      </c>
      <c r="AX237" s="9" cm="1">
        <f t="array" ref="AX237">IF(AY$231=-1,AY237,IF(AY$231=99,AV237,IF(AY$231=0,INDEX($E165:$M165,0,AY$229),(INDEX($E165:$M165,0,AY$231+1)-INDEX($E165:$M165,0,AY$231))/(INDEX($E$160:$M$160,0,AY$231+1)-INDEX($E$160:$M$160,0,AY$231))+AV237)))</f>
        <v>108.02500301629409</v>
      </c>
      <c r="AY237" s="9" cm="1">
        <f t="array" ref="AY237">IF(AZ$231=-1,AZ237,IF(AZ$231=99,AX237,IF(AZ$231=0,INDEX($E165:$M165,0,AZ$229),(INDEX($E165:$M165,0,AZ$231+1)-INDEX($E165:$M165,0,AZ$231))/(INDEX($E$160:$M$160,0,AZ$231+1)-INDEX($E$160:$M$160,0,AZ$231))+AX237)))</f>
        <v>108.02500301629409</v>
      </c>
      <c r="AZ237" s="9" cm="1">
        <f t="array" ref="AZ237">IF(BA$231=-1,BA237,IF(BA$231=99,AY237,IF(BA$231=0,INDEX($E165:$M165,0,BA$229),(INDEX($E165:$M165,0,BA$231+1)-INDEX($E165:$M165,0,BA$231))/(INDEX($E$160:$M$160,0,BA$231+1)-INDEX($E$160:$M$160,0,BA$231))+AY237)))</f>
        <v>108.02500301629409</v>
      </c>
      <c r="BA237" s="9" cm="1">
        <f t="array" ref="BA237">IF(BB$231=-1,BB237,IF(BB$231=99,AZ237,IF(BB$231=0,INDEX($E165:$M165,0,BB$229),(INDEX($E165:$M165,0,BB$231+1)-INDEX($E165:$M165,0,BB$231))/(INDEX($E$160:$M$160,0,BB$231+1)-INDEX($E$160:$M$160,0,BB$231))+AZ237)))</f>
        <v>108.02500301629409</v>
      </c>
      <c r="BB237" s="9" cm="1">
        <f t="array" ref="BB237">IF(BC$231=-1,BC237,IF(BC$231=99,BA237,IF(BC$231=0,INDEX($E165:$M165,0,BC$229),(INDEX($E165:$M165,0,BC$231+1)-INDEX($E165:$M165,0,BC$231))/(INDEX($E$160:$M$160,0,BC$231+1)-INDEX($E$160:$M$160,0,BC$231))+BA237)))</f>
        <v>108.02500301629409</v>
      </c>
      <c r="BC237" s="9" cm="1">
        <f t="array" ref="BC237">IF(BD$231=-1,BD237,IF(BD$231=99,BB237,IF(BD$231=0,INDEX($E165:$M165,0,BD$229),(INDEX($E165:$M165,0,BD$231+1)-INDEX($E165:$M165,0,BD$231))/(INDEX($E$160:$M$160,0,BD$231+1)-INDEX($E$160:$M$160,0,BD$231))+BB237)))</f>
        <v>108.02500301629409</v>
      </c>
      <c r="BD237" s="9" cm="1">
        <f t="array" ref="BD237">IF(BE$231=-1,BE237,IF(BE$231=99,BC237,IF(BE$231=0,INDEX($E165:$M165,0,BE$229),(INDEX($E165:$M165,0,BE$231+1)-INDEX($E165:$M165,0,BE$231))/(INDEX($E$160:$M$160,0,BE$231+1)-INDEX($E$160:$M$160,0,BE$231))+BC237)))</f>
        <v>108.02500301629409</v>
      </c>
      <c r="BE237" s="9" cm="1">
        <f t="array" ref="BE237">IF(BF$231=-1,BF237,IF(BF$231=99,BD237,IF(BF$231=0,INDEX($E165:$M165,0,BF$229),(INDEX($E165:$M165,0,BF$231+1)-INDEX($E165:$M165,0,BF$231))/(INDEX($E$160:$M$160,0,BF$231+1)-INDEX($E$160:$M$160,0,BF$231))+BD237)))</f>
        <v>108.02500301629409</v>
      </c>
      <c r="BF237" s="9" cm="1">
        <f t="array" ref="BF237">IF(BG$231=-1,BG237,IF(BG$231=99,BE237,IF(BG$231=0,INDEX($E165:$M165,0,BG$229),(INDEX($E165:$M165,0,BG$231+1)-INDEX($E165:$M165,0,BG$231))/(INDEX($E$160:$M$160,0,BG$231+1)-INDEX($E$160:$M$160,0,BG$231))+BE237)))</f>
        <v>108.02500301629409</v>
      </c>
      <c r="BG237" s="9" cm="1">
        <f t="array" ref="BG237">IF(BH$231=-1,BH237,IF(BH$231=99,BF237,IF(BH$231=0,INDEX($E165:$M165,0,BH$229),(INDEX($E165:$M165,0,BH$231+1)-INDEX($E165:$M165,0,BH$231))/(INDEX($E$160:$M$160,0,BH$231+1)-INDEX($E$160:$M$160,0,BH$231))+BF237)))</f>
        <v>108.02500301629409</v>
      </c>
      <c r="BH237" s="9" cm="1">
        <f t="array" ref="BH237">IF(BI$231=-1,BI237,IF(BI$231=99,BG237,IF(BI$231=0,INDEX($E165:$M165,0,BI$229),(INDEX($E165:$M165,0,BI$231+1)-INDEX($E165:$M165,0,BI$231))/(INDEX($E$160:$M$160,0,BI$231+1)-INDEX($E$160:$M$160,0,BI$231))+BG237)))</f>
        <v>108.02500301629409</v>
      </c>
      <c r="BI237" s="9" cm="1">
        <f t="array" ref="BI237">IF(BJ$231=-1,BJ237,IF(BJ$231=99,BH237,IF(BJ$231=0,INDEX($E165:$M165,0,BJ$229),(INDEX($E165:$M165,0,BJ$231+1)-INDEX($E165:$M165,0,BJ$231))/(INDEX($E$160:$M$160,0,BJ$231+1)-INDEX($E$160:$M$160,0,BJ$231))+BH237)))</f>
        <v>108.02500301629409</v>
      </c>
      <c r="BJ237" s="9" cm="1">
        <f t="array" ref="BJ237">IF(BK$231=-1,BL237,IF(BK$231=99,BI237,IF(BK$231=0,INDEX($E165:$M165,0,BK$229),(INDEX($E165:$M165,0,BK$231+1)-INDEX($E165:$M165,0,BK$231))/(INDEX($E$160:$M$160,0,BK$231+1)-INDEX($E$160:$M$160,0,BK$231))+BI237)))</f>
        <v>108.02500301629409</v>
      </c>
      <c r="BL237" s="9"/>
      <c r="BM237" s="9"/>
      <c r="BN237" s="9"/>
      <c r="BO237" s="9"/>
      <c r="BP237" s="9"/>
      <c r="BQ237" s="9"/>
    </row>
    <row r="238" spans="5:69" ht="15">
      <c r="E238" t="s">
        <v>16</v>
      </c>
      <c r="F238" s="20" t="str">
        <f t="shared" si="542"/>
        <v/>
      </c>
      <c r="G238" s="21" t="str">
        <f t="shared" si="543"/>
        <v/>
      </c>
      <c r="I238" s="21" t="str">
        <f t="shared" si="544"/>
        <v/>
      </c>
      <c r="J238" s="21"/>
      <c r="K238" s="21" t="str">
        <f t="shared" si="544"/>
        <v/>
      </c>
      <c r="L238" s="21" t="str">
        <f t="shared" si="544"/>
        <v/>
      </c>
      <c r="M238" s="48" t="str">
        <f t="shared" si="545"/>
        <v>TPPUBRT</v>
      </c>
      <c r="N238" s="9"/>
      <c r="O238" s="9"/>
      <c r="P238" s="9"/>
      <c r="Q238" s="9"/>
      <c r="R238" s="9"/>
      <c r="S238" s="9"/>
      <c r="T238" s="9"/>
      <c r="U238" s="9" cm="1">
        <f t="array" ref="U238">IF(V$231=-1,V238,IF(V$231=99,T238,IF(V$231=0,INDEX($E166:$M166,0,V$229),(INDEX($E166:$M166,0,V$231+1)-INDEX($E166:$M166,0,V$231))/(INDEX($E$160:$M$160,0,V$231+1)-INDEX($E$160:$M$160,0,V$231))+T238)))</f>
        <v>2.7728192749407472</v>
      </c>
      <c r="V238" s="9" cm="1">
        <f t="array" ref="V238">IF(W$231=-1,W238,IF(W$231=99,U238,IF(W$231=0,INDEX($E166:$M166,0,W$229),(INDEX($E166:$M166,0,W$231+1)-INDEX($E166:$M166,0,W$231))/(INDEX($E$160:$M$160,0,W$231+1)-INDEX($E$160:$M$160,0,W$231))+U238)))</f>
        <v>2.8302114342409936</v>
      </c>
      <c r="W238" s="9" cm="1">
        <f t="array" ref="W238">IF(X$231=-1,X238,IF(X$231=99,V238,IF(X$231=0,INDEX($E166:$M166,0,X$229),(INDEX($E166:$M166,0,X$231+1)-INDEX($E166:$M166,0,X$231))/(INDEX($E$160:$M$160,0,X$231+1)-INDEX($E$160:$M$160,0,X$231))+V238)))</f>
        <v>2.8876035935412401</v>
      </c>
      <c r="X238" s="9" cm="1">
        <f t="array" ref="X238">IF(Y$231=-1,Y238,IF(Y$231=99,W238,IF(Y$231=0,INDEX($E166:$M166,0,Y$229),(INDEX($E166:$M166,0,Y$231+1)-INDEX($E166:$M166,0,Y$231))/(INDEX($E$160:$M$160,0,Y$231+1)-INDEX($E$160:$M$160,0,Y$231))+W238)))</f>
        <v>2.8302114342409936</v>
      </c>
      <c r="Y238" s="9" cm="1">
        <f t="array" ref="Y238">IF(Z$231=-1,Z238,IF(Z$231=99,X238,IF(Z$231=0,INDEX($E166:$M166,0,Z$229),(INDEX($E166:$M166,0,Z$231+1)-INDEX($E166:$M166,0,Z$231))/(INDEX($E$160:$M$160,0,Z$231+1)-INDEX($E$160:$M$160,0,Z$231))+X238)))</f>
        <v>2.858484799397119</v>
      </c>
      <c r="Z238" s="9" cm="1">
        <f t="array" ref="Z238">IF(AA$231=-1,AA238,IF(AA$231=99,Y238,IF(AA$231=0,INDEX($E166:$M166,0,AA$229),(INDEX($E166:$M166,0,AA$231+1)-INDEX($E166:$M166,0,AA$231))/(INDEX($E$160:$M$160,0,AA$231+1)-INDEX($E$160:$M$160,0,AA$231))+Y238)))</f>
        <v>2.8867581645532443</v>
      </c>
      <c r="AA238" s="9" cm="1">
        <f t="array" ref="AA238">IF(AD$231=-1,AD238,IF(AD$231=99,Z238,IF(AD$231=0,INDEX($E166:$M166,0,AD$229),(INDEX($E166:$M166,0,AD$231+1)-INDEX($E166:$M166,0,AD$231))/(INDEX($E$160:$M$160,0,AD$231+1)-INDEX($E$160:$M$160,0,AD$231))+Z238)))</f>
        <v>2.9150315297093696</v>
      </c>
      <c r="AB238" s="9" cm="1">
        <f t="array" ref="AB238">IF(AD$231=-1,AD238,IF(AD$231=99,Z238,IF(AD$231=0,INDEX($E166:$M166,0,AD$229),(INDEX($E166:$M166,0,AD$231+1)-INDEX($E166:$M166,0,AD$231))/(INDEX($E$160:$M$160,0,AD$231+1)-INDEX($E$160:$M$160,0,AD$231))+Z238)))</f>
        <v>2.9150315297093696</v>
      </c>
      <c r="AC238" s="9" cm="1">
        <f t="array" ref="AC238">IF(AD$231=-1,AD238,IF(AD$231=99,Z238,IF(AD$231=0,INDEX($E166:$M166,0,AD$229),(INDEX($E166:$M166,0,AD$231+1)-INDEX($E166:$M166,0,AD$231))/(INDEX($E$160:$M$160,0,AD$231+1)-INDEX($E$160:$M$160,0,AD$231))+Z238)))</f>
        <v>2.9150315297093696</v>
      </c>
      <c r="AD238" s="9" cm="1">
        <f t="array" ref="AD238">IF(AE$231=-1,AE238,IF(AE$231=99,AA238,IF(AE$231=0,INDEX($E166:$M166,0,AE$229),(INDEX($E166:$M166,0,AE$231+1)-INDEX($E166:$M166,0,AE$231))/(INDEX($E$160:$M$160,0,AE$231+1)-INDEX($E$160:$M$160,0,AE$231))+AA238)))</f>
        <v>2.943304894865495</v>
      </c>
      <c r="AE238" s="9" cm="1">
        <f t="array" ref="AE238">IF(AF$231=-1,AF238,IF(AF$231=99,AD238,IF(AF$231=0,INDEX($E166:$M166,0,AF$229),(INDEX($E166:$M166,0,AF$231+1)-INDEX($E166:$M166,0,AF$231))/(INDEX($E$160:$M$160,0,AF$231+1)-INDEX($E$160:$M$160,0,AF$231))+AD238)))</f>
        <v>2.9715782600216203</v>
      </c>
      <c r="AF238" s="9" cm="1">
        <f t="array" ref="AF238">IF(AG$231=-1,AG238,IF(AG$231=99,AE238,IF(AG$231=0,INDEX($E166:$M166,0,AG$229),(INDEX($E166:$M166,0,AG$231+1)-INDEX($E166:$M166,0,AG$231))/(INDEX($E$160:$M$160,0,AG$231+1)-INDEX($E$160:$M$160,0,AG$231))+AE238)))</f>
        <v>2.9998516251777456</v>
      </c>
      <c r="AG238" s="9" cm="1">
        <f t="array" ref="AG238">IF(AH$231=-1,AH238,IF(AH$231=99,AF238,IF(AH$231=0,INDEX($E166:$M166,0,AH$229),(INDEX($E166:$M166,0,AH$231+1)-INDEX($E166:$M166,0,AH$231))/(INDEX($E$160:$M$160,0,AH$231+1)-INDEX($E$160:$M$160,0,AH$231))+AF238)))</f>
        <v>3.0281249903338709</v>
      </c>
      <c r="AH238" s="9" cm="1">
        <f t="array" ref="AH238">IF(AI$231=-1,AI238,IF(AI$231=99,AG238,IF(AI$231=0,INDEX($E166:$M166,0,AI$229),(INDEX($E166:$M166,0,AI$231+1)-INDEX($E166:$M166,0,AI$231))/(INDEX($E$160:$M$160,0,AI$231+1)-INDEX($E$160:$M$160,0,AI$231))+AG238)))</f>
        <v>3.0563983554899963</v>
      </c>
      <c r="AI238" s="9" cm="1">
        <f t="array" ref="AI238">IF(AJ$231=-1,AJ238,IF(AJ$231=99,AH238,IF(AJ$231=0,INDEX($E166:$M166,0,AJ$229),(INDEX($E166:$M166,0,AJ$231+1)-INDEX($E166:$M166,0,AJ$231))/(INDEX($E$160:$M$160,0,AJ$231+1)-INDEX($E$160:$M$160,0,AJ$231))+AH238)))</f>
        <v>3.0846717206461216</v>
      </c>
      <c r="AJ238" s="9" cm="1">
        <f t="array" ref="AJ238">IF(AK$231=-1,AK238,IF(AK$231=99,AI238,IF(AK$231=0,INDEX($E166:$M166,0,AK$229),(INDEX($E166:$M166,0,AK$231+1)-INDEX($E166:$M166,0,AK$231))/(INDEX($E$160:$M$160,0,AK$231+1)-INDEX($E$160:$M$160,0,AK$231))+AI238)))</f>
        <v>3.0846717206461203</v>
      </c>
      <c r="AK238" s="9" cm="1">
        <f t="array" ref="AK238">IF(AL$231=-1,AL238,IF(AL$231=99,AJ238,IF(AL$231=0,INDEX($E166:$M166,0,AL$229),(INDEX($E166:$M166,0,AL$231+1)-INDEX($E166:$M166,0,AL$231))/(INDEX($E$160:$M$160,0,AL$231+1)-INDEX($E$160:$M$160,0,AL$231))+AJ238)))</f>
        <v>3.0846717206461203</v>
      </c>
      <c r="AL238" s="9" cm="1">
        <f t="array" ref="AL238">IF(AO$231=-1,AO238,IF(AO$231=99,AK238,IF(AO$231=0,INDEX($E166:$M166,0,AO$229),(INDEX($E166:$M166,0,AO$231+1)-INDEX($E166:$M166,0,AO$231))/(INDEX($E$160:$M$160,0,AO$231+1)-INDEX($E$160:$M$160,0,AO$231))+AK238)))</f>
        <v>3.0846717206461203</v>
      </c>
      <c r="AM238" s="9" cm="1">
        <f t="array" ref="AM238">IF(AO$231=-1,AO238,IF(AO$231=99,AK238,IF(AO$231=0,INDEX($E166:$M166,0,AO$229),(INDEX($E166:$M166,0,AO$231+1)-INDEX($E166:$M166,0,AO$231))/(INDEX($E$160:$M$160,0,AO$231+1)-INDEX($E$160:$M$160,0,AO$231))+AK238)))</f>
        <v>3.0846717206461203</v>
      </c>
      <c r="AN238" s="9" cm="1">
        <f t="array" ref="AN238">IF(AO$231=-1,AO238,IF(AO$231=99,AK238,IF(AO$231=0,INDEX($E166:$M166,0,AO$229),(INDEX($E166:$M166,0,AO$231+1)-INDEX($E166:$M166,0,AO$231))/(INDEX($E$160:$M$160,0,AO$231+1)-INDEX($E$160:$M$160,0,AO$231))+AK238)))</f>
        <v>3.0846717206461203</v>
      </c>
      <c r="AO238" s="9" cm="1">
        <f t="array" ref="AO238">IF(AP$231=-1,AP238,IF(AP$231=99,AL238,IF(AP$231=0,INDEX($E166:$M166,0,AP$229),(INDEX($E166:$M166,0,AP$231+1)-INDEX($E166:$M166,0,AP$231))/(INDEX($E$160:$M$160,0,AP$231+1)-INDEX($E$160:$M$160,0,AP$231))+AL238)))</f>
        <v>3.0846717206461203</v>
      </c>
      <c r="AP238" s="9" cm="1">
        <f t="array" ref="AP238">IF(AQ$231=-1,AQ238,IF(AQ$231=99,AO238,IF(AQ$231=0,INDEX($E166:$M166,0,AQ$229),(INDEX($E166:$M166,0,AQ$231+1)-INDEX($E166:$M166,0,AQ$231))/(INDEX($E$160:$M$160,0,AQ$231+1)-INDEX($E$160:$M$160,0,AQ$231))+AO238)))</f>
        <v>3.0846717206461203</v>
      </c>
      <c r="AQ238" s="9" cm="1">
        <f t="array" ref="AQ238">IF(AR$231=-1,AR238,IF(AR$231=99,AP238,IF(AR$231=0,INDEX($E166:$M166,0,AR$229),(INDEX($E166:$M166,0,AR$231+1)-INDEX($E166:$M166,0,AR$231))/(INDEX($E$160:$M$160,0,AR$231+1)-INDEX($E$160:$M$160,0,AR$231))+AP238)))</f>
        <v>3.0846717206461203</v>
      </c>
      <c r="AR238" s="9" cm="1">
        <f t="array" ref="AR238">IF(AS$231=-1,AS238,IF(AS$231=99,AQ238,IF(AS$231=0,INDEX($E166:$M166,0,AS$229),(INDEX($E166:$M166,0,AS$231+1)-INDEX($E166:$M166,0,AS$231))/(INDEX($E$160:$M$160,0,AS$231+1)-INDEX($E$160:$M$160,0,AS$231))+AQ238)))</f>
        <v>3.0846717206461203</v>
      </c>
      <c r="AS238" s="9" cm="1">
        <f t="array" ref="AS238">IF(AT$231=-1,AT238,IF(AT$231=99,AR238,IF(AT$231=0,INDEX($E166:$M166,0,AT$229),(INDEX($E166:$M166,0,AT$231+1)-INDEX($E166:$M166,0,AT$231))/(INDEX($E$160:$M$160,0,AT$231+1)-INDEX($E$160:$M$160,0,AT$231))+AR238)))</f>
        <v>3.0846717206461203</v>
      </c>
      <c r="AT238" s="9" cm="1">
        <f t="array" ref="AT238">IF(AV$231=-1,AV238,IF(AV$231=99,AS238,IF(AV$231=0,INDEX($E166:$M166,0,AV$229),(INDEX($E166:$M166,0,AV$231+1)-INDEX($E166:$M166,0,AV$231))/(INDEX($E$160:$M$160,0,AV$231+1)-INDEX($E$160:$M$160,0,AV$231))+AS238)))</f>
        <v>3.0846717206461203</v>
      </c>
      <c r="AU238" s="9" cm="1">
        <f t="array" ref="AU238">IF(AW$231=-1,AW238,IF(AW$231=99,AS238,IF(AW$231=0,INDEX($E166:$M166,0,AW$229),(INDEX($E166:$M166,0,AW$231+1)-INDEX($E166:$M166,0,AW$231))/(INDEX($E$160:$M$160,0,AW$231+1)-INDEX($E$160:$M$160,0,AW$231))+AS238)))</f>
        <v>3.0846717206461203</v>
      </c>
      <c r="AV238" s="9" cm="1">
        <f t="array" ref="AV238">IF(AX$231=-1,AX238,IF(AX$231=99,AT238,IF(AX$231=0,INDEX($E166:$M166,0,AX$229),(INDEX($E166:$M166,0,AX$231+1)-INDEX($E166:$M166,0,AX$231))/(INDEX($E$160:$M$160,0,AX$231+1)-INDEX($E$160:$M$160,0,AX$231))+AT238)))</f>
        <v>3.0846717206461203</v>
      </c>
      <c r="AW238" s="9" cm="1">
        <f t="array" ref="AW238">IF(AY$231=-1,AY238,IF(AY$231=99,AV238,IF(AY$231=0,INDEX($E166:$M166,0,AY$229),(INDEX($E166:$M166,0,AY$231+1)-INDEX($E166:$M166,0,AY$231))/(INDEX($E$160:$M$160,0,AY$231+1)-INDEX($E$160:$M$160,0,AY$231))+AV238)))</f>
        <v>3.0846717206461203</v>
      </c>
      <c r="AX238" s="9" cm="1">
        <f t="array" ref="AX238">IF(AY$231=-1,AY238,IF(AY$231=99,AV238,IF(AY$231=0,INDEX($E166:$M166,0,AY$229),(INDEX($E166:$M166,0,AY$231+1)-INDEX($E166:$M166,0,AY$231))/(INDEX($E$160:$M$160,0,AY$231+1)-INDEX($E$160:$M$160,0,AY$231))+AV238)))</f>
        <v>3.0846717206461203</v>
      </c>
      <c r="AY238" s="9" cm="1">
        <f t="array" ref="AY238">IF(AZ$231=-1,AZ238,IF(AZ$231=99,AX238,IF(AZ$231=0,INDEX($E166:$M166,0,AZ$229),(INDEX($E166:$M166,0,AZ$231+1)-INDEX($E166:$M166,0,AZ$231))/(INDEX($E$160:$M$160,0,AZ$231+1)-INDEX($E$160:$M$160,0,AZ$231))+AX238)))</f>
        <v>3.0846717206461203</v>
      </c>
      <c r="AZ238" s="9" cm="1">
        <f t="array" ref="AZ238">IF(BA$231=-1,BA238,IF(BA$231=99,AY238,IF(BA$231=0,INDEX($E166:$M166,0,BA$229),(INDEX($E166:$M166,0,BA$231+1)-INDEX($E166:$M166,0,BA$231))/(INDEX($E$160:$M$160,0,BA$231+1)-INDEX($E$160:$M$160,0,BA$231))+AY238)))</f>
        <v>3.0846717206461203</v>
      </c>
      <c r="BA238" s="9" cm="1">
        <f t="array" ref="BA238">IF(BB$231=-1,BB238,IF(BB$231=99,AZ238,IF(BB$231=0,INDEX($E166:$M166,0,BB$229),(INDEX($E166:$M166,0,BB$231+1)-INDEX($E166:$M166,0,BB$231))/(INDEX($E$160:$M$160,0,BB$231+1)-INDEX($E$160:$M$160,0,BB$231))+AZ238)))</f>
        <v>3.0846717206461203</v>
      </c>
      <c r="BB238" s="9" cm="1">
        <f t="array" ref="BB238">IF(BC$231=-1,BC238,IF(BC$231=99,BA238,IF(BC$231=0,INDEX($E166:$M166,0,BC$229),(INDEX($E166:$M166,0,BC$231+1)-INDEX($E166:$M166,0,BC$231))/(INDEX($E$160:$M$160,0,BC$231+1)-INDEX($E$160:$M$160,0,BC$231))+BA238)))</f>
        <v>3.0846717206461203</v>
      </c>
      <c r="BC238" s="9" cm="1">
        <f t="array" ref="BC238">IF(BD$231=-1,BD238,IF(BD$231=99,BB238,IF(BD$231=0,INDEX($E166:$M166,0,BD$229),(INDEX($E166:$M166,0,BD$231+1)-INDEX($E166:$M166,0,BD$231))/(INDEX($E$160:$M$160,0,BD$231+1)-INDEX($E$160:$M$160,0,BD$231))+BB238)))</f>
        <v>3.0846717206461203</v>
      </c>
      <c r="BD238" s="9" cm="1">
        <f t="array" ref="BD238">IF(BE$231=-1,BE238,IF(BE$231=99,BC238,IF(BE$231=0,INDEX($E166:$M166,0,BE$229),(INDEX($E166:$M166,0,BE$231+1)-INDEX($E166:$M166,0,BE$231))/(INDEX($E$160:$M$160,0,BE$231+1)-INDEX($E$160:$M$160,0,BE$231))+BC238)))</f>
        <v>3.0846717206461203</v>
      </c>
      <c r="BE238" s="9" cm="1">
        <f t="array" ref="BE238">IF(BF$231=-1,BF238,IF(BF$231=99,BD238,IF(BF$231=0,INDEX($E166:$M166,0,BF$229),(INDEX($E166:$M166,0,BF$231+1)-INDEX($E166:$M166,0,BF$231))/(INDEX($E$160:$M$160,0,BF$231+1)-INDEX($E$160:$M$160,0,BF$231))+BD238)))</f>
        <v>3.0846717206461203</v>
      </c>
      <c r="BF238" s="9" cm="1">
        <f t="array" ref="BF238">IF(BG$231=-1,BG238,IF(BG$231=99,BE238,IF(BG$231=0,INDEX($E166:$M166,0,BG$229),(INDEX($E166:$M166,0,BG$231+1)-INDEX($E166:$M166,0,BG$231))/(INDEX($E$160:$M$160,0,BG$231+1)-INDEX($E$160:$M$160,0,BG$231))+BE238)))</f>
        <v>3.0846717206461203</v>
      </c>
      <c r="BG238" s="9" cm="1">
        <f t="array" ref="BG238">IF(BH$231=-1,BH238,IF(BH$231=99,BF238,IF(BH$231=0,INDEX($E166:$M166,0,BH$229),(INDEX($E166:$M166,0,BH$231+1)-INDEX($E166:$M166,0,BH$231))/(INDEX($E$160:$M$160,0,BH$231+1)-INDEX($E$160:$M$160,0,BH$231))+BF238)))</f>
        <v>3.0846717206461203</v>
      </c>
      <c r="BH238" s="9" cm="1">
        <f t="array" ref="BH238">IF(BI$231=-1,BI238,IF(BI$231=99,BG238,IF(BI$231=0,INDEX($E166:$M166,0,BI$229),(INDEX($E166:$M166,0,BI$231+1)-INDEX($E166:$M166,0,BI$231))/(INDEX($E$160:$M$160,0,BI$231+1)-INDEX($E$160:$M$160,0,BI$231))+BG238)))</f>
        <v>3.0846717206461203</v>
      </c>
      <c r="BI238" s="9" cm="1">
        <f t="array" ref="BI238">IF(BJ$231=-1,BJ238,IF(BJ$231=99,BH238,IF(BJ$231=0,INDEX($E166:$M166,0,BJ$229),(INDEX($E166:$M166,0,BJ$231+1)-INDEX($E166:$M166,0,BJ$231))/(INDEX($E$160:$M$160,0,BJ$231+1)-INDEX($E$160:$M$160,0,BJ$231))+BH238)))</f>
        <v>3.0846717206461203</v>
      </c>
      <c r="BJ238" s="9" cm="1">
        <f t="array" ref="BJ238">IF(BK$231=-1,BL238,IF(BK$231=99,BI238,IF(BK$231=0,INDEX($E166:$M166,0,BK$229),(INDEX($E166:$M166,0,BK$231+1)-INDEX($E166:$M166,0,BK$231))/(INDEX($E$160:$M$160,0,BK$231+1)-INDEX($E$160:$M$160,0,BK$231))+BI238)))</f>
        <v>3.0846717206461203</v>
      </c>
      <c r="BL238" s="9"/>
      <c r="BM238" s="9"/>
      <c r="BN238" s="9"/>
      <c r="BO238" s="9"/>
      <c r="BP238" s="9"/>
      <c r="BQ238" s="9"/>
    </row>
    <row r="239" spans="5:69" ht="15">
      <c r="E239" t="s">
        <v>16</v>
      </c>
      <c r="F239" s="20"/>
      <c r="G239" s="21"/>
      <c r="I239" s="21"/>
      <c r="J239" s="21"/>
      <c r="K239" s="21"/>
      <c r="L239" s="21"/>
      <c r="M239" s="48" t="str">
        <f t="shared" si="545"/>
        <v>TPPUMER</v>
      </c>
      <c r="N239" s="9"/>
      <c r="O239" s="9"/>
      <c r="P239" s="9"/>
      <c r="Q239" s="9"/>
      <c r="R239" s="9"/>
      <c r="S239" s="9"/>
      <c r="T239" s="9"/>
      <c r="U239" s="9" cm="1">
        <f t="array" ref="U239">IF(V$231=-1,V239,IF(V$231=99,T239,IF(V$231=0,INDEX($E167:$M167,0,V$229),(INDEX($E167:$M167,0,V$231+1)-INDEX($E167:$M167,0,V$231))/(INDEX($E$160:$M$160,0,V$231+1)-INDEX($E$160:$M$160,0,V$231))+T239)))</f>
        <v>9.0239745751619225</v>
      </c>
      <c r="V239" s="9" cm="1">
        <f t="array" ref="V239">IF(W$231=-1,W239,IF(W$231=99,U239,IF(W$231=0,INDEX($E167:$M167,0,W$229),(INDEX($E167:$M167,0,W$231+1)-INDEX($E167:$M167,0,W$231))/(INDEX($E$160:$M$160,0,W$231+1)-INDEX($E$160:$M$160,0,W$231))+U239)))</f>
        <v>9.227477905515352</v>
      </c>
      <c r="W239" s="9" cm="1">
        <f t="array" ref="W239">IF(X$231=-1,X239,IF(X$231=99,V239,IF(X$231=0,INDEX($E167:$M167,0,X$229),(INDEX($E167:$M167,0,X$231+1)-INDEX($E167:$M167,0,X$231))/(INDEX($E$160:$M$160,0,X$231+1)-INDEX($E$160:$M$160,0,X$231))+V239)))</f>
        <v>9.4309812358687815</v>
      </c>
      <c r="X239" s="9" cm="1">
        <f t="array" ref="X239">IF(Y$231=-1,Y239,IF(Y$231=99,W239,IF(Y$231=0,INDEX($E167:$M167,0,Y$229),(INDEX($E167:$M167,0,Y$231+1)-INDEX($E167:$M167,0,Y$231))/(INDEX($E$160:$M$160,0,Y$231+1)-INDEX($E$160:$M$160,0,Y$231))+W239)))</f>
        <v>9.227477905515352</v>
      </c>
      <c r="Y239" s="9" cm="1">
        <f t="array" ref="Y239">IF(Z$231=-1,Z239,IF(Z$231=99,X239,IF(Z$231=0,INDEX($E167:$M167,0,Z$229),(INDEX($E167:$M167,0,Z$231+1)-INDEX($E167:$M167,0,Z$231))/(INDEX($E$160:$M$160,0,Z$231+1)-INDEX($E$160:$M$160,0,Z$231))+X239)))</f>
        <v>9.236564034005557</v>
      </c>
      <c r="Z239" s="9" cm="1">
        <f t="array" ref="Z239">IF(AA$231=-1,AA239,IF(AA$231=99,Y239,IF(AA$231=0,INDEX($E167:$M167,0,AA$229),(INDEX($E167:$M167,0,AA$231+1)-INDEX($E167:$M167,0,AA$231))/(INDEX($E$160:$M$160,0,AA$231+1)-INDEX($E$160:$M$160,0,AA$231))+Y239)))</f>
        <v>9.2456501624957621</v>
      </c>
      <c r="AA239" s="9" cm="1">
        <f t="array" ref="AA239">IF(AD$231=-1,AD239,IF(AD$231=99,Z239,IF(AD$231=0,INDEX($E167:$M167,0,AD$229),(INDEX($E167:$M167,0,AD$231+1)-INDEX($E167:$M167,0,AD$231))/(INDEX($E$160:$M$160,0,AD$231+1)-INDEX($E$160:$M$160,0,AD$231))+Z239)))</f>
        <v>9.2547362909859672</v>
      </c>
      <c r="AB239" s="9" cm="1">
        <f t="array" ref="AB239">IF(AD$231=-1,AD239,IF(AD$231=99,Z239,IF(AD$231=0,INDEX($E167:$M167,0,AD$229),(INDEX($E167:$M167,0,AD$231+1)-INDEX($E167:$M167,0,AD$231))/(INDEX($E$160:$M$160,0,AD$231+1)-INDEX($E$160:$M$160,0,AD$231))+Z239)))</f>
        <v>9.2547362909859672</v>
      </c>
      <c r="AC239" s="9" cm="1">
        <f t="array" ref="AC239">IF(AD$231=-1,AD239,IF(AD$231=99,Z239,IF(AD$231=0,INDEX($E167:$M167,0,AD$229),(INDEX($E167:$M167,0,AD$231+1)-INDEX($E167:$M167,0,AD$231))/(INDEX($E$160:$M$160,0,AD$231+1)-INDEX($E$160:$M$160,0,AD$231))+Z239)))</f>
        <v>9.2547362909859672</v>
      </c>
      <c r="AD239" s="9" cm="1">
        <f t="array" ref="AD239">IF(AE$231=-1,AE239,IF(AE$231=99,AA239,IF(AE$231=0,INDEX($E167:$M167,0,AE$229),(INDEX($E167:$M167,0,AE$231+1)-INDEX($E167:$M167,0,AE$231))/(INDEX($E$160:$M$160,0,AE$231+1)-INDEX($E$160:$M$160,0,AE$231))+AA239)))</f>
        <v>9.2638224194761722</v>
      </c>
      <c r="AE239" s="9" cm="1">
        <f t="array" ref="AE239">IF(AF$231=-1,AF239,IF(AF$231=99,AD239,IF(AF$231=0,INDEX($E167:$M167,0,AF$229),(INDEX($E167:$M167,0,AF$231+1)-INDEX($E167:$M167,0,AF$231))/(INDEX($E$160:$M$160,0,AF$231+1)-INDEX($E$160:$M$160,0,AF$231))+AD239)))</f>
        <v>9.2729085479663773</v>
      </c>
      <c r="AF239" s="9" cm="1">
        <f t="array" ref="AF239">IF(AG$231=-1,AG239,IF(AG$231=99,AE239,IF(AG$231=0,INDEX($E167:$M167,0,AG$229),(INDEX($E167:$M167,0,AG$231+1)-INDEX($E167:$M167,0,AG$231))/(INDEX($E$160:$M$160,0,AG$231+1)-INDEX($E$160:$M$160,0,AG$231))+AE239)))</f>
        <v>9.2819946764565824</v>
      </c>
      <c r="AG239" s="9" cm="1">
        <f t="array" ref="AG239">IF(AH$231=-1,AH239,IF(AH$231=99,AF239,IF(AH$231=0,INDEX($E167:$M167,0,AH$229),(INDEX($E167:$M167,0,AH$231+1)-INDEX($E167:$M167,0,AH$231))/(INDEX($E$160:$M$160,0,AH$231+1)-INDEX($E$160:$M$160,0,AH$231))+AF239)))</f>
        <v>9.2910808049467875</v>
      </c>
      <c r="AH239" s="9" cm="1">
        <f t="array" ref="AH239">IF(AI$231=-1,AI239,IF(AI$231=99,AG239,IF(AI$231=0,INDEX($E167:$M167,0,AI$229),(INDEX($E167:$M167,0,AI$231+1)-INDEX($E167:$M167,0,AI$231))/(INDEX($E$160:$M$160,0,AI$231+1)-INDEX($E$160:$M$160,0,AI$231))+AG239)))</f>
        <v>9.3001669334369925</v>
      </c>
      <c r="AI239" s="9" cm="1">
        <f t="array" ref="AI239">IF(AJ$231=-1,AJ239,IF(AJ$231=99,AH239,IF(AJ$231=0,INDEX($E167:$M167,0,AJ$229),(INDEX($E167:$M167,0,AJ$231+1)-INDEX($E167:$M167,0,AJ$231))/(INDEX($E$160:$M$160,0,AJ$231+1)-INDEX($E$160:$M$160,0,AJ$231))+AH239)))</f>
        <v>9.3092530619271976</v>
      </c>
      <c r="AJ239" s="9" cm="1">
        <f t="array" ref="AJ239">IF(AK$231=-1,AK239,IF(AK$231=99,AI239,IF(AK$231=0,INDEX($E167:$M167,0,AK$229),(INDEX($E167:$M167,0,AK$231+1)-INDEX($E167:$M167,0,AK$231))/(INDEX($E$160:$M$160,0,AK$231+1)-INDEX($E$160:$M$160,0,AK$231))+AI239)))</f>
        <v>9.3092530619272011</v>
      </c>
      <c r="AK239" s="9" cm="1">
        <f t="array" ref="AK239">IF(AL$231=-1,AL239,IF(AL$231=99,AJ239,IF(AL$231=0,INDEX($E167:$M167,0,AL$229),(INDEX($E167:$M167,0,AL$231+1)-INDEX($E167:$M167,0,AL$231))/(INDEX($E$160:$M$160,0,AL$231+1)-INDEX($E$160:$M$160,0,AL$231))+AJ239)))</f>
        <v>9.3092530619272011</v>
      </c>
      <c r="AL239" s="9" cm="1">
        <f t="array" ref="AL239">IF(AO$231=-1,AO239,IF(AO$231=99,AK239,IF(AO$231=0,INDEX($E167:$M167,0,AO$229),(INDEX($E167:$M167,0,AO$231+1)-INDEX($E167:$M167,0,AO$231))/(INDEX($E$160:$M$160,0,AO$231+1)-INDEX($E$160:$M$160,0,AO$231))+AK239)))</f>
        <v>9.3092530619272011</v>
      </c>
      <c r="AM239" s="9" cm="1">
        <f t="array" ref="AM239">IF(AO$231=-1,AO239,IF(AO$231=99,AK239,IF(AO$231=0,INDEX($E167:$M167,0,AO$229),(INDEX($E167:$M167,0,AO$231+1)-INDEX($E167:$M167,0,AO$231))/(INDEX($E$160:$M$160,0,AO$231+1)-INDEX($E$160:$M$160,0,AO$231))+AK239)))</f>
        <v>9.3092530619272011</v>
      </c>
      <c r="AN239" s="9" cm="1">
        <f t="array" ref="AN239">IF(AO$231=-1,AO239,IF(AO$231=99,AK239,IF(AO$231=0,INDEX($E167:$M167,0,AO$229),(INDEX($E167:$M167,0,AO$231+1)-INDEX($E167:$M167,0,AO$231))/(INDEX($E$160:$M$160,0,AO$231+1)-INDEX($E$160:$M$160,0,AO$231))+AK239)))</f>
        <v>9.3092530619272011</v>
      </c>
      <c r="AO239" s="9" cm="1">
        <f t="array" ref="AO239">IF(AP$231=-1,AP239,IF(AP$231=99,AL239,IF(AP$231=0,INDEX($E167:$M167,0,AP$229),(INDEX($E167:$M167,0,AP$231+1)-INDEX($E167:$M167,0,AP$231))/(INDEX($E$160:$M$160,0,AP$231+1)-INDEX($E$160:$M$160,0,AP$231))+AL239)))</f>
        <v>9.3092530619272011</v>
      </c>
      <c r="AP239" s="9" cm="1">
        <f t="array" ref="AP239">IF(AQ$231=-1,AQ239,IF(AQ$231=99,AO239,IF(AQ$231=0,INDEX($E167:$M167,0,AQ$229),(INDEX($E167:$M167,0,AQ$231+1)-INDEX($E167:$M167,0,AQ$231))/(INDEX($E$160:$M$160,0,AQ$231+1)-INDEX($E$160:$M$160,0,AQ$231))+AO239)))</f>
        <v>9.3092530619272011</v>
      </c>
      <c r="AQ239" s="9" cm="1">
        <f t="array" ref="AQ239">IF(AR$231=-1,AR239,IF(AR$231=99,AP239,IF(AR$231=0,INDEX($E167:$M167,0,AR$229),(INDEX($E167:$M167,0,AR$231+1)-INDEX($E167:$M167,0,AR$231))/(INDEX($E$160:$M$160,0,AR$231+1)-INDEX($E$160:$M$160,0,AR$231))+AP239)))</f>
        <v>9.3092530619272011</v>
      </c>
      <c r="AR239" s="9" cm="1">
        <f t="array" ref="AR239">IF(AS$231=-1,AS239,IF(AS$231=99,AQ239,IF(AS$231=0,INDEX($E167:$M167,0,AS$229),(INDEX($E167:$M167,0,AS$231+1)-INDEX($E167:$M167,0,AS$231))/(INDEX($E$160:$M$160,0,AS$231+1)-INDEX($E$160:$M$160,0,AS$231))+AQ239)))</f>
        <v>9.3092530619272011</v>
      </c>
      <c r="AS239" s="9" cm="1">
        <f t="array" ref="AS239">IF(AT$231=-1,AT239,IF(AT$231=99,AR239,IF(AT$231=0,INDEX($E167:$M167,0,AT$229),(INDEX($E167:$M167,0,AT$231+1)-INDEX($E167:$M167,0,AT$231))/(INDEX($E$160:$M$160,0,AT$231+1)-INDEX($E$160:$M$160,0,AT$231))+AR239)))</f>
        <v>9.3092530619272011</v>
      </c>
      <c r="AT239" s="9" cm="1">
        <f t="array" ref="AT239">IF(AV$231=-1,AV239,IF(AV$231=99,AS239,IF(AV$231=0,INDEX($E167:$M167,0,AV$229),(INDEX($E167:$M167,0,AV$231+1)-INDEX($E167:$M167,0,AV$231))/(INDEX($E$160:$M$160,0,AV$231+1)-INDEX($E$160:$M$160,0,AV$231))+AS239)))</f>
        <v>9.3092530619272011</v>
      </c>
      <c r="AU239" s="9" cm="1">
        <f t="array" ref="AU239">IF(AW$231=-1,AW239,IF(AW$231=99,AS239,IF(AW$231=0,INDEX($E167:$M167,0,AW$229),(INDEX($E167:$M167,0,AW$231+1)-INDEX($E167:$M167,0,AW$231))/(INDEX($E$160:$M$160,0,AW$231+1)-INDEX($E$160:$M$160,0,AW$231))+AS239)))</f>
        <v>9.3092530619272011</v>
      </c>
      <c r="AV239" s="9" cm="1">
        <f t="array" ref="AV239">IF(AX$231=-1,AX239,IF(AX$231=99,AT239,IF(AX$231=0,INDEX($E167:$M167,0,AX$229),(INDEX($E167:$M167,0,AX$231+1)-INDEX($E167:$M167,0,AX$231))/(INDEX($E$160:$M$160,0,AX$231+1)-INDEX($E$160:$M$160,0,AX$231))+AT239)))</f>
        <v>9.3092530619272011</v>
      </c>
      <c r="AW239" s="9" cm="1">
        <f t="array" ref="AW239">IF(AY$231=-1,AY239,IF(AY$231=99,AV239,IF(AY$231=0,INDEX($E167:$M167,0,AY$229),(INDEX($E167:$M167,0,AY$231+1)-INDEX($E167:$M167,0,AY$231))/(INDEX($E$160:$M$160,0,AY$231+1)-INDEX($E$160:$M$160,0,AY$231))+AV239)))</f>
        <v>9.3092530619272011</v>
      </c>
      <c r="AX239" s="9" cm="1">
        <f t="array" ref="AX239">IF(AY$231=-1,AY239,IF(AY$231=99,AV239,IF(AY$231=0,INDEX($E167:$M167,0,AY$229),(INDEX($E167:$M167,0,AY$231+1)-INDEX($E167:$M167,0,AY$231))/(INDEX($E$160:$M$160,0,AY$231+1)-INDEX($E$160:$M$160,0,AY$231))+AV239)))</f>
        <v>9.3092530619272011</v>
      </c>
      <c r="AY239" s="9" cm="1">
        <f t="array" ref="AY239">IF(AZ$231=-1,AZ239,IF(AZ$231=99,AX239,IF(AZ$231=0,INDEX($E167:$M167,0,AZ$229),(INDEX($E167:$M167,0,AZ$231+1)-INDEX($E167:$M167,0,AZ$231))/(INDEX($E$160:$M$160,0,AZ$231+1)-INDEX($E$160:$M$160,0,AZ$231))+AX239)))</f>
        <v>9.3092530619272011</v>
      </c>
      <c r="AZ239" s="9" cm="1">
        <f t="array" ref="AZ239">IF(BA$231=-1,BA239,IF(BA$231=99,AY239,IF(BA$231=0,INDEX($E167:$M167,0,BA$229),(INDEX($E167:$M167,0,BA$231+1)-INDEX($E167:$M167,0,BA$231))/(INDEX($E$160:$M$160,0,BA$231+1)-INDEX($E$160:$M$160,0,BA$231))+AY239)))</f>
        <v>9.3092530619272011</v>
      </c>
      <c r="BA239" s="9" cm="1">
        <f t="array" ref="BA239">IF(BB$231=-1,BB239,IF(BB$231=99,AZ239,IF(BB$231=0,INDEX($E167:$M167,0,BB$229),(INDEX($E167:$M167,0,BB$231+1)-INDEX($E167:$M167,0,BB$231))/(INDEX($E$160:$M$160,0,BB$231+1)-INDEX($E$160:$M$160,0,BB$231))+AZ239)))</f>
        <v>9.3092530619272011</v>
      </c>
      <c r="BB239" s="9" cm="1">
        <f t="array" ref="BB239">IF(BC$231=-1,BC239,IF(BC$231=99,BA239,IF(BC$231=0,INDEX($E167:$M167,0,BC$229),(INDEX($E167:$M167,0,BC$231+1)-INDEX($E167:$M167,0,BC$231))/(INDEX($E$160:$M$160,0,BC$231+1)-INDEX($E$160:$M$160,0,BC$231))+BA239)))</f>
        <v>9.3092530619272011</v>
      </c>
      <c r="BC239" s="9" cm="1">
        <f t="array" ref="BC239">IF(BD$231=-1,BD239,IF(BD$231=99,BB239,IF(BD$231=0,INDEX($E167:$M167,0,BD$229),(INDEX($E167:$M167,0,BD$231+1)-INDEX($E167:$M167,0,BD$231))/(INDEX($E$160:$M$160,0,BD$231+1)-INDEX($E$160:$M$160,0,BD$231))+BB239)))</f>
        <v>9.3092530619272011</v>
      </c>
      <c r="BD239" s="9" cm="1">
        <f t="array" ref="BD239">IF(BE$231=-1,BE239,IF(BE$231=99,BC239,IF(BE$231=0,INDEX($E167:$M167,0,BE$229),(INDEX($E167:$M167,0,BE$231+1)-INDEX($E167:$M167,0,BE$231))/(INDEX($E$160:$M$160,0,BE$231+1)-INDEX($E$160:$M$160,0,BE$231))+BC239)))</f>
        <v>9.3092530619272011</v>
      </c>
      <c r="BE239" s="9" cm="1">
        <f t="array" ref="BE239">IF(BF$231=-1,BF239,IF(BF$231=99,BD239,IF(BF$231=0,INDEX($E167:$M167,0,BF$229),(INDEX($E167:$M167,0,BF$231+1)-INDEX($E167:$M167,0,BF$231))/(INDEX($E$160:$M$160,0,BF$231+1)-INDEX($E$160:$M$160,0,BF$231))+BD239)))</f>
        <v>9.3092530619272011</v>
      </c>
      <c r="BF239" s="9" cm="1">
        <f t="array" ref="BF239">IF(BG$231=-1,BG239,IF(BG$231=99,BE239,IF(BG$231=0,INDEX($E167:$M167,0,BG$229),(INDEX($E167:$M167,0,BG$231+1)-INDEX($E167:$M167,0,BG$231))/(INDEX($E$160:$M$160,0,BG$231+1)-INDEX($E$160:$M$160,0,BG$231))+BE239)))</f>
        <v>9.3092530619272011</v>
      </c>
      <c r="BG239" s="9" cm="1">
        <f t="array" ref="BG239">IF(BH$231=-1,BH239,IF(BH$231=99,BF239,IF(BH$231=0,INDEX($E167:$M167,0,BH$229),(INDEX($E167:$M167,0,BH$231+1)-INDEX($E167:$M167,0,BH$231))/(INDEX($E$160:$M$160,0,BH$231+1)-INDEX($E$160:$M$160,0,BH$231))+BF239)))</f>
        <v>9.3092530619272011</v>
      </c>
      <c r="BH239" s="9" cm="1">
        <f t="array" ref="BH239">IF(BI$231=-1,BI239,IF(BI$231=99,BG239,IF(BI$231=0,INDEX($E167:$M167,0,BI$229),(INDEX($E167:$M167,0,BI$231+1)-INDEX($E167:$M167,0,BI$231))/(INDEX($E$160:$M$160,0,BI$231+1)-INDEX($E$160:$M$160,0,BI$231))+BG239)))</f>
        <v>9.3092530619272011</v>
      </c>
      <c r="BI239" s="9" cm="1">
        <f t="array" ref="BI239">IF(BJ$231=-1,BJ239,IF(BJ$231=99,BH239,IF(BJ$231=0,INDEX($E167:$M167,0,BJ$229),(INDEX($E167:$M167,0,BJ$231+1)-INDEX($E167:$M167,0,BJ$231))/(INDEX($E$160:$M$160,0,BJ$231+1)-INDEX($E$160:$M$160,0,BJ$231))+BH239)))</f>
        <v>9.3092530619272011</v>
      </c>
      <c r="BJ239" s="9" cm="1">
        <f t="array" ref="BJ239">IF(BK$231=-1,BL239,IF(BK$231=99,BI239,IF(BK$231=0,INDEX($E167:$M167,0,BK$229),(INDEX($E167:$M167,0,BK$231+1)-INDEX($E167:$M167,0,BK$231))/(INDEX($E$160:$M$160,0,BK$231+1)-INDEX($E$160:$M$160,0,BK$231))+BI239)))</f>
        <v>9.3092530619272011</v>
      </c>
      <c r="BL239" s="9"/>
      <c r="BM239" s="9"/>
      <c r="BN239" s="9"/>
      <c r="BO239" s="9"/>
      <c r="BP239" s="9"/>
      <c r="BQ239" s="9"/>
    </row>
    <row r="240" spans="5:69" ht="15">
      <c r="E240" t="s">
        <v>16</v>
      </c>
      <c r="F240" s="20"/>
      <c r="G240" s="21"/>
      <c r="I240" s="21"/>
      <c r="J240" s="21"/>
      <c r="K240" s="21"/>
      <c r="L240" s="21"/>
      <c r="M240" s="48" t="str">
        <f t="shared" si="545"/>
        <v>TPPUGAT</v>
      </c>
      <c r="N240" s="9"/>
      <c r="O240" s="9"/>
      <c r="P240" s="9"/>
      <c r="Q240" s="9"/>
      <c r="R240" s="9"/>
      <c r="S240" s="9"/>
      <c r="T240" s="9"/>
      <c r="U240" s="9" cm="1">
        <f t="array" ref="U240">IF(V$231=-1,V240,IF(V$231=99,T240,IF(V$231=0,INDEX($E168:$M168,0,V$229),(INDEX($E168:$M168,0,V$231+1)-INDEX($E168:$M168,0,V$231))/(INDEX($E$160:$M$160,0,V$231+1)-INDEX($E$160:$M$160,0,V$231))+T240)))</f>
        <v>0.64248252977129328</v>
      </c>
      <c r="V240" s="9" cm="1">
        <f t="array" ref="V240">IF(W$231=-1,W240,IF(W$231=99,U240,IF(W$231=0,INDEX($E168:$M168,0,W$229),(INDEX($E168:$M168,0,W$231+1)-INDEX($E168:$M168,0,W$231))/(INDEX($E$160:$M$160,0,W$231+1)-INDEX($E$160:$M$160,0,W$231))+U240)))</f>
        <v>0.63988638610905979</v>
      </c>
      <c r="W240" s="9" cm="1">
        <f t="array" ref="W240">IF(X$231=-1,X240,IF(X$231=99,V240,IF(X$231=0,INDEX($E168:$M168,0,X$229),(INDEX($E168:$M168,0,X$231+1)-INDEX($E168:$M168,0,X$231))/(INDEX($E$160:$M$160,0,X$231+1)-INDEX($E$160:$M$160,0,X$231))+V240)))</f>
        <v>0.6372902424468263</v>
      </c>
      <c r="X240" s="9" cm="1">
        <f t="array" ref="X240">IF(Y$231=-1,Y240,IF(Y$231=99,W240,IF(Y$231=0,INDEX($E168:$M168,0,Y$229),(INDEX($E168:$M168,0,Y$231+1)-INDEX($E168:$M168,0,Y$231))/(INDEX($E$160:$M$160,0,Y$231+1)-INDEX($E$160:$M$160,0,Y$231))+W240)))</f>
        <v>0.63988638610905979</v>
      </c>
      <c r="Y240" s="9" cm="1">
        <f t="array" ref="Y240">IF(Z$231=-1,Z240,IF(Z$231=99,X240,IF(Z$231=0,INDEX($E168:$M168,0,Z$229),(INDEX($E168:$M168,0,Z$231+1)-INDEX($E168:$M168,0,Z$231))/(INDEX($E$160:$M$160,0,Z$231+1)-INDEX($E$160:$M$160,0,Z$231))+X240)))</f>
        <v>0.66654414817097207</v>
      </c>
      <c r="Z240" s="9" cm="1">
        <f t="array" ref="Z240">IF(AA$231=-1,AA240,IF(AA$231=99,Y240,IF(AA$231=0,INDEX($E168:$M168,0,AA$229),(INDEX($E168:$M168,0,AA$231+1)-INDEX($E168:$M168,0,AA$231))/(INDEX($E$160:$M$160,0,AA$231+1)-INDEX($E$160:$M$160,0,AA$231))+Y240)))</f>
        <v>0.69320191023288436</v>
      </c>
      <c r="AA240" s="9" cm="1">
        <f t="array" ref="AA240">IF(AD$231=-1,AD240,IF(AD$231=99,Z240,IF(AD$231=0,INDEX($E168:$M168,0,AD$229),(INDEX($E168:$M168,0,AD$231+1)-INDEX($E168:$M168,0,AD$231))/(INDEX($E$160:$M$160,0,AD$231+1)-INDEX($E$160:$M$160,0,AD$231))+Z240)))</f>
        <v>0.71985967229479664</v>
      </c>
      <c r="AB240" s="9" cm="1">
        <f t="array" ref="AB240">IF(AD$231=-1,AD240,IF(AD$231=99,Z240,IF(AD$231=0,INDEX($E168:$M168,0,AD$229),(INDEX($E168:$M168,0,AD$231+1)-INDEX($E168:$M168,0,AD$231))/(INDEX($E$160:$M$160,0,AD$231+1)-INDEX($E$160:$M$160,0,AD$231))+Z240)))</f>
        <v>0.71985967229479664</v>
      </c>
      <c r="AC240" s="9" cm="1">
        <f t="array" ref="AC240">IF(AD$231=-1,AD240,IF(AD$231=99,Z240,IF(AD$231=0,INDEX($E168:$M168,0,AD$229),(INDEX($E168:$M168,0,AD$231+1)-INDEX($E168:$M168,0,AD$231))/(INDEX($E$160:$M$160,0,AD$231+1)-INDEX($E$160:$M$160,0,AD$231))+Z240)))</f>
        <v>0.71985967229479664</v>
      </c>
      <c r="AD240" s="9" cm="1">
        <f t="array" ref="AD240">IF(AE$231=-1,AE240,IF(AE$231=99,AA240,IF(AE$231=0,INDEX($E168:$M168,0,AE$229),(INDEX($E168:$M168,0,AE$231+1)-INDEX($E168:$M168,0,AE$231))/(INDEX($E$160:$M$160,0,AE$231+1)-INDEX($E$160:$M$160,0,AE$231))+AA240)))</f>
        <v>0.74651743435670892</v>
      </c>
      <c r="AE240" s="9" cm="1">
        <f t="array" ref="AE240">IF(AF$231=-1,AF240,IF(AF$231=99,AD240,IF(AF$231=0,INDEX($E168:$M168,0,AF$229),(INDEX($E168:$M168,0,AF$231+1)-INDEX($E168:$M168,0,AF$231))/(INDEX($E$160:$M$160,0,AF$231+1)-INDEX($E$160:$M$160,0,AF$231))+AD240)))</f>
        <v>0.7731751964186212</v>
      </c>
      <c r="AF240" s="9" cm="1">
        <f t="array" ref="AF240">IF(AG$231=-1,AG240,IF(AG$231=99,AE240,IF(AG$231=0,INDEX($E168:$M168,0,AG$229),(INDEX($E168:$M168,0,AG$231+1)-INDEX($E168:$M168,0,AG$231))/(INDEX($E$160:$M$160,0,AG$231+1)-INDEX($E$160:$M$160,0,AG$231))+AE240)))</f>
        <v>0.79983295848053348</v>
      </c>
      <c r="AG240" s="9" cm="1">
        <f t="array" ref="AG240">IF(AH$231=-1,AH240,IF(AH$231=99,AF240,IF(AH$231=0,INDEX($E168:$M168,0,AH$229),(INDEX($E168:$M168,0,AH$231+1)-INDEX($E168:$M168,0,AH$231))/(INDEX($E$160:$M$160,0,AH$231+1)-INDEX($E$160:$M$160,0,AH$231))+AF240)))</f>
        <v>0.82649072054244577</v>
      </c>
      <c r="AH240" s="9" cm="1">
        <f t="array" ref="AH240">IF(AI$231=-1,AI240,IF(AI$231=99,AG240,IF(AI$231=0,INDEX($E168:$M168,0,AI$229),(INDEX($E168:$M168,0,AI$231+1)-INDEX($E168:$M168,0,AI$231))/(INDEX($E$160:$M$160,0,AI$231+1)-INDEX($E$160:$M$160,0,AI$231))+AG240)))</f>
        <v>0.85314848260435805</v>
      </c>
      <c r="AI240" s="9" cm="1">
        <f t="array" ref="AI240">IF(AJ$231=-1,AJ240,IF(AJ$231=99,AH240,IF(AJ$231=0,INDEX($E168:$M168,0,AJ$229),(INDEX($E168:$M168,0,AJ$231+1)-INDEX($E168:$M168,0,AJ$231))/(INDEX($E$160:$M$160,0,AJ$231+1)-INDEX($E$160:$M$160,0,AJ$231))+AH240)))</f>
        <v>0.87980624466627033</v>
      </c>
      <c r="AJ240" s="9" cm="1">
        <f t="array" ref="AJ240">IF(AK$231=-1,AK240,IF(AK$231=99,AI240,IF(AK$231=0,INDEX($E168:$M168,0,AK$229),(INDEX($E168:$M168,0,AK$231+1)-INDEX($E168:$M168,0,AK$231))/(INDEX($E$160:$M$160,0,AK$231+1)-INDEX($E$160:$M$160,0,AK$231))+AI240)))</f>
        <v>0.87980624466627066</v>
      </c>
      <c r="AK240" s="9" cm="1">
        <f t="array" ref="AK240">IF(AL$231=-1,AL240,IF(AL$231=99,AJ240,IF(AL$231=0,INDEX($E168:$M168,0,AL$229),(INDEX($E168:$M168,0,AL$231+1)-INDEX($E168:$M168,0,AL$231))/(INDEX($E$160:$M$160,0,AL$231+1)-INDEX($E$160:$M$160,0,AL$231))+AJ240)))</f>
        <v>0.87980624466627066</v>
      </c>
      <c r="AL240" s="9" cm="1">
        <f t="array" ref="AL240">IF(AO$231=-1,AO240,IF(AO$231=99,AK240,IF(AO$231=0,INDEX($E168:$M168,0,AO$229),(INDEX($E168:$M168,0,AO$231+1)-INDEX($E168:$M168,0,AO$231))/(INDEX($E$160:$M$160,0,AO$231+1)-INDEX($E$160:$M$160,0,AO$231))+AK240)))</f>
        <v>0.87980624466627066</v>
      </c>
      <c r="AM240" s="9" cm="1">
        <f t="array" ref="AM240">IF(AO$231=-1,AO240,IF(AO$231=99,AK240,IF(AO$231=0,INDEX($E168:$M168,0,AO$229),(INDEX($E168:$M168,0,AO$231+1)-INDEX($E168:$M168,0,AO$231))/(INDEX($E$160:$M$160,0,AO$231+1)-INDEX($E$160:$M$160,0,AO$231))+AK240)))</f>
        <v>0.87980624466627066</v>
      </c>
      <c r="AN240" s="9" cm="1">
        <f t="array" ref="AN240">IF(AO$231=-1,AO240,IF(AO$231=99,AK240,IF(AO$231=0,INDEX($E168:$M168,0,AO$229),(INDEX($E168:$M168,0,AO$231+1)-INDEX($E168:$M168,0,AO$231))/(INDEX($E$160:$M$160,0,AO$231+1)-INDEX($E$160:$M$160,0,AO$231))+AK240)))</f>
        <v>0.87980624466627066</v>
      </c>
      <c r="AO240" s="9" cm="1">
        <f t="array" ref="AO240">IF(AP$231=-1,AP240,IF(AP$231=99,AL240,IF(AP$231=0,INDEX($E168:$M168,0,AP$229),(INDEX($E168:$M168,0,AP$231+1)-INDEX($E168:$M168,0,AP$231))/(INDEX($E$160:$M$160,0,AP$231+1)-INDEX($E$160:$M$160,0,AP$231))+AL240)))</f>
        <v>0.87980624466627066</v>
      </c>
      <c r="AP240" s="9" cm="1">
        <f t="array" ref="AP240">IF(AQ$231=-1,AQ240,IF(AQ$231=99,AO240,IF(AQ$231=0,INDEX($E168:$M168,0,AQ$229),(INDEX($E168:$M168,0,AQ$231+1)-INDEX($E168:$M168,0,AQ$231))/(INDEX($E$160:$M$160,0,AQ$231+1)-INDEX($E$160:$M$160,0,AQ$231))+AO240)))</f>
        <v>0.87980624466627066</v>
      </c>
      <c r="AQ240" s="9" cm="1">
        <f t="array" ref="AQ240">IF(AR$231=-1,AR240,IF(AR$231=99,AP240,IF(AR$231=0,INDEX($E168:$M168,0,AR$229),(INDEX($E168:$M168,0,AR$231+1)-INDEX($E168:$M168,0,AR$231))/(INDEX($E$160:$M$160,0,AR$231+1)-INDEX($E$160:$M$160,0,AR$231))+AP240)))</f>
        <v>0.87980624466627066</v>
      </c>
      <c r="AR240" s="9" cm="1">
        <f t="array" ref="AR240">IF(AS$231=-1,AS240,IF(AS$231=99,AQ240,IF(AS$231=0,INDEX($E168:$M168,0,AS$229),(INDEX($E168:$M168,0,AS$231+1)-INDEX($E168:$M168,0,AS$231))/(INDEX($E$160:$M$160,0,AS$231+1)-INDEX($E$160:$M$160,0,AS$231))+AQ240)))</f>
        <v>0.87980624466627066</v>
      </c>
      <c r="AS240" s="9" cm="1">
        <f t="array" ref="AS240">IF(AT$231=-1,AT240,IF(AT$231=99,AR240,IF(AT$231=0,INDEX($E168:$M168,0,AT$229),(INDEX($E168:$M168,0,AT$231+1)-INDEX($E168:$M168,0,AT$231))/(INDEX($E$160:$M$160,0,AT$231+1)-INDEX($E$160:$M$160,0,AT$231))+AR240)))</f>
        <v>0.87980624466627066</v>
      </c>
      <c r="AT240" s="9" cm="1">
        <f t="array" ref="AT240">IF(AV$231=-1,AV240,IF(AV$231=99,AS240,IF(AV$231=0,INDEX($E168:$M168,0,AV$229),(INDEX($E168:$M168,0,AV$231+1)-INDEX($E168:$M168,0,AV$231))/(INDEX($E$160:$M$160,0,AV$231+1)-INDEX($E$160:$M$160,0,AV$231))+AS240)))</f>
        <v>0.87980624466627066</v>
      </c>
      <c r="AU240" s="9" cm="1">
        <f t="array" ref="AU240">IF(AW$231=-1,AW240,IF(AW$231=99,AS240,IF(AW$231=0,INDEX($E168:$M168,0,AW$229),(INDEX($E168:$M168,0,AW$231+1)-INDEX($E168:$M168,0,AW$231))/(INDEX($E$160:$M$160,0,AW$231+1)-INDEX($E$160:$M$160,0,AW$231))+AS240)))</f>
        <v>0.87980624466627066</v>
      </c>
      <c r="AV240" s="9" cm="1">
        <f t="array" ref="AV240">IF(AX$231=-1,AX240,IF(AX$231=99,AT240,IF(AX$231=0,INDEX($E168:$M168,0,AX$229),(INDEX($E168:$M168,0,AX$231+1)-INDEX($E168:$M168,0,AX$231))/(INDEX($E$160:$M$160,0,AX$231+1)-INDEX($E$160:$M$160,0,AX$231))+AT240)))</f>
        <v>0.87980624466627066</v>
      </c>
      <c r="AW240" s="9" cm="1">
        <f t="array" ref="AW240">IF(AY$231=-1,AY240,IF(AY$231=99,AV240,IF(AY$231=0,INDEX($E168:$M168,0,AY$229),(INDEX($E168:$M168,0,AY$231+1)-INDEX($E168:$M168,0,AY$231))/(INDEX($E$160:$M$160,0,AY$231+1)-INDEX($E$160:$M$160,0,AY$231))+AV240)))</f>
        <v>0.87980624466627066</v>
      </c>
      <c r="AX240" s="9" cm="1">
        <f t="array" ref="AX240">IF(AY$231=-1,AY240,IF(AY$231=99,AV240,IF(AY$231=0,INDEX($E168:$M168,0,AY$229),(INDEX($E168:$M168,0,AY$231+1)-INDEX($E168:$M168,0,AY$231))/(INDEX($E$160:$M$160,0,AY$231+1)-INDEX($E$160:$M$160,0,AY$231))+AV240)))</f>
        <v>0.87980624466627066</v>
      </c>
      <c r="AY240" s="9" cm="1">
        <f t="array" ref="AY240">IF(AZ$231=-1,AZ240,IF(AZ$231=99,AX240,IF(AZ$231=0,INDEX($E168:$M168,0,AZ$229),(INDEX($E168:$M168,0,AZ$231+1)-INDEX($E168:$M168,0,AZ$231))/(INDEX($E$160:$M$160,0,AZ$231+1)-INDEX($E$160:$M$160,0,AZ$231))+AX240)))</f>
        <v>0.87980624466627066</v>
      </c>
      <c r="AZ240" s="9" cm="1">
        <f t="array" ref="AZ240">IF(BA$231=-1,BA240,IF(BA$231=99,AY240,IF(BA$231=0,INDEX($E168:$M168,0,BA$229),(INDEX($E168:$M168,0,BA$231+1)-INDEX($E168:$M168,0,BA$231))/(INDEX($E$160:$M$160,0,BA$231+1)-INDEX($E$160:$M$160,0,BA$231))+AY240)))</f>
        <v>0.87980624466627066</v>
      </c>
      <c r="BA240" s="9" cm="1">
        <f t="array" ref="BA240">IF(BB$231=-1,BB240,IF(BB$231=99,AZ240,IF(BB$231=0,INDEX($E168:$M168,0,BB$229),(INDEX($E168:$M168,0,BB$231+1)-INDEX($E168:$M168,0,BB$231))/(INDEX($E$160:$M$160,0,BB$231+1)-INDEX($E$160:$M$160,0,BB$231))+AZ240)))</f>
        <v>0.87980624466627066</v>
      </c>
      <c r="BB240" s="9" cm="1">
        <f t="array" ref="BB240">IF(BC$231=-1,BC240,IF(BC$231=99,BA240,IF(BC$231=0,INDEX($E168:$M168,0,BC$229),(INDEX($E168:$M168,0,BC$231+1)-INDEX($E168:$M168,0,BC$231))/(INDEX($E$160:$M$160,0,BC$231+1)-INDEX($E$160:$M$160,0,BC$231))+BA240)))</f>
        <v>0.87980624466627066</v>
      </c>
      <c r="BC240" s="9" cm="1">
        <f t="array" ref="BC240">IF(BD$231=-1,BD240,IF(BD$231=99,BB240,IF(BD$231=0,INDEX($E168:$M168,0,BD$229),(INDEX($E168:$M168,0,BD$231+1)-INDEX($E168:$M168,0,BD$231))/(INDEX($E$160:$M$160,0,BD$231+1)-INDEX($E$160:$M$160,0,BD$231))+BB240)))</f>
        <v>0.87980624466627066</v>
      </c>
      <c r="BD240" s="9" cm="1">
        <f t="array" ref="BD240">IF(BE$231=-1,BE240,IF(BE$231=99,BC240,IF(BE$231=0,INDEX($E168:$M168,0,BE$229),(INDEX($E168:$M168,0,BE$231+1)-INDEX($E168:$M168,0,BE$231))/(INDEX($E$160:$M$160,0,BE$231+1)-INDEX($E$160:$M$160,0,BE$231))+BC240)))</f>
        <v>0.87980624466627066</v>
      </c>
      <c r="BE240" s="9" cm="1">
        <f t="array" ref="BE240">IF(BF$231=-1,BF240,IF(BF$231=99,BD240,IF(BF$231=0,INDEX($E168:$M168,0,BF$229),(INDEX($E168:$M168,0,BF$231+1)-INDEX($E168:$M168,0,BF$231))/(INDEX($E$160:$M$160,0,BF$231+1)-INDEX($E$160:$M$160,0,BF$231))+BD240)))</f>
        <v>0.87980624466627066</v>
      </c>
      <c r="BF240" s="9" cm="1">
        <f t="array" ref="BF240">IF(BG$231=-1,BG240,IF(BG$231=99,BE240,IF(BG$231=0,INDEX($E168:$M168,0,BG$229),(INDEX($E168:$M168,0,BG$231+1)-INDEX($E168:$M168,0,BG$231))/(INDEX($E$160:$M$160,0,BG$231+1)-INDEX($E$160:$M$160,0,BG$231))+BE240)))</f>
        <v>0.87980624466627066</v>
      </c>
      <c r="BG240" s="9" cm="1">
        <f t="array" ref="BG240">IF(BH$231=-1,BH240,IF(BH$231=99,BF240,IF(BH$231=0,INDEX($E168:$M168,0,BH$229),(INDEX($E168:$M168,0,BH$231+1)-INDEX($E168:$M168,0,BH$231))/(INDEX($E$160:$M$160,0,BH$231+1)-INDEX($E$160:$M$160,0,BH$231))+BF240)))</f>
        <v>0.87980624466627066</v>
      </c>
      <c r="BH240" s="9" cm="1">
        <f t="array" ref="BH240">IF(BI$231=-1,BI240,IF(BI$231=99,BG240,IF(BI$231=0,INDEX($E168:$M168,0,BI$229),(INDEX($E168:$M168,0,BI$231+1)-INDEX($E168:$M168,0,BI$231))/(INDEX($E$160:$M$160,0,BI$231+1)-INDEX($E$160:$M$160,0,BI$231))+BG240)))</f>
        <v>0.87980624466627066</v>
      </c>
      <c r="BI240" s="9" cm="1">
        <f t="array" ref="BI240">IF(BJ$231=-1,BJ240,IF(BJ$231=99,BH240,IF(BJ$231=0,INDEX($E168:$M168,0,BJ$229),(INDEX($E168:$M168,0,BJ$231+1)-INDEX($E168:$M168,0,BJ$231))/(INDEX($E$160:$M$160,0,BJ$231+1)-INDEX($E$160:$M$160,0,BJ$231))+BH240)))</f>
        <v>0.87980624466627066</v>
      </c>
      <c r="BJ240" s="9" cm="1">
        <f t="array" ref="BJ240">IF(BK$231=-1,BL240,IF(BK$231=99,BI240,IF(BK$231=0,INDEX($E168:$M168,0,BK$229),(INDEX($E168:$M168,0,BK$231+1)-INDEX($E168:$M168,0,BK$231))/(INDEX($E$160:$M$160,0,BK$231+1)-INDEX($E$160:$M$160,0,BK$231))+BI240)))</f>
        <v>0.87980624466627066</v>
      </c>
      <c r="BL240" s="9"/>
      <c r="BM240" s="9"/>
      <c r="BN240" s="9"/>
      <c r="BO240" s="9"/>
      <c r="BP240" s="9"/>
      <c r="BQ240" s="9"/>
    </row>
    <row r="241" spans="6:62" ht="15">
      <c r="F241" s="20"/>
      <c r="G241" s="21"/>
      <c r="I241" s="21"/>
      <c r="J241" s="21"/>
      <c r="K241" s="21"/>
      <c r="L241" s="21"/>
      <c r="M241" s="21"/>
      <c r="N241" s="21"/>
      <c r="O241" s="48"/>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row>
    <row r="242" spans="6:62" ht="15">
      <c r="F242" s="20"/>
      <c r="G242" s="21"/>
      <c r="I242" s="21"/>
      <c r="J242" s="21"/>
      <c r="K242" s="21"/>
      <c r="L242" s="21"/>
      <c r="M242" s="21"/>
      <c r="N242" s="21"/>
      <c r="O242" s="48"/>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row>
    <row r="243" spans="6:62" ht="15">
      <c r="F243" s="20"/>
      <c r="G243" s="21"/>
      <c r="I243" s="21"/>
      <c r="J243" s="21"/>
      <c r="K243" s="21"/>
      <c r="L243" s="21"/>
      <c r="M243" s="21"/>
      <c r="N243" s="21"/>
      <c r="O243" s="48"/>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row>
    <row r="244" spans="6:62" ht="15">
      <c r="F244" s="20"/>
      <c r="G244" s="21"/>
      <c r="I244" s="21"/>
      <c r="J244" s="21"/>
      <c r="K244" s="21"/>
      <c r="L244" s="21"/>
      <c r="M244" s="21"/>
      <c r="N244" s="21"/>
      <c r="O244" s="48"/>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row>
    <row r="245" spans="6:62" ht="15">
      <c r="F245" s="20"/>
      <c r="G245" s="21"/>
      <c r="I245" s="21"/>
      <c r="J245" s="21"/>
      <c r="K245" s="21"/>
      <c r="L245" s="21"/>
      <c r="M245" s="21"/>
      <c r="N245" s="21"/>
      <c r="O245" s="48"/>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row>
    <row r="246" spans="6:62" ht="15">
      <c r="F246" s="20"/>
      <c r="G246" s="21"/>
      <c r="I246" s="21"/>
      <c r="J246" s="21"/>
      <c r="K246" s="21"/>
      <c r="L246" s="21"/>
      <c r="M246" s="21"/>
      <c r="N246" s="21"/>
      <c r="O246" s="48"/>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row>
    <row r="247" spans="6:62" ht="15">
      <c r="F247" s="20"/>
      <c r="G247" s="21"/>
      <c r="I247" s="21"/>
      <c r="J247" s="21"/>
      <c r="K247" s="21"/>
      <c r="L247" s="21"/>
      <c r="M247" s="21"/>
      <c r="N247" s="21"/>
      <c r="O247" s="48"/>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row>
    <row r="248" spans="5:19" ht="15">
      <c r="E248" t="s">
        <v>16</v>
      </c>
      <c r="J248"/>
      <c r="Q248" s="36"/>
      <c r="R248" s="36"/>
      <c r="S248" s="36"/>
    </row>
    <row r="249" spans="5:70" ht="15">
      <c r="E249" t="s">
        <v>16</v>
      </c>
      <c r="G249">
        <f>G228</f>
        <v>1</v>
      </c>
      <c r="H249">
        <v>2012</v>
      </c>
      <c r="I249" t="e">
        <f>I228</f>
        <v>#REF!</v>
      </c>
      <c r="J249">
        <v>2017</v>
      </c>
      <c r="K249">
        <f>K228</f>
        <v>2020</v>
      </c>
      <c r="L249">
        <f>L228</f>
        <v>2030</v>
      </c>
      <c r="M249">
        <f t="shared" si="546" ref="M249:N249">M228</f>
        <v>2040</v>
      </c>
      <c r="N249">
        <f t="shared" si="546"/>
        <v>0</v>
      </c>
      <c r="O249">
        <f>N228</f>
        <v>0</v>
      </c>
      <c r="P249" s="101" t="e">
        <f>MATCH(N$259,$H$249:$O$249,$G249)</f>
        <v>#N/A</v>
      </c>
      <c r="Q249" s="102" t="e">
        <f>MATCH(N$232,$H$228:$N$228,$G249)</f>
        <v>#N/A</v>
      </c>
      <c r="R249" s="102" t="e">
        <f t="shared" si="547" ref="R249:T250">MATCH(N$232,$H$228:$N$228,$G249)</f>
        <v>#N/A</v>
      </c>
      <c r="S249" s="102" t="e">
        <f t="shared" si="547"/>
        <v>#N/A</v>
      </c>
      <c r="T249" s="102" t="e">
        <f t="shared" si="547"/>
        <v>#N/A</v>
      </c>
      <c r="U249" s="102" t="e">
        <f t="shared" si="548" ref="U249:AA250">MATCH(S$232,$H$228:$N$228,$G249)</f>
        <v>#N/A</v>
      </c>
      <c r="V249" s="102" t="e">
        <f t="shared" si="548"/>
        <v>#N/A</v>
      </c>
      <c r="W249" s="102">
        <f t="shared" si="548"/>
        <v>3</v>
      </c>
      <c r="X249" s="102">
        <f t="shared" si="548"/>
        <v>3</v>
      </c>
      <c r="Y249" s="102">
        <f t="shared" si="548"/>
        <v>3</v>
      </c>
      <c r="Z249" s="102">
        <f t="shared" si="548"/>
        <v>4</v>
      </c>
      <c r="AA249" s="102">
        <f t="shared" si="548"/>
        <v>4</v>
      </c>
      <c r="AB249" s="102">
        <f>MATCH(Y$232,$H$228:$N$228,$G249)</f>
        <v>4</v>
      </c>
      <c r="AC249" s="102">
        <f t="shared" si="549" ref="AC249:AE250">MATCH(Y$232,$H$228:$N$228,$G249)</f>
        <v>4</v>
      </c>
      <c r="AD249" s="102">
        <f t="shared" si="549"/>
        <v>4</v>
      </c>
      <c r="AE249" s="102">
        <f t="shared" si="549"/>
        <v>4</v>
      </c>
      <c r="AF249" s="102">
        <f t="shared" si="550" ref="AF249:AL250">MATCH(AD$232,$H$228:$N$228,$G249)</f>
        <v>4</v>
      </c>
      <c r="AG249" s="102">
        <f t="shared" si="550"/>
        <v>4</v>
      </c>
      <c r="AH249" s="102">
        <f t="shared" si="550"/>
        <v>4</v>
      </c>
      <c r="AI249" s="102">
        <f t="shared" si="550"/>
        <v>4</v>
      </c>
      <c r="AJ249" s="102">
        <f t="shared" si="550"/>
        <v>4</v>
      </c>
      <c r="AK249" s="102">
        <f t="shared" si="550"/>
        <v>4</v>
      </c>
      <c r="AL249" s="102">
        <f t="shared" si="550"/>
        <v>5</v>
      </c>
      <c r="AM249" s="102">
        <f>MATCH(AJ$232,$H$228:$N$228,$G249)</f>
        <v>5</v>
      </c>
      <c r="AN249" s="102">
        <f t="shared" si="551" ref="AN249:AP250">MATCH(AJ$232,$H$228:$N$228,$G249)</f>
        <v>5</v>
      </c>
      <c r="AO249" s="102">
        <f t="shared" si="551"/>
        <v>5</v>
      </c>
      <c r="AP249" s="102">
        <f t="shared" si="551"/>
        <v>5</v>
      </c>
      <c r="AQ249" s="102">
        <f t="shared" si="552" ref="AQ249:BB250">MATCH(AO$232,$H$228:$N$228,$G249)</f>
        <v>5</v>
      </c>
      <c r="AR249" s="102">
        <f t="shared" si="552"/>
        <v>5</v>
      </c>
      <c r="AS249" s="102">
        <f t="shared" si="552"/>
        <v>5</v>
      </c>
      <c r="AT249" s="102">
        <f t="shared" si="552"/>
        <v>5</v>
      </c>
      <c r="AU249" s="102">
        <f t="shared" si="553" ref="AU249:AW250">MATCH(AR$232,$H$228:$N$228,$G249)</f>
        <v>5</v>
      </c>
      <c r="AV249" s="102">
        <f t="shared" si="553"/>
        <v>5</v>
      </c>
      <c r="AW249" s="102">
        <f t="shared" si="553"/>
        <v>5</v>
      </c>
      <c r="AX249" s="102">
        <f>MATCH(AT$232,$H$228:$N$228,$G249)</f>
        <v>5</v>
      </c>
      <c r="AY249" s="102">
        <f>MATCH(AV$232,$H$228:$N$228,$G249)</f>
        <v>5</v>
      </c>
      <c r="AZ249" s="102">
        <f t="shared" si="552"/>
        <v>6</v>
      </c>
      <c r="BA249" s="102">
        <f t="shared" si="552"/>
        <v>6</v>
      </c>
      <c r="BB249" s="102">
        <f t="shared" si="552"/>
        <v>6</v>
      </c>
      <c r="BC249" s="102">
        <f t="shared" si="554" ref="BC249:BD250">MATCH(BA$232,$H$228:$N$228,$G249)</f>
        <v>6</v>
      </c>
      <c r="BD249" s="102">
        <f t="shared" si="554"/>
        <v>6</v>
      </c>
      <c r="BE249" s="102">
        <f t="shared" si="555" ref="BE249:BR250">MATCH(BC$259,$H$228:$N$228,$G249)</f>
        <v>6</v>
      </c>
      <c r="BF249" s="102">
        <f t="shared" si="555"/>
        <v>6</v>
      </c>
      <c r="BG249" s="102">
        <f t="shared" si="555"/>
        <v>6</v>
      </c>
      <c r="BH249" s="102">
        <f t="shared" si="555"/>
        <v>6</v>
      </c>
      <c r="BI249" s="102">
        <f t="shared" si="555"/>
        <v>6</v>
      </c>
      <c r="BJ249" s="102">
        <f t="shared" si="555"/>
        <v>6</v>
      </c>
      <c r="BK249" s="102">
        <f t="shared" si="555"/>
        <v>6</v>
      </c>
      <c r="BL249" s="102">
        <f t="shared" si="555"/>
        <v>6</v>
      </c>
      <c r="BM249" s="102">
        <f t="shared" si="555"/>
        <v>6</v>
      </c>
      <c r="BN249" s="102">
        <f t="shared" si="555"/>
        <v>6</v>
      </c>
      <c r="BO249" s="102">
        <f t="shared" si="555"/>
        <v>6</v>
      </c>
      <c r="BP249" s="102">
        <f t="shared" si="555"/>
        <v>6</v>
      </c>
      <c r="BQ249" s="102">
        <f t="shared" si="555"/>
        <v>6</v>
      </c>
      <c r="BR249" s="102">
        <f t="shared" si="555"/>
        <v>6</v>
      </c>
    </row>
    <row r="250" spans="5:70" ht="15">
      <c r="E250" t="s">
        <v>16</v>
      </c>
      <c r="G250">
        <f>G229</f>
        <v>0</v>
      </c>
      <c r="H250">
        <f t="shared" si="556" ref="H250:N251">H229</f>
        <v>2030</v>
      </c>
      <c r="I250">
        <f t="shared" si="556"/>
        <v>2020</v>
      </c>
      <c r="J250">
        <f t="shared" si="556"/>
        <v>2017</v>
      </c>
      <c r="K250" t="e">
        <f t="shared" si="556"/>
        <v>#REF!</v>
      </c>
      <c r="L250">
        <f t="shared" si="556"/>
        <v>2006</v>
      </c>
      <c r="M250">
        <f t="shared" si="556"/>
        <v>2006</v>
      </c>
      <c r="N250" t="e">
        <f t="shared" si="556"/>
        <v>#REF!</v>
      </c>
      <c r="O250">
        <v>2012</v>
      </c>
      <c r="P250" s="36">
        <f>MATCH(N$259,$H$249:$O$249,$G250)</f>
        <v>7</v>
      </c>
      <c r="Q250" t="e">
        <f>MATCH(N$232,$H$228:$N$228,$G250)</f>
        <v>#N/A</v>
      </c>
      <c r="R250" t="e">
        <f t="shared" si="547"/>
        <v>#N/A</v>
      </c>
      <c r="S250" t="e">
        <f t="shared" si="547"/>
        <v>#N/A</v>
      </c>
      <c r="T250" t="e">
        <f t="shared" si="547"/>
        <v>#N/A</v>
      </c>
      <c r="U250" t="e">
        <f t="shared" si="548"/>
        <v>#N/A</v>
      </c>
      <c r="V250" t="e">
        <f t="shared" si="548"/>
        <v>#N/A</v>
      </c>
      <c r="W250">
        <f t="shared" si="548"/>
        <v>3</v>
      </c>
      <c r="X250" t="e">
        <f t="shared" si="548"/>
        <v>#N/A</v>
      </c>
      <c r="Y250" t="e">
        <f t="shared" si="548"/>
        <v>#N/A</v>
      </c>
      <c r="Z250">
        <f t="shared" si="548"/>
        <v>4</v>
      </c>
      <c r="AA250" t="e">
        <f t="shared" si="548"/>
        <v>#N/A</v>
      </c>
      <c r="AB250" t="e">
        <f>MATCH(Y$232,$H$228:$N$228,$G250)</f>
        <v>#N/A</v>
      </c>
      <c r="AC250" t="e">
        <f t="shared" si="549"/>
        <v>#N/A</v>
      </c>
      <c r="AD250" t="e">
        <f t="shared" si="549"/>
        <v>#N/A</v>
      </c>
      <c r="AE250" t="e">
        <f t="shared" si="549"/>
        <v>#N/A</v>
      </c>
      <c r="AF250" t="e">
        <f t="shared" si="550"/>
        <v>#N/A</v>
      </c>
      <c r="AG250" t="e">
        <f t="shared" si="550"/>
        <v>#N/A</v>
      </c>
      <c r="AH250" t="e">
        <f t="shared" si="550"/>
        <v>#N/A</v>
      </c>
      <c r="AI250" t="e">
        <f t="shared" si="550"/>
        <v>#N/A</v>
      </c>
      <c r="AJ250" t="e">
        <f t="shared" si="550"/>
        <v>#N/A</v>
      </c>
      <c r="AK250" t="e">
        <f t="shared" si="550"/>
        <v>#N/A</v>
      </c>
      <c r="AL250">
        <f t="shared" si="550"/>
        <v>5</v>
      </c>
      <c r="AM250">
        <f>MATCH(AJ$232,$H$228:$N$228,$G250)</f>
        <v>5</v>
      </c>
      <c r="AN250">
        <f t="shared" si="551"/>
        <v>5</v>
      </c>
      <c r="AO250" t="e">
        <f t="shared" si="551"/>
        <v>#N/A</v>
      </c>
      <c r="AP250" t="e">
        <f t="shared" si="551"/>
        <v>#N/A</v>
      </c>
      <c r="AQ250" t="e">
        <f t="shared" si="552"/>
        <v>#N/A</v>
      </c>
      <c r="AR250" t="e">
        <f t="shared" si="552"/>
        <v>#N/A</v>
      </c>
      <c r="AS250" t="e">
        <f t="shared" si="552"/>
        <v>#N/A</v>
      </c>
      <c r="AT250" t="e">
        <f t="shared" si="552"/>
        <v>#N/A</v>
      </c>
      <c r="AU250" t="e">
        <f t="shared" si="553"/>
        <v>#N/A</v>
      </c>
      <c r="AV250" t="e">
        <f t="shared" si="553"/>
        <v>#N/A</v>
      </c>
      <c r="AW250" t="e">
        <f t="shared" si="553"/>
        <v>#N/A</v>
      </c>
      <c r="AX250" t="e">
        <f>MATCH(AT$232,$H$228:$N$228,$G250)</f>
        <v>#N/A</v>
      </c>
      <c r="AY250" t="e">
        <f>MATCH(AV$232,$H$228:$N$228,$G250)</f>
        <v>#N/A</v>
      </c>
      <c r="AZ250">
        <f t="shared" si="552"/>
        <v>6</v>
      </c>
      <c r="BA250" t="e">
        <f t="shared" si="552"/>
        <v>#N/A</v>
      </c>
      <c r="BB250" t="e">
        <f t="shared" si="552"/>
        <v>#N/A</v>
      </c>
      <c r="BC250" t="e">
        <f t="shared" si="554"/>
        <v>#N/A</v>
      </c>
      <c r="BD250" t="e">
        <f t="shared" si="554"/>
        <v>#N/A</v>
      </c>
      <c r="BE250" t="e">
        <f t="shared" si="555"/>
        <v>#N/A</v>
      </c>
      <c r="BF250" t="e">
        <f t="shared" si="555"/>
        <v>#N/A</v>
      </c>
      <c r="BG250" t="e">
        <f t="shared" si="555"/>
        <v>#N/A</v>
      </c>
      <c r="BH250" t="e">
        <f t="shared" si="555"/>
        <v>#N/A</v>
      </c>
      <c r="BI250" t="e">
        <f t="shared" si="555"/>
        <v>#N/A</v>
      </c>
      <c r="BJ250" t="e">
        <f t="shared" si="555"/>
        <v>#N/A</v>
      </c>
      <c r="BK250" t="e">
        <f t="shared" si="555"/>
        <v>#N/A</v>
      </c>
      <c r="BL250" t="e">
        <f t="shared" si="555"/>
        <v>#N/A</v>
      </c>
      <c r="BM250" t="e">
        <f t="shared" si="555"/>
        <v>#N/A</v>
      </c>
      <c r="BN250" t="e">
        <f t="shared" si="555"/>
        <v>#N/A</v>
      </c>
      <c r="BO250" t="e">
        <f t="shared" si="555"/>
        <v>#N/A</v>
      </c>
      <c r="BP250" t="e">
        <f t="shared" si="555"/>
        <v>#N/A</v>
      </c>
      <c r="BQ250" t="e">
        <f t="shared" si="555"/>
        <v>#N/A</v>
      </c>
      <c r="BR250" t="e">
        <f t="shared" si="555"/>
        <v>#N/A</v>
      </c>
    </row>
    <row r="251" spans="5:70" ht="15">
      <c r="E251" t="s">
        <v>16</v>
      </c>
      <c r="G251">
        <f>G230</f>
        <v>-1</v>
      </c>
      <c r="H251">
        <f t="shared" si="556"/>
        <v>0</v>
      </c>
      <c r="I251">
        <f t="shared" si="556"/>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si="557" ref="U251:BD251">MATCH(S$232,$H$229:$N$229,$G251)</f>
        <v>6</v>
      </c>
      <c r="V251">
        <f t="shared" si="557"/>
        <v>6</v>
      </c>
      <c r="W251">
        <f t="shared" si="557"/>
        <v>3</v>
      </c>
      <c r="X251">
        <f t="shared" si="557"/>
        <v>2</v>
      </c>
      <c r="Y251">
        <f t="shared" si="557"/>
        <v>2</v>
      </c>
      <c r="Z251">
        <f t="shared" si="557"/>
        <v>2</v>
      </c>
      <c r="AA251">
        <f t="shared" si="557"/>
        <v>1</v>
      </c>
      <c r="AB251">
        <f>MATCH(Y$232,$H$229:$N$229,$G251)</f>
        <v>1</v>
      </c>
      <c r="AC251">
        <f>MATCH(Y$232,$H$229:$N$229,$G251)</f>
        <v>1</v>
      </c>
      <c r="AD251">
        <f>MATCH(Z$232,$H$229:$N$229,$G251)</f>
        <v>1</v>
      </c>
      <c r="AE251">
        <f>MATCH(AA$232,$H$229:$N$229,$G251)</f>
        <v>1</v>
      </c>
      <c r="AF251">
        <f t="shared" si="557"/>
        <v>1</v>
      </c>
      <c r="AG251">
        <f t="shared" si="557"/>
        <v>1</v>
      </c>
      <c r="AH251">
        <f t="shared" si="557"/>
        <v>1</v>
      </c>
      <c r="AI251">
        <f t="shared" si="557"/>
        <v>1</v>
      </c>
      <c r="AJ251">
        <f t="shared" si="557"/>
        <v>1</v>
      </c>
      <c r="AK251">
        <f t="shared" si="557"/>
        <v>1</v>
      </c>
      <c r="AL251">
        <f t="shared" si="557"/>
        <v>1</v>
      </c>
      <c r="AM251">
        <f>MATCH(AJ$232,$H$229:$N$229,$G251)</f>
        <v>1</v>
      </c>
      <c r="AN251">
        <f>MATCH(AJ$232,$H$229:$N$229,$G251)</f>
        <v>1</v>
      </c>
      <c r="AO251" t="e">
        <f>MATCH(AK$232,$H$229:$N$229,$G251)</f>
        <v>#N/A</v>
      </c>
      <c r="AP251" t="e">
        <f>MATCH(AL$232,$H$229:$N$229,$G251)</f>
        <v>#N/A</v>
      </c>
      <c r="AQ251" t="e">
        <f t="shared" si="557"/>
        <v>#N/A</v>
      </c>
      <c r="AR251" t="e">
        <f t="shared" si="557"/>
        <v>#N/A</v>
      </c>
      <c r="AS251" t="e">
        <f t="shared" si="557"/>
        <v>#N/A</v>
      </c>
      <c r="AT251" t="e">
        <f t="shared" si="557"/>
        <v>#N/A</v>
      </c>
      <c r="AU251" t="e">
        <f>MATCH(AR$232,$H$229:$N$229,$G251)</f>
        <v>#N/A</v>
      </c>
      <c r="AV251" t="e">
        <f>MATCH(AS$232,$H$229:$N$229,$G251)</f>
        <v>#N/A</v>
      </c>
      <c r="AW251" t="e">
        <f>MATCH(AT$232,$H$229:$N$229,$G251)</f>
        <v>#N/A</v>
      </c>
      <c r="AX251" t="e">
        <f>MATCH(AT$232,$H$229:$N$229,$G251)</f>
        <v>#N/A</v>
      </c>
      <c r="AY251" t="e">
        <f>MATCH(AV$232,$H$229:$N$229,$G251)</f>
        <v>#N/A</v>
      </c>
      <c r="AZ251" t="e">
        <f t="shared" si="557"/>
        <v>#N/A</v>
      </c>
      <c r="BA251" t="e">
        <f t="shared" si="557"/>
        <v>#N/A</v>
      </c>
      <c r="BB251" t="e">
        <f t="shared" si="557"/>
        <v>#N/A</v>
      </c>
      <c r="BC251" t="e">
        <f t="shared" si="557"/>
        <v>#N/A</v>
      </c>
      <c r="BD251" t="e">
        <f t="shared" si="557"/>
        <v>#N/A</v>
      </c>
      <c r="BE251" t="e">
        <f t="shared" si="558" ref="BE251:BR251">MATCH(BC$259,$H$229:$N$229,$G251)</f>
        <v>#N/A</v>
      </c>
      <c r="BF251" t="e">
        <f t="shared" si="558"/>
        <v>#N/A</v>
      </c>
      <c r="BG251" t="e">
        <f t="shared" si="558"/>
        <v>#N/A</v>
      </c>
      <c r="BH251" t="e">
        <f t="shared" si="558"/>
        <v>#N/A</v>
      </c>
      <c r="BI251" t="e">
        <f t="shared" si="558"/>
        <v>#N/A</v>
      </c>
      <c r="BJ251" t="e">
        <f t="shared" si="558"/>
        <v>#N/A</v>
      </c>
      <c r="BK251" t="e">
        <f t="shared" si="558"/>
        <v>#N/A</v>
      </c>
      <c r="BL251" t="e">
        <f t="shared" si="558"/>
        <v>#N/A</v>
      </c>
      <c r="BM251" t="e">
        <f t="shared" si="558"/>
        <v>#N/A</v>
      </c>
      <c r="BN251" t="e">
        <f t="shared" si="558"/>
        <v>#N/A</v>
      </c>
      <c r="BO251" t="e">
        <f t="shared" si="558"/>
        <v>#N/A</v>
      </c>
      <c r="BP251" t="e">
        <f t="shared" si="558"/>
        <v>#N/A</v>
      </c>
      <c r="BQ251" t="e">
        <f t="shared" si="558"/>
        <v>#N/A</v>
      </c>
      <c r="BR251" t="e">
        <f t="shared" si="558"/>
        <v>#N/A</v>
      </c>
    </row>
    <row r="252" spans="5:70" ht="15">
      <c r="E252" t="s">
        <v>16</v>
      </c>
      <c r="J252"/>
      <c r="P252" s="71">
        <f>IF(ISNA(P249),-1,IF(ISNA(P251),99,IF(ISNA(P250),P249,0)))</f>
        <v>-1</v>
      </c>
      <c r="Q252" s="71">
        <f>IF(ISNA(Q249),-1,IF(ISNA(Q251),99,IF(ISNA(Q250),Q249,0)))</f>
        <v>-1</v>
      </c>
      <c r="R252" s="71">
        <f>IF(ISNA(R249),-1,IF(ISNA(R251),99,IF(ISNA(R250),R249,0)))</f>
        <v>-1</v>
      </c>
      <c r="S252" s="71">
        <f>IF(ISNA(S249),-1,IF(ISNA(S251),99,IF(ISNA(S250),S249,0)))</f>
        <v>-1</v>
      </c>
      <c r="T252" s="71">
        <f t="shared" si="559" ref="T252:BR252">IF(ISNA(T249),-1,IF(ISNA(T251),99,IF(ISNA(T250),T249,0)))</f>
        <v>-1</v>
      </c>
      <c r="U252" s="71">
        <f t="shared" si="559"/>
        <v>-1</v>
      </c>
      <c r="V252" s="71">
        <f t="shared" si="559"/>
        <v>-1</v>
      </c>
      <c r="W252" s="71">
        <f t="shared" si="559"/>
        <v>0</v>
      </c>
      <c r="X252" s="71">
        <f t="shared" si="559"/>
        <v>3</v>
      </c>
      <c r="Y252" s="71">
        <f t="shared" si="559"/>
        <v>3</v>
      </c>
      <c r="Z252" s="71">
        <f t="shared" si="559"/>
        <v>0</v>
      </c>
      <c r="AA252" s="71">
        <f t="shared" si="559"/>
        <v>4</v>
      </c>
      <c r="AB252" s="71">
        <f t="shared" si="560" ref="AB252:AC252">IF(ISNA(AB249),-1,IF(ISNA(AB251),99,IF(ISNA(AB250),AB249,0)))</f>
        <v>4</v>
      </c>
      <c r="AC252" s="71">
        <f t="shared" si="560"/>
        <v>4</v>
      </c>
      <c r="AD252" s="71">
        <f t="shared" si="559"/>
        <v>4</v>
      </c>
      <c r="AE252" s="71">
        <f t="shared" si="559"/>
        <v>4</v>
      </c>
      <c r="AF252" s="71">
        <f t="shared" si="559"/>
        <v>4</v>
      </c>
      <c r="AG252" s="71">
        <f t="shared" si="559"/>
        <v>4</v>
      </c>
      <c r="AH252" s="71">
        <f t="shared" si="559"/>
        <v>4</v>
      </c>
      <c r="AI252" s="71">
        <f t="shared" si="559"/>
        <v>4</v>
      </c>
      <c r="AJ252" s="71">
        <f t="shared" si="559"/>
        <v>4</v>
      </c>
      <c r="AK252" s="71">
        <f t="shared" si="559"/>
        <v>4</v>
      </c>
      <c r="AL252" s="71">
        <f t="shared" si="559"/>
        <v>0</v>
      </c>
      <c r="AM252" s="71">
        <f t="shared" si="561" ref="AM252:AN252">IF(ISNA(AM249),-1,IF(ISNA(AM251),99,IF(ISNA(AM250),AM249,0)))</f>
        <v>0</v>
      </c>
      <c r="AN252" s="71">
        <f t="shared" si="561"/>
        <v>0</v>
      </c>
      <c r="AO252" s="71">
        <f t="shared" si="559"/>
        <v>99</v>
      </c>
      <c r="AP252" s="71">
        <f t="shared" si="559"/>
        <v>99</v>
      </c>
      <c r="AQ252" s="71">
        <f t="shared" si="559"/>
        <v>99</v>
      </c>
      <c r="AR252" s="71">
        <f t="shared" si="559"/>
        <v>99</v>
      </c>
      <c r="AS252" s="71">
        <f t="shared" si="559"/>
        <v>99</v>
      </c>
      <c r="AT252" s="71">
        <f t="shared" si="559"/>
        <v>99</v>
      </c>
      <c r="AU252" s="71">
        <f t="shared" si="562" ref="AU252">IF(ISNA(AU249),-1,IF(ISNA(AU251),99,IF(ISNA(AU250),AU249,0)))</f>
        <v>99</v>
      </c>
      <c r="AV252" s="71">
        <f t="shared" si="559"/>
        <v>99</v>
      </c>
      <c r="AW252" s="71">
        <f t="shared" si="563" ref="AW252">IF(ISNA(AW249),-1,IF(ISNA(AW251),99,IF(ISNA(AW250),AW249,0)))</f>
        <v>99</v>
      </c>
      <c r="AX252" s="71">
        <f t="shared" si="559"/>
        <v>99</v>
      </c>
      <c r="AY252" s="71">
        <f t="shared" si="559"/>
        <v>99</v>
      </c>
      <c r="AZ252" s="71">
        <f t="shared" si="559"/>
        <v>99</v>
      </c>
      <c r="BA252" s="71">
        <f t="shared" si="559"/>
        <v>99</v>
      </c>
      <c r="BB252" s="71">
        <f t="shared" si="559"/>
        <v>99</v>
      </c>
      <c r="BC252" s="71">
        <f t="shared" si="559"/>
        <v>99</v>
      </c>
      <c r="BD252" s="71">
        <f t="shared" si="559"/>
        <v>99</v>
      </c>
      <c r="BE252" s="71">
        <f t="shared" si="559"/>
        <v>99</v>
      </c>
      <c r="BF252" s="71">
        <f t="shared" si="559"/>
        <v>99</v>
      </c>
      <c r="BG252" s="71">
        <f t="shared" si="559"/>
        <v>99</v>
      </c>
      <c r="BH252" s="71">
        <f t="shared" si="559"/>
        <v>99</v>
      </c>
      <c r="BI252" s="71">
        <f t="shared" si="559"/>
        <v>99</v>
      </c>
      <c r="BJ252" s="71">
        <f t="shared" si="559"/>
        <v>99</v>
      </c>
      <c r="BK252" s="71">
        <f t="shared" si="559"/>
        <v>99</v>
      </c>
      <c r="BL252" s="71">
        <f t="shared" si="559"/>
        <v>99</v>
      </c>
      <c r="BM252" s="71">
        <f t="shared" si="559"/>
        <v>99</v>
      </c>
      <c r="BN252" s="71">
        <f t="shared" si="559"/>
        <v>99</v>
      </c>
      <c r="BO252" s="71">
        <f t="shared" si="559"/>
        <v>99</v>
      </c>
      <c r="BP252" s="71">
        <f t="shared" si="559"/>
        <v>99</v>
      </c>
      <c r="BQ252" s="71">
        <f t="shared" si="559"/>
        <v>99</v>
      </c>
      <c r="BR252" s="71">
        <f t="shared" si="559"/>
        <v>99</v>
      </c>
    </row>
    <row r="253" spans="5:62" ht="15">
      <c r="E253" t="s">
        <v>16</v>
      </c>
      <c r="F253" t="s">
        <v>259</v>
      </c>
      <c r="G253" s="9" t="s">
        <v>424</v>
      </c>
      <c r="H253" s="50" t="e">
        <f>#REF!/#REF!</f>
        <v>#REF!</v>
      </c>
      <c r="I253" s="50" t="e">
        <f>#REF!/#REF!</f>
        <v>#REF!</v>
      </c>
      <c r="J253" s="50"/>
      <c r="K253" s="50">
        <f>G107/G$111</f>
        <v>0.010184768607920332</v>
      </c>
      <c r="L253" s="50">
        <f t="shared" si="564" ref="L253:M255">I107/I$111</f>
        <v>0.0066649525721850936</v>
      </c>
      <c r="M253" s="50">
        <f t="shared" si="564"/>
        <v>0.0035058497864896968</v>
      </c>
      <c r="N253" s="50">
        <f>M107/M$111</f>
        <v>0.00091444144310749112</v>
      </c>
      <c r="O253" s="50">
        <f>M107/M$111</f>
        <v>0.00091444144310749112</v>
      </c>
      <c r="Q253" s="36"/>
      <c r="R253" s="36"/>
      <c r="S253" s="36"/>
      <c r="T253" s="36"/>
      <c r="U253" s="36"/>
      <c r="V253" s="36"/>
      <c r="W253" s="36"/>
      <c r="X253" s="36"/>
      <c r="Y253" s="36"/>
      <c r="Z253" s="36"/>
      <c r="AA253" s="36"/>
      <c r="AB253" s="36"/>
      <c r="AC253" s="36"/>
      <c r="AD253" s="36"/>
      <c r="AE253" s="36"/>
      <c r="AF253" s="36"/>
      <c r="AG253" s="36"/>
      <c r="AH253" s="36"/>
      <c r="AI253" s="36"/>
      <c r="AJ253" s="36"/>
      <c r="AK253" s="36"/>
      <c r="AL253" s="36"/>
      <c r="AM253" s="36"/>
      <c r="AN253" s="36"/>
      <c r="AO253" s="36"/>
      <c r="AP253" s="36"/>
      <c r="AQ253" s="36"/>
      <c r="AR253" s="36"/>
      <c r="AS253" s="36"/>
      <c r="AT253" s="36"/>
      <c r="AU253" s="36"/>
      <c r="AV253" s="36"/>
      <c r="AW253" s="36"/>
      <c r="AX253" s="36"/>
      <c r="AY253" s="36"/>
      <c r="AZ253" s="36"/>
      <c r="BA253" s="36"/>
      <c r="BB253" s="36"/>
      <c r="BC253" s="36"/>
      <c r="BD253" s="36"/>
      <c r="BE253" s="36"/>
      <c r="BF253" s="36"/>
      <c r="BG253" s="36"/>
      <c r="BH253" s="36"/>
      <c r="BI253" s="36"/>
      <c r="BJ253" s="36"/>
    </row>
    <row r="254" spans="5:62" ht="15">
      <c r="E254" t="s">
        <v>16</v>
      </c>
      <c r="F254" t="s">
        <v>260</v>
      </c>
      <c r="G254" s="9" t="s">
        <v>424</v>
      </c>
      <c r="H254" s="50" t="e">
        <f>#REF!/#REF!</f>
        <v>#REF!</v>
      </c>
      <c r="I254" s="50" t="e">
        <f>#REF!/#REF!</f>
        <v>#REF!</v>
      </c>
      <c r="J254" s="50"/>
      <c r="K254" s="50">
        <f>G108/G$111</f>
        <v>0.38722878293536411</v>
      </c>
      <c r="L254" s="50">
        <f t="shared" si="564"/>
        <v>0.29992473510648504</v>
      </c>
      <c r="M254" s="50">
        <f t="shared" si="564"/>
        <v>0.24478934937175933</v>
      </c>
      <c r="N254" s="50">
        <f>M108/M$111</f>
        <v>0.2071460546664077</v>
      </c>
      <c r="O254" s="50">
        <f>M108/M$111</f>
        <v>0.2071460546664077</v>
      </c>
      <c r="Q254" s="36"/>
      <c r="R254" s="36"/>
      <c r="S254" s="36"/>
      <c r="T254" s="36"/>
      <c r="U254" s="36"/>
      <c r="V254" s="36"/>
      <c r="W254" s="36"/>
      <c r="X254" s="36"/>
      <c r="Y254" s="36"/>
      <c r="Z254" s="36"/>
      <c r="AA254" s="36"/>
      <c r="AB254" s="36"/>
      <c r="AC254" s="36"/>
      <c r="AD254" s="36"/>
      <c r="AE254" s="36"/>
      <c r="AF254" s="36"/>
      <c r="AG254" s="36"/>
      <c r="AH254" s="36"/>
      <c r="AI254" s="36"/>
      <c r="AJ254" s="36"/>
      <c r="AK254" s="36"/>
      <c r="AL254" s="36"/>
      <c r="AM254" s="36"/>
      <c r="AN254" s="36"/>
      <c r="AO254" s="36"/>
      <c r="AP254" s="36"/>
      <c r="AQ254" s="36"/>
      <c r="AR254" s="36"/>
      <c r="AS254" s="36"/>
      <c r="AT254" s="36"/>
      <c r="AU254" s="36"/>
      <c r="AV254" s="36"/>
      <c r="AW254" s="36"/>
      <c r="AX254" s="36"/>
      <c r="AY254" s="36"/>
      <c r="AZ254" s="36"/>
      <c r="BA254" s="36"/>
      <c r="BB254" s="36"/>
      <c r="BC254" s="36"/>
      <c r="BD254" s="36"/>
      <c r="BE254" s="36"/>
      <c r="BF254" s="36"/>
      <c r="BG254" s="36"/>
      <c r="BH254" s="36"/>
      <c r="BI254" s="36"/>
      <c r="BJ254" s="36"/>
    </row>
    <row r="255" spans="5:62" ht="15">
      <c r="E255" t="s">
        <v>16</v>
      </c>
      <c r="F255" t="s">
        <v>261</v>
      </c>
      <c r="G255" s="9" t="s">
        <v>424</v>
      </c>
      <c r="H255" s="50" t="e">
        <f>#REF!/#REF!</f>
        <v>#REF!</v>
      </c>
      <c r="I255" s="50" t="e">
        <f>#REF!/#REF!</f>
        <v>#REF!</v>
      </c>
      <c r="J255" s="50"/>
      <c r="K255" s="50">
        <f>G109/G$111</f>
        <v>0.49205730389406133</v>
      </c>
      <c r="L255" s="50">
        <f t="shared" si="564"/>
        <v>0.6048474469485341</v>
      </c>
      <c r="M255" s="50">
        <f t="shared" si="564"/>
        <v>0.67773560139058187</v>
      </c>
      <c r="N255" s="50">
        <f>M109/M$111</f>
        <v>0.73571426397688644</v>
      </c>
      <c r="O255" s="50">
        <f>M109/M$111</f>
        <v>0.73571426397688644</v>
      </c>
      <c r="Q255" s="36"/>
      <c r="R255" s="36"/>
      <c r="S255" s="36"/>
      <c r="T255" s="36"/>
      <c r="U255" s="36"/>
      <c r="V255" s="36"/>
      <c r="W255" s="36"/>
      <c r="X255" s="36"/>
      <c r="Y255" s="36"/>
      <c r="Z255" s="36"/>
      <c r="AA255" s="36"/>
      <c r="AB255" s="36"/>
      <c r="AC255" s="36"/>
      <c r="AD255" s="36"/>
      <c r="AE255" s="36"/>
      <c r="AF255" s="36"/>
      <c r="AG255" s="36"/>
      <c r="AH255" s="36"/>
      <c r="AI255" s="36"/>
      <c r="AJ255" s="36"/>
      <c r="AK255" s="36"/>
      <c r="AL255" s="36"/>
      <c r="AM255" s="36"/>
      <c r="AN255" s="36"/>
      <c r="AO255" s="36"/>
      <c r="AP255" s="36"/>
      <c r="AQ255" s="36"/>
      <c r="AR255" s="36"/>
      <c r="AS255" s="36"/>
      <c r="AT255" s="36"/>
      <c r="AU255" s="36"/>
      <c r="AV255" s="36"/>
      <c r="AW255" s="36"/>
      <c r="AX255" s="36"/>
      <c r="AY255" s="36"/>
      <c r="AZ255" s="36"/>
      <c r="BA255" s="36"/>
      <c r="BB255" s="36"/>
      <c r="BC255" s="36"/>
      <c r="BD255" s="36"/>
      <c r="BE255" s="36"/>
      <c r="BF255" s="36"/>
      <c r="BG255" s="36"/>
      <c r="BH255" s="36"/>
      <c r="BI255" s="36"/>
      <c r="BJ255" s="36"/>
    </row>
    <row r="256" spans="5:62" ht="15">
      <c r="E256" t="s">
        <v>16</v>
      </c>
      <c r="F256" t="str">
        <f>F253</f>
        <v>hhd-le</v>
      </c>
      <c r="G256" s="9" t="s">
        <v>423</v>
      </c>
      <c r="H256" s="50" t="e">
        <f>SUM(#REF!)/SUM(#REF!)</f>
        <v>#REF!</v>
      </c>
      <c r="I256" s="50" t="e">
        <f>SUM(#REF!)/SUM(#REF!)</f>
        <v>#REF!</v>
      </c>
      <c r="J256" s="50"/>
      <c r="K256" s="50">
        <f>SUM(G115:G117)/SUM(G$127:G$129)</f>
        <v>0.56762913717895114</v>
      </c>
      <c r="L256" s="50">
        <f>SUM(I115:I117)/SUM(I$127:I$129)</f>
        <v>0.50657562325758299</v>
      </c>
      <c r="M256" s="50">
        <f>SUM(J115:J117)/SUM(J$127:J$129)</f>
        <v>0.39754992258334587</v>
      </c>
      <c r="N256" s="50">
        <f>SUM(M115:M117)/SUM(M$127:M$129)</f>
        <v>0.18474615179737439</v>
      </c>
      <c r="O256" s="50">
        <f>SUM(M115:M117)/SUM(M$127:M$129)</f>
        <v>0.18474615179737439</v>
      </c>
      <c r="Q256" s="36"/>
      <c r="R256" s="36"/>
      <c r="S256" s="36"/>
      <c r="T256" s="36"/>
      <c r="U256" s="36"/>
      <c r="V256" s="36"/>
      <c r="W256" s="36"/>
      <c r="X256" s="36"/>
      <c r="Y256" s="36"/>
      <c r="Z256" s="36"/>
      <c r="AA256" s="36"/>
      <c r="AB256" s="36"/>
      <c r="AC256" s="36"/>
      <c r="AD256" s="36"/>
      <c r="AE256" s="36"/>
      <c r="AF256" s="36"/>
      <c r="AG256" s="36"/>
      <c r="AH256" s="36"/>
      <c r="AI256" s="36"/>
      <c r="AJ256" s="36"/>
      <c r="AK256" s="36"/>
      <c r="AL256" s="36"/>
      <c r="AM256" s="36"/>
      <c r="AN256" s="36"/>
      <c r="AO256" s="36"/>
      <c r="AP256" s="36"/>
      <c r="AQ256" s="36"/>
      <c r="AR256" s="36"/>
      <c r="AS256" s="36"/>
      <c r="AT256" s="36"/>
      <c r="AU256" s="36"/>
      <c r="AV256" s="36"/>
      <c r="AW256" s="36"/>
      <c r="AX256" s="36"/>
      <c r="AY256" s="36"/>
      <c r="AZ256" s="36"/>
      <c r="BA256" s="36"/>
      <c r="BB256" s="36"/>
      <c r="BC256" s="36"/>
      <c r="BD256" s="36"/>
      <c r="BE256" s="36"/>
      <c r="BF256" s="36"/>
      <c r="BG256" s="36"/>
      <c r="BH256" s="36"/>
      <c r="BI256" s="36"/>
      <c r="BJ256" s="36"/>
    </row>
    <row r="257" spans="5:62" ht="15">
      <c r="E257" t="s">
        <v>16</v>
      </c>
      <c r="F257" t="str">
        <f>F254</f>
        <v>hhd-me</v>
      </c>
      <c r="G257" s="9" t="s">
        <v>423</v>
      </c>
      <c r="H257" s="50" t="e">
        <f>SUM(#REF!)/SUM(#REF!)</f>
        <v>#REF!</v>
      </c>
      <c r="I257" s="50" t="e">
        <f>SUM(#REF!)/SUM(#REF!)</f>
        <v>#REF!</v>
      </c>
      <c r="J257" s="50"/>
      <c r="K257" s="50">
        <f>SUM(G119:G121)/SUM(G$127:G$129)</f>
        <v>0.30824092366572375</v>
      </c>
      <c r="L257" s="50">
        <f>SUM(I119:I121)/SUM(I$127:I$129)</f>
        <v>0.32558820281699608</v>
      </c>
      <c r="M257" s="50">
        <f>SUM(J119:J121)/SUM(J$127:J$129)</f>
        <v>0.39646060515473169</v>
      </c>
      <c r="N257" s="50">
        <f>SUM(M119:M121)/SUM(M$127:M$129)</f>
        <v>0.59773036548379155</v>
      </c>
      <c r="O257" s="50">
        <f>SUM(M119:M121)/SUM(M$127:M$129)</f>
        <v>0.59773036548379155</v>
      </c>
      <c r="Q257" s="36"/>
      <c r="R257" s="36"/>
      <c r="S257" s="36"/>
      <c r="T257" s="36"/>
      <c r="U257" s="36"/>
      <c r="V257" s="36"/>
      <c r="W257" s="36"/>
      <c r="X257" s="36"/>
      <c r="Y257" s="36"/>
      <c r="Z257" s="36"/>
      <c r="AA257" s="36"/>
      <c r="AB257" s="36"/>
      <c r="AC257" s="36"/>
      <c r="AD257" s="36"/>
      <c r="AE257" s="36"/>
      <c r="AF257" s="36"/>
      <c r="AG257" s="36"/>
      <c r="AH257" s="36"/>
      <c r="AI257" s="36"/>
      <c r="AJ257" s="36"/>
      <c r="AK257" s="36"/>
      <c r="AL257" s="36"/>
      <c r="AM257" s="36"/>
      <c r="AN257" s="36"/>
      <c r="AO257" s="36"/>
      <c r="AP257" s="36"/>
      <c r="AQ257" s="36"/>
      <c r="AR257" s="36"/>
      <c r="AS257" s="36"/>
      <c r="AT257" s="36"/>
      <c r="AU257" s="36"/>
      <c r="AV257" s="36"/>
      <c r="AW257" s="36"/>
      <c r="AX257" s="36"/>
      <c r="AY257" s="36"/>
      <c r="AZ257" s="36"/>
      <c r="BA257" s="36"/>
      <c r="BB257" s="36"/>
      <c r="BC257" s="36"/>
      <c r="BD257" s="36"/>
      <c r="BE257" s="36"/>
      <c r="BF257" s="36"/>
      <c r="BG257" s="36"/>
      <c r="BH257" s="36"/>
      <c r="BI257" s="36"/>
      <c r="BJ257" s="36"/>
    </row>
    <row r="258" spans="5:62" ht="15">
      <c r="E258" t="s">
        <v>16</v>
      </c>
      <c r="F258" t="str">
        <f>F255</f>
        <v>hhd-he</v>
      </c>
      <c r="G258" s="9" t="s">
        <v>423</v>
      </c>
      <c r="H258" s="50" t="e">
        <f>SUM(#REF!)/SUM(#REF!)</f>
        <v>#REF!</v>
      </c>
      <c r="I258" s="50" t="e">
        <f>SUM(#REF!)/SUM(#REF!)</f>
        <v>#REF!</v>
      </c>
      <c r="J258" s="50"/>
      <c r="K258" s="50">
        <f>SUM(G123:G125)/SUM(G$127:G$129)</f>
        <v>0.12412993915532514</v>
      </c>
      <c r="L258" s="50">
        <f>SUM(I123:I125)/SUM(I$127:I$129)</f>
        <v>0.16783617392542105</v>
      </c>
      <c r="M258" s="50">
        <f>SUM(J123:J125)/SUM(J$127:J$129)</f>
        <v>0.2059894722619226</v>
      </c>
      <c r="N258" s="50">
        <f>SUM(M123:M125)/SUM(M$127:M$129)</f>
        <v>0.21752348271883415</v>
      </c>
      <c r="O258" s="50">
        <f>SUM(M123:M125)/SUM(M$127:M$129)</f>
        <v>0.21752348271883415</v>
      </c>
      <c r="Q258" s="36"/>
      <c r="R258" s="36"/>
      <c r="S258" s="36"/>
      <c r="T258" s="36"/>
      <c r="U258" s="36"/>
      <c r="V258" s="36"/>
      <c r="W258" s="36"/>
      <c r="X258" s="36"/>
      <c r="Y258" s="36"/>
      <c r="Z258" s="36"/>
      <c r="AA258" s="36"/>
      <c r="AB258" s="36"/>
      <c r="AC258" s="36"/>
      <c r="AD258" s="36"/>
      <c r="AE258" s="36"/>
      <c r="AF258" s="36"/>
      <c r="AG258" s="36"/>
      <c r="AH258" s="36"/>
      <c r="AI258" s="36"/>
      <c r="AJ258" s="36"/>
      <c r="AK258" s="36"/>
      <c r="AL258" s="36"/>
      <c r="AM258" s="36"/>
      <c r="AN258" s="36"/>
      <c r="AO258" s="36"/>
      <c r="AP258" s="36"/>
      <c r="AQ258" s="36"/>
      <c r="AR258" s="36"/>
      <c r="AS258" s="36"/>
      <c r="AT258" s="36"/>
      <c r="AU258" s="36"/>
      <c r="AV258" s="36"/>
      <c r="AW258" s="36"/>
      <c r="AX258" s="36"/>
      <c r="AY258" s="36"/>
      <c r="AZ258" s="36"/>
      <c r="BA258" s="36"/>
      <c r="BB258" s="36"/>
      <c r="BC258" s="36"/>
      <c r="BD258" s="36"/>
      <c r="BE258" s="36"/>
      <c r="BF258" s="36"/>
      <c r="BG258" s="36"/>
      <c r="BH258" s="36"/>
      <c r="BI258" s="36"/>
      <c r="BJ258" s="36"/>
    </row>
    <row r="259" spans="5:68" ht="15">
      <c r="E259" t="s">
        <v>16</v>
      </c>
      <c r="J259"/>
      <c r="K259" s="8" t="s">
        <v>422</v>
      </c>
      <c r="N259">
        <f t="shared" si="565" ref="N259:BD259">N232</f>
        <v>0</v>
      </c>
      <c r="O259">
        <f t="shared" si="565"/>
        <v>0</v>
      </c>
      <c r="P259">
        <f t="shared" si="565"/>
        <v>0</v>
      </c>
      <c r="Q259">
        <f t="shared" si="566" ref="Q259:R259">Q232</f>
        <v>0</v>
      </c>
      <c r="R259">
        <f t="shared" si="566"/>
        <v>0</v>
      </c>
      <c r="S259">
        <f t="shared" si="565"/>
        <v>0</v>
      </c>
      <c r="T259">
        <f t="shared" si="565"/>
        <v>0</v>
      </c>
      <c r="U259">
        <f t="shared" si="565"/>
        <v>2017</v>
      </c>
      <c r="V259">
        <f t="shared" si="565"/>
        <v>2018</v>
      </c>
      <c r="W259">
        <f t="shared" si="565"/>
        <v>2019</v>
      </c>
      <c r="X259">
        <f t="shared" si="565"/>
        <v>2020</v>
      </c>
      <c r="Y259">
        <f t="shared" si="565"/>
        <v>2021</v>
      </c>
      <c r="Z259">
        <f t="shared" si="565"/>
        <v>2022</v>
      </c>
      <c r="AA259">
        <f t="shared" si="565"/>
        <v>2023</v>
      </c>
      <c r="AB259">
        <f t="shared" si="567" ref="AB259:AC259">AB232</f>
        <v>2023</v>
      </c>
      <c r="AC259">
        <f t="shared" si="567"/>
        <v>2023</v>
      </c>
      <c r="AD259">
        <f t="shared" si="565"/>
        <v>2024</v>
      </c>
      <c r="AE259">
        <f t="shared" si="565"/>
        <v>2025</v>
      </c>
      <c r="AF259">
        <f t="shared" si="565"/>
        <v>2026</v>
      </c>
      <c r="AG259">
        <f t="shared" si="565"/>
        <v>2027</v>
      </c>
      <c r="AH259">
        <f t="shared" si="565"/>
        <v>2028</v>
      </c>
      <c r="AI259">
        <f t="shared" si="565"/>
        <v>2029</v>
      </c>
      <c r="AJ259">
        <f t="shared" si="565"/>
        <v>2030</v>
      </c>
      <c r="AK259">
        <f t="shared" si="565"/>
        <v>2031</v>
      </c>
      <c r="AL259">
        <f t="shared" si="565"/>
        <v>2032</v>
      </c>
      <c r="AM259">
        <f t="shared" si="568" ref="AM259:AN259">AM232</f>
        <v>2032</v>
      </c>
      <c r="AN259">
        <f t="shared" si="568"/>
        <v>2032</v>
      </c>
      <c r="AO259">
        <f t="shared" si="565"/>
        <v>2033</v>
      </c>
      <c r="AP259">
        <f t="shared" si="565"/>
        <v>2034</v>
      </c>
      <c r="AQ259">
        <f t="shared" si="565"/>
        <v>2035</v>
      </c>
      <c r="AR259">
        <f t="shared" si="565"/>
        <v>2036</v>
      </c>
      <c r="AS259">
        <f t="shared" si="565"/>
        <v>2037</v>
      </c>
      <c r="AT259">
        <f t="shared" si="565"/>
        <v>2038</v>
      </c>
      <c r="AU259">
        <f t="shared" si="569" ref="AU259">AU232</f>
        <v>2038</v>
      </c>
      <c r="AV259">
        <f t="shared" si="565"/>
        <v>2039</v>
      </c>
      <c r="AW259">
        <f t="shared" si="570" ref="AW259">AW232</f>
        <v>2040</v>
      </c>
      <c r="AX259">
        <f t="shared" si="565"/>
        <v>2040</v>
      </c>
      <c r="AY259">
        <f t="shared" si="565"/>
        <v>2041</v>
      </c>
      <c r="AZ259">
        <f t="shared" si="565"/>
        <v>2042</v>
      </c>
      <c r="BA259">
        <f t="shared" si="565"/>
        <v>2043</v>
      </c>
      <c r="BB259">
        <f t="shared" si="565"/>
        <v>2044</v>
      </c>
      <c r="BC259">
        <f t="shared" si="565"/>
        <v>2045</v>
      </c>
      <c r="BD259">
        <f t="shared" si="565"/>
        <v>2046</v>
      </c>
      <c r="BE259">
        <f>BD259+1</f>
        <v>2047</v>
      </c>
      <c r="BF259">
        <f t="shared" si="571" ref="BF259:BN259">BE259+1</f>
        <v>2048</v>
      </c>
      <c r="BG259">
        <f t="shared" si="571"/>
        <v>2049</v>
      </c>
      <c r="BH259">
        <f t="shared" si="571"/>
        <v>2050</v>
      </c>
      <c r="BI259">
        <f t="shared" si="571"/>
        <v>2051</v>
      </c>
      <c r="BJ259">
        <f t="shared" si="571"/>
        <v>2052</v>
      </c>
      <c r="BK259">
        <f t="shared" si="571"/>
        <v>2053</v>
      </c>
      <c r="BL259">
        <f t="shared" si="571"/>
        <v>2054</v>
      </c>
      <c r="BM259">
        <f t="shared" si="571"/>
        <v>2055</v>
      </c>
      <c r="BN259">
        <f t="shared" si="571"/>
        <v>2056</v>
      </c>
      <c r="BO259">
        <v>2060</v>
      </c>
      <c r="BP259">
        <v>2070</v>
      </c>
    </row>
    <row r="260" spans="5:68" ht="15">
      <c r="E260" t="s">
        <v>16</v>
      </c>
      <c r="I260" t="s">
        <v>425</v>
      </c>
      <c r="J260" t="s">
        <v>425</v>
      </c>
      <c r="K260" t="s">
        <v>419</v>
      </c>
      <c r="L260" s="9" t="s">
        <v>424</v>
      </c>
      <c r="M260" t="s">
        <v>259</v>
      </c>
      <c r="N260" s="9" t="e">
        <f t="shared" si="572" ref="N260:N265">H253</f>
        <v>#REF!</v>
      </c>
      <c r="O260" s="9" cm="1">
        <f t="array" ref="O260">IF(S$252=-1,P260,IF(S$252=99,N260,IF(S$252=0,INDEX($H253:$O253,0,S$250),(INDEX($H253:$O253,0,S$252+1)-INDEX($H253:$O253,0,S$252))/(INDEX($H$249:$O$249,0,S$252+1)-INDEX($H$249:$O$249,0,S$252))+N260)))</f>
        <v>0</v>
      </c>
      <c r="P260" s="9" cm="1">
        <f t="array" ref="P260">IF(T$252=-1,S260,IF(T$252=99,O260,IF(T$252=0,INDEX($H253:$O253,0,T$250),(INDEX($H253:$O253,0,T$252+1)-INDEX($H253:$O253,0,T$252))/(INDEX($H$249:$O$249,0,T$252+1)-INDEX($H$249:$O$249,0,T$252))+O260)))</f>
        <v>0</v>
      </c>
      <c r="Q260" s="9" cm="1">
        <f t="array" ref="Q260">IF(T$252=-1,S260,IF(T$252=99,O260,IF(T$252=0,INDEX($H253:$O253,0,T$250),(INDEX($H253:$O253,0,T$252+1)-INDEX($H253:$O253,0,T$252))/(INDEX($H$249:$O$249,0,T$252+1)-INDEX($H$249:$O$249,0,T$252))+O260)))</f>
        <v>0</v>
      </c>
      <c r="R260" s="9" cm="1">
        <f t="array" ref="R260">IF(T$252=-1,S260,IF(T$252=99,O260,IF(T$252=0,INDEX($H253:$O253,0,T$250),(INDEX($H253:$O253,0,T$252+1)-INDEX($H253:$O253,0,T$252))/(INDEX($H$249:$O$249,0,T$252+1)-INDEX($H$249:$O$249,0,T$252))+O260)))</f>
        <v>0</v>
      </c>
      <c r="S260" s="9" cm="1">
        <f t="array" ref="S260">IF(U$252=-1,T260,IF(U$252=99,P260,IF(U$252=0,INDEX($H253:$O253,0,U$250),(INDEX($H253:$O253,0,U$252+1)-INDEX($H253:$O253,0,U$252))/(INDEX($H$249:$O$249,0,U$252+1)-INDEX($H$249:$O$249,0,U$252))+P260)))</f>
        <v>0</v>
      </c>
      <c r="T260" s="9" cm="1">
        <f t="array" ref="T260">IF(V$252=-1,U260,IF(V$252=99,S260,IF(V$252=0,INDEX($H253:$O253,0,V$250),(INDEX($H253:$O253,0,V$252+1)-INDEX($H253:$O253,0,V$252))/(INDEX($H$249:$O$249,0,V$252+1)-INDEX($H$249:$O$249,0,V$252))+S260)))</f>
        <v>0</v>
      </c>
      <c r="U260" s="9" cm="1">
        <f t="array" ref="U260">IF(W$252=-1,V260,IF(W$252=99,T260,IF(W$252=0,INDEX($H253:$O253,0,W$250),(INDEX($H253:$O253,0,W$252+1)-INDEX($H253:$O253,0,W$252))/(INDEX($H$249:$O$249,0,W$252+1)-INDEX($H$249:$O$249,0,W$252))+T260)))</f>
        <v>0</v>
      </c>
      <c r="V260" s="9" cm="1">
        <f t="array" ref="V260">IF(X$252=-1,W260,IF(X$252=99,U260,IF(X$252=0,INDEX($H253:$O253,0,X$250),(INDEX($H253:$O253,0,X$252+1)-INDEX($H253:$O253,0,X$252))/(INDEX($H$249:$O$249,0,X$252+1)-INDEX($H$249:$O$249,0,X$252))+U260)))</f>
        <v>0.0033949228693067775</v>
      </c>
      <c r="W260" s="9" cm="1">
        <f t="array" ref="W260">IF(Y$252=-1,X260,IF(Y$252=99,V260,IF(Y$252=0,INDEX($H253:$O253,0,Y$250),(INDEX($H253:$O253,0,Y$252+1)-INDEX($H253:$O253,0,Y$252))/(INDEX($H$249:$O$249,0,Y$252+1)-INDEX($H$249:$O$249,0,Y$252))+V260)))</f>
        <v>0.0067898457386135549</v>
      </c>
      <c r="X260" s="9" cm="1">
        <f t="array" ref="X260">IF(Z$252=-1,Y260,IF(Z$252=99,W260,IF(Z$252=0,INDEX($H253:$O253,0,Z$250),(INDEX($H253:$O253,0,Z$252+1)-INDEX($H253:$O253,0,Z$252))/(INDEX($H$249:$O$249,0,Z$252+1)-INDEX($H$249:$O$249,0,Z$252))+W260)))</f>
        <v>0.010184768607920332</v>
      </c>
      <c r="Y260" s="9" cm="1">
        <f t="array" ref="Y260">IF(AA$252=-1,Z260,IF(AA$252=99,X260,IF(AA$252=0,INDEX($H253:$O253,0,AA$250),(INDEX($H253:$O253,0,AA$252+1)-INDEX($H253:$O253,0,AA$252))/(INDEX($H$249:$O$249,0,AA$252+1)-INDEX($H$249:$O$249,0,AA$252))+X260)))</f>
        <v>0.0098327870043468085</v>
      </c>
      <c r="Z260" s="9" cm="1">
        <f t="array" ref="Z260">IF(AD$252=-1,AA260,IF(AD$252=99,Y260,IF(AD$252=0,INDEX($H253:$O253,0,AD$250),(INDEX($H253:$O253,0,AD$252+1)-INDEX($H253:$O253,0,AD$252))/(INDEX($H$249:$O$249,0,AD$252+1)-INDEX($H$249:$O$249,0,AD$252))+Y260)))</f>
        <v>0.0094808054007732845</v>
      </c>
      <c r="AA260" s="9" cm="1">
        <f t="array" ref="AA260">IF(AE$252=-1,AD260,IF(AE$252=99,Z260,IF(AE$252=0,INDEX($H253:$O253,0,AE$250),(INDEX($H253:$O253,0,AE$252+1)-INDEX($H253:$O253,0,AE$252))/(INDEX($H$249:$O$249,0,AE$252+1)-INDEX($H$249:$O$249,0,AE$252))+Z260)))</f>
        <v>0.0091288237971997605</v>
      </c>
      <c r="AB260" s="9" cm="1">
        <f t="array" ref="AB260">IF(AE$252=-1,AD260,IF(AE$252=99,Z260,IF(AE$252=0,INDEX($H253:$O253,0,AE$250),(INDEX($H253:$O253,0,AE$252+1)-INDEX($H253:$O253,0,AE$252))/(INDEX($H$249:$O$249,0,AE$252+1)-INDEX($H$249:$O$249,0,AE$252))+Z260)))</f>
        <v>0.0091288237971997605</v>
      </c>
      <c r="AC260" s="9" cm="1">
        <f t="array" ref="AC260">IF(AE$252=-1,AD260,IF(AE$252=99,Z260,IF(AE$252=0,INDEX($H253:$O253,0,AE$250),(INDEX($H253:$O253,0,AE$252+1)-INDEX($H253:$O253,0,AE$252))/(INDEX($H$249:$O$249,0,AE$252+1)-INDEX($H$249:$O$249,0,AE$252))+Z260)))</f>
        <v>0.0091288237971997605</v>
      </c>
      <c r="AD260" s="9" cm="1">
        <f t="array" ref="AD260">IF(AF$252=-1,AE260,IF(AF$252=99,AA260,IF(AF$252=0,INDEX($H253:$O253,0,AF$250),(INDEX($H253:$O253,0,AF$252+1)-INDEX($H253:$O253,0,AF$252))/(INDEX($H$249:$O$249,0,AF$252+1)-INDEX($H$249:$O$249,0,AF$252))+AA260)))</f>
        <v>0.0087768421936262365</v>
      </c>
      <c r="AE260" s="9" cm="1">
        <f t="array" ref="AE260">IF(AG$252=-1,AF260,IF(AG$252=99,AD260,IF(AG$252=0,INDEX($H253:$O253,0,AG$250),(INDEX($H253:$O253,0,AG$252+1)-INDEX($H253:$O253,0,AG$252))/(INDEX($H$249:$O$249,0,AG$252+1)-INDEX($H$249:$O$249,0,AG$252))+AD260)))</f>
        <v>0.0084248605900527126</v>
      </c>
      <c r="AF260" s="9" cm="1">
        <f t="array" ref="AF260">IF(AH$252=-1,AG260,IF(AH$252=99,AE260,IF(AH$252=0,INDEX($H253:$O253,0,AH$250),(INDEX($H253:$O253,0,AH$252+1)-INDEX($H253:$O253,0,AH$252))/(INDEX($H$249:$O$249,0,AH$252+1)-INDEX($H$249:$O$249,0,AH$252))+AE260)))</f>
        <v>0.0080728789864791886</v>
      </c>
      <c r="AG260" s="9" cm="1">
        <f t="array" ref="AG260">IF(AI$252=-1,AH260,IF(AI$252=99,AF260,IF(AI$252=0,INDEX($H253:$O253,0,AI$250),(INDEX($H253:$O253,0,AI$252+1)-INDEX($H253:$O253,0,AI$252))/(INDEX($H$249:$O$249,0,AI$252+1)-INDEX($H$249:$O$249,0,AI$252))+AF260)))</f>
        <v>0.0077208973829056646</v>
      </c>
      <c r="AH260" s="9" cm="1">
        <f t="array" ref="AH260">IF(AJ$252=-1,AI260,IF(AJ$252=99,AG260,IF(AJ$252=0,INDEX($H253:$O253,0,AJ$250),(INDEX($H253:$O253,0,AJ$252+1)-INDEX($H253:$O253,0,AJ$252))/(INDEX($H$249:$O$249,0,AJ$252+1)-INDEX($H$249:$O$249,0,AJ$252))+AG260)))</f>
        <v>0.0073689157793321407</v>
      </c>
      <c r="AI260" s="9" cm="1">
        <f t="array" ref="AI260">IF(AK$252=-1,AJ260,IF(AK$252=99,AH260,IF(AK$252=0,INDEX($H253:$O253,0,AK$250),(INDEX($H253:$O253,0,AK$252+1)-INDEX($H253:$O253,0,AK$252))/(INDEX($H$249:$O$249,0,AK$252+1)-INDEX($H$249:$O$249,0,AK$252))+AH260)))</f>
        <v>0.0070169341757586167</v>
      </c>
      <c r="AJ260" s="9" cm="1">
        <f t="array" ref="AJ260">IF(AL$252=-1,AK260,IF(AL$252=99,AI260,IF(AL$252=0,INDEX($H253:$O253,0,AL$250),(INDEX($H253:$O253,0,AL$252+1)-INDEX($H253:$O253,0,AL$252))/(INDEX($H$249:$O$249,0,AL$252+1)-INDEX($H$249:$O$249,0,AL$252))+AI260)))</f>
        <v>0.0066649525721850936</v>
      </c>
      <c r="AK260" s="9" cm="1">
        <f t="array" ref="AK260">IF(AO$252=-1,AL260,IF(AO$252=99,AJ260,IF(AO$252=0,INDEX($H253:$O253,0,AO$250),(INDEX($H253:$O253,0,AO$252+1)-INDEX($H253:$O253,0,AO$252))/(INDEX($H$249:$O$249,0,AO$252+1)-INDEX($H$249:$O$249,0,AO$252))+AJ260)))</f>
        <v>0.0066649525721850936</v>
      </c>
      <c r="AL260" s="9" cm="1">
        <f t="array" ref="AL260">IF(AP$252=-1,AO260,IF(AP$252=99,AK260,IF(AP$252=0,INDEX($H253:$O253,0,AP$250),(INDEX($H253:$O253,0,AP$252+1)-INDEX($H253:$O253,0,AP$252))/(INDEX($H$249:$O$249,0,AP$252+1)-INDEX($H$249:$O$249,0,AP$252))+AK260)))</f>
        <v>0.0066649525721850936</v>
      </c>
      <c r="AM260" s="9" cm="1">
        <f t="array" ref="AM260">IF(AP$252=-1,AO260,IF(AP$252=99,AK260,IF(AP$252=0,INDEX($H253:$O253,0,AP$250),(INDEX($H253:$O253,0,AP$252+1)-INDEX($H253:$O253,0,AP$252))/(INDEX($H$249:$O$249,0,AP$252+1)-INDEX($H$249:$O$249,0,AP$252))+AK260)))</f>
        <v>0.0066649525721850936</v>
      </c>
      <c r="AN260" s="9" cm="1">
        <f t="array" ref="AN260">IF(AP$252=-1,AO260,IF(AP$252=99,AK260,IF(AP$252=0,INDEX($H253:$O253,0,AP$250),(INDEX($H253:$O253,0,AP$252+1)-INDEX($H253:$O253,0,AP$252))/(INDEX($H$249:$O$249,0,AP$252+1)-INDEX($H$249:$O$249,0,AP$252))+AK260)))</f>
        <v>0.0066649525721850936</v>
      </c>
      <c r="AO260" s="9" cm="1">
        <f t="array" ref="AO260">IF(AQ$252=-1,AP260,IF(AQ$252=99,AL260,IF(AQ$252=0,INDEX($H253:$O253,0,AQ$250),(INDEX($H253:$O253,0,AQ$252+1)-INDEX($H253:$O253,0,AQ$252))/(INDEX($H$249:$O$249,0,AQ$252+1)-INDEX($H$249:$O$249,0,AQ$252))+AL260)))</f>
        <v>0.0066649525721850936</v>
      </c>
      <c r="AP260" s="9" cm="1">
        <f t="array" ref="AP260">IF(AR$252=-1,AQ260,IF(AR$252=99,AO260,IF(AR$252=0,INDEX($H253:$O253,0,AR$250),(INDEX($H253:$O253,0,AR$252+1)-INDEX($H253:$O253,0,AR$252))/(INDEX($H$249:$O$249,0,AR$252+1)-INDEX($H$249:$O$249,0,AR$252))+AO260)))</f>
        <v>0.0066649525721850936</v>
      </c>
      <c r="AQ260" s="9" cm="1">
        <f t="array" ref="AQ260">IF(AS$252=-1,AR260,IF(AS$252=99,AP260,IF(AS$252=0,INDEX($H253:$O253,0,AS$250),(INDEX($H253:$O253,0,AS$252+1)-INDEX($H253:$O253,0,AS$252))/(INDEX($H$249:$O$249,0,AS$252+1)-INDEX($H$249:$O$249,0,AS$252))+AP260)))</f>
        <v>0.0066649525721850936</v>
      </c>
      <c r="AR260" s="9" cm="1">
        <f t="array" ref="AR260">IF(AT$252=-1,AS260,IF(AT$252=99,AQ260,IF(AT$252=0,INDEX($H253:$O253,0,AT$250),(INDEX($H253:$O253,0,AT$252+1)-INDEX($H253:$O253,0,AT$252))/(INDEX($H$249:$O$249,0,AT$252+1)-INDEX($H$249:$O$249,0,AT$252))+AQ260)))</f>
        <v>0.0066649525721850936</v>
      </c>
      <c r="AS260" s="9" cm="1">
        <f t="array" ref="AS260">IF(AV$252=-1,AT260,IF(AV$252=99,AR260,IF(AV$252=0,INDEX($H253:$O253,0,AV$250),(INDEX($H253:$O253,0,AV$252+1)-INDEX($H253:$O253,0,AV$252))/(INDEX($H$249:$O$249,0,AV$252+1)-INDEX($H$249:$O$249,0,AV$252))+AR260)))</f>
        <v>0.0066649525721850936</v>
      </c>
      <c r="AT260" s="9" cm="1">
        <f t="array" ref="AT260">IF(AX$252=-1,AV260,IF(AX$252=99,AS260,IF(AX$252=0,INDEX($H253:$O253,0,AX$250),(INDEX($H253:$O253,0,AX$252+1)-INDEX($H253:$O253,0,AX$252))/(INDEX($H$249:$O$249,0,AX$252+1)-INDEX($H$249:$O$249,0,AX$252))+AS260)))</f>
        <v>0.0066649525721850936</v>
      </c>
      <c r="AU260" s="9" cm="1">
        <f t="array" ref="AU260">IF(AX$252=-1,AW260,IF(AX$252=99,AS260,IF(AX$252=0,INDEX($H253:$O253,0,AX$250),(INDEX($H253:$O253,0,AX$252+1)-INDEX($H253:$O253,0,AX$252))/(INDEX($H$249:$O$249,0,AX$252+1)-INDEX($H$249:$O$249,0,AX$252))+AS260)))</f>
        <v>0.0066649525721850936</v>
      </c>
      <c r="AV260" s="9" cm="1">
        <f t="array" ref="AV260">IF(AY$252=-1,AX260,IF(AY$252=99,AT260,IF(AY$252=0,INDEX($H253:$O253,0,AY$250),(INDEX($H253:$O253,0,AY$252+1)-INDEX($H253:$O253,0,AY$252))/(INDEX($H$249:$O$249,0,AY$252+1)-INDEX($H$249:$O$249,0,AY$252))+AT260)))</f>
        <v>0.0066649525721850936</v>
      </c>
      <c r="AW260" s="9" cm="1">
        <f t="array" ref="AW260">IF(AZ$252=-1,AY260,IF(AZ$252=99,AV260,IF(AZ$252=0,INDEX($H253:$O253,0,AZ$250),(INDEX($H253:$O253,0,AZ$252+1)-INDEX($H253:$O253,0,AZ$252))/(INDEX($H$249:$O$249,0,AZ$252+1)-INDEX($H$249:$O$249,0,AZ$252))+AV260)))</f>
        <v>0.0066649525721850936</v>
      </c>
      <c r="AX260" s="9" cm="1">
        <f t="array" ref="AX260">IF(AZ$252=-1,AY260,IF(AZ$252=99,AV260,IF(AZ$252=0,INDEX($H253:$O253,0,AZ$250),(INDEX($H253:$O253,0,AZ$252+1)-INDEX($H253:$O253,0,AZ$252))/(INDEX($H$249:$O$249,0,AZ$252+1)-INDEX($H$249:$O$249,0,AZ$252))+AV260)))</f>
        <v>0.0066649525721850936</v>
      </c>
      <c r="AY260" s="9" cm="1">
        <f t="array" ref="AY260">IF(BA$252=-1,AZ260,IF(BA$252=99,AX260,IF(BA$252=0,INDEX($H253:$O253,0,BA$250),(INDEX($H253:$O253,0,BA$252+1)-INDEX($H253:$O253,0,BA$252))/(INDEX($H$249:$O$249,0,BA$252+1)-INDEX($H$249:$O$249,0,BA$252))+AX260)))</f>
        <v>0.0066649525721850936</v>
      </c>
      <c r="AZ260" s="9" cm="1">
        <f t="array" ref="AZ260">IF(BB$252=-1,BA260,IF(BB$252=99,AY260,IF(BB$252=0,INDEX($H253:$O253,0,BB$250),(INDEX($H253:$O253,0,BB$252+1)-INDEX($H253:$O253,0,BB$252))/(INDEX($H$249:$O$249,0,BB$252+1)-INDEX($H$249:$O$249,0,BB$252))+AY260)))</f>
        <v>0.0066649525721850936</v>
      </c>
      <c r="BA260" s="9" cm="1">
        <f t="array" ref="BA260">IF(BC$252=-1,BB260,IF(BC$252=99,AZ260,IF(BC$252=0,INDEX($H253:$O253,0,BC$250),(INDEX($H253:$O253,0,BC$252+1)-INDEX($H253:$O253,0,BC$252))/(INDEX($H$249:$O$249,0,BC$252+1)-INDEX($H$249:$O$249,0,BC$252))+AZ260)))</f>
        <v>0.0066649525721850936</v>
      </c>
      <c r="BB260" s="9" cm="1">
        <f t="array" ref="BB260">IF(BD$252=-1,BC260,IF(BD$252=99,BA260,IF(BD$252=0,INDEX($H253:$O253,0,BD$250),(INDEX($H253:$O253,0,BD$252+1)-INDEX($H253:$O253,0,BD$252))/(INDEX($H$249:$O$249,0,BD$252+1)-INDEX($H$249:$O$249,0,BD$252))+BA260)))</f>
        <v>0.0066649525721850936</v>
      </c>
      <c r="BC260" s="9" cm="1">
        <f t="array" ref="BC260">IF(BE$252=-1,BD260,IF(BE$252=99,BB260,IF(BE$252=0,INDEX($H253:$O253,0,BE$250),(INDEX($H253:$O253,0,BE$252+1)-INDEX($H253:$O253,0,BE$252))/(INDEX($H$249:$O$249,0,BE$252+1)-INDEX($H$249:$O$249,0,BE$252))+BB260)))</f>
        <v>0.0066649525721850936</v>
      </c>
      <c r="BD260" s="9" cm="1">
        <f t="array" ref="BD260">IF(BF$252=-1,BI260,IF(BF$252=99,BC260,IF(BF$252=0,INDEX($H253:$O253,0,BF$250),(INDEX($H253:$O253,0,BF$252+1)-INDEX($H253:$O253,0,BF$252))/(INDEX($H$249:$O$249,0,BF$252+1)-INDEX($H$249:$O$249,0,BF$252))+BC260)))</f>
        <v>0.0066649525721850936</v>
      </c>
      <c r="BE260" s="9" cm="1">
        <f t="array" ref="BE260">IF(BG$252=-1,BJ260,IF(BG$252=99,BD260,IF(BG$252=0,INDEX($H253:$O253,0,BG$250),(INDEX($H253:$O253,0,BG$252+1)-INDEX($H253:$O253,0,BG$252))/(INDEX($H$249:$O$249,0,BG$252+1)-INDEX($H$249:$O$249,0,BG$252))+BD260)))</f>
        <v>0.0066649525721850936</v>
      </c>
      <c r="BF260" s="9" cm="1">
        <f t="array" ref="BF260">IF(BH$252=-1,BK260,IF(BH$252=99,BE260,IF(BH$252=0,INDEX($H253:$O253,0,BH$250),(INDEX($H253:$O253,0,BH$252+1)-INDEX($H253:$O253,0,BH$252))/(INDEX($H$249:$O$249,0,BH$252+1)-INDEX($H$249:$O$249,0,BH$252))+BE260)))</f>
        <v>0.0066649525721850936</v>
      </c>
      <c r="BG260" s="9" cm="1">
        <f t="array" ref="BG260">IF(BI$252=-1,BL260,IF(BI$252=99,BF260,IF(BI$252=0,INDEX($H253:$O253,0,BI$250),(INDEX($H253:$O253,0,BI$252+1)-INDEX($H253:$O253,0,BI$252))/(INDEX($H$249:$O$249,0,BI$252+1)-INDEX($H$249:$O$249,0,BI$252))+BF260)))</f>
        <v>0.0066649525721850936</v>
      </c>
      <c r="BH260" s="9" cm="1">
        <f t="array" ref="BH260">IF(BJ$252=-1,BM260,IF(BJ$252=99,BG260,IF(BJ$252=0,INDEX($H253:$O253,0,BJ$250),(INDEX($H253:$O253,0,BJ$252+1)-INDEX($H253:$O253,0,BJ$252))/(INDEX($H$249:$O$249,0,BJ$252+1)-INDEX($H$249:$O$249,0,BJ$252))+BG260)))</f>
        <v>0.0066649525721850936</v>
      </c>
      <c r="BI260" s="9" cm="1">
        <f t="array" ref="BI260">IF(BK$252=-1,BN260,IF(BK$252=99,BH260,IF(BK$252=0,INDEX($H253:$O253,0,BK$250),(INDEX($H253:$O253,0,BK$252+1)-INDEX($H253:$O253,0,BK$252))/(INDEX($H$249:$O$249,0,BK$252+1)-INDEX($H$249:$O$249,0,BK$252))+BH260)))</f>
        <v>0.0066649525721850936</v>
      </c>
      <c r="BJ260" s="9" cm="1">
        <f t="array" ref="BJ260">IF(BH$252=-1,BL260,IF(BH$252=99,BI260,IF(BH$252=0,INDEX($H253:$O253,0,BH$250),(INDEX($H253:$O253,0,BH$252+1)-INDEX($H253:$O253,0,BH$252))/(INDEX($H$249:$O$249,0,BH$252+1)-INDEX($H$249:$O$249,0,BH$252))+BI260)))</f>
        <v>0.0066649525721850936</v>
      </c>
      <c r="BK260" s="9" cm="1">
        <f t="array" ref="BK260">IF(BI$252=-1,BM260,IF(BI$252=99,BJ260,IF(BI$252=0,INDEX($H253:$O253,0,BI$250),(INDEX($H253:$O253,0,BI$252+1)-INDEX($H253:$O253,0,BI$252))/(INDEX($H$249:$O$249,0,BI$252+1)-INDEX($H$249:$O$249,0,BI$252))+BJ260)))</f>
        <v>0.0066649525721850936</v>
      </c>
      <c r="BL260" s="9" cm="1">
        <f t="array" ref="BL260">IF(BJ$252=-1,BN260,IF(BJ$252=99,BK260,IF(BJ$252=0,INDEX($H253:$O253,0,BJ$250),(INDEX($H253:$O253,0,BJ$252+1)-INDEX($H253:$O253,0,BJ$252))/(INDEX($H$249:$O$249,0,BJ$252+1)-INDEX($H$249:$O$249,0,BJ$252))+BK260)))</f>
        <v>0.0066649525721850936</v>
      </c>
      <c r="BM260" s="9" cm="1">
        <f t="array" ref="BM260">IF(BK$252=-1,BO260,IF(BK$252=99,BL260,IF(BK$252=0,INDEX($H253:$O253,0,BK$250),(INDEX($H253:$O253,0,BK$252+1)-INDEX($H253:$O253,0,BK$252))/(INDEX($H$249:$O$249,0,BK$252+1)-INDEX($H$249:$O$249,0,BK$252))+BL260)))</f>
        <v>0.0066649525721850936</v>
      </c>
      <c r="BN260" s="9" cm="1">
        <f t="array" ref="BN260">IF(BL$252=-1,BP260,IF(BL$252=99,BM260,IF(BL$252=0,INDEX($H253:$O253,0,BL$250),(INDEX($H253:$O253,0,BL$252+1)-INDEX($H253:$O253,0,BL$252))/(INDEX($H$249:$O$249,0,BL$252+1)-INDEX($H$249:$O$249,0,BL$252))+BM260)))</f>
        <v>0.0066649525721850936</v>
      </c>
      <c r="BO260" s="9" cm="1">
        <f t="array" ref="BO260">IF(BM$252=-1,BQ260,IF(BM$252=99,BN260,IF(BM$252=0,INDEX($H253:$O253,0,BM$250),(INDEX($H253:$O253,0,BM$252+1)-INDEX($H253:$O253,0,BM$252))/(INDEX($H$249:$O$249,0,BM$252+1)-INDEX($H$249:$O$249,0,BM$252))+BN260)))</f>
        <v>0.0066649525721850936</v>
      </c>
      <c r="BP260" s="9" cm="1">
        <f t="array" ref="BP260">IF(BN$252=-1,BR260,IF(BN$252=99,BO260,IF(BN$252=0,INDEX($H253:$O253,0,BN$250),(INDEX($H253:$O253,0,BN$252+1)-INDEX($H253:$O253,0,BN$252))/(INDEX($H$249:$O$249,0,BN$252+1)-INDEX($H$249:$O$249,0,BN$252))+BO260)))</f>
        <v>0.0066649525721850936</v>
      </c>
    </row>
    <row r="261" spans="5:68" ht="15">
      <c r="E261" t="s">
        <v>16</v>
      </c>
      <c r="I261" t="s">
        <v>425</v>
      </c>
      <c r="J261" t="s">
        <v>425</v>
      </c>
      <c r="K261" t="s">
        <v>420</v>
      </c>
      <c r="L261" s="9" t="s">
        <v>424</v>
      </c>
      <c r="M261" t="s">
        <v>260</v>
      </c>
      <c r="N261" s="9" t="e">
        <f t="shared" si="572"/>
        <v>#REF!</v>
      </c>
      <c r="O261" s="9" cm="1">
        <f t="array" ref="O261">IF(S$252=-1,P261,IF(S$252=99,N261,IF(S$252=0,INDEX($H254:$O254,0,S$250),(INDEX($H254:$O254,0,S$252+1)-INDEX($H254:$O254,0,S$252))/(INDEX($H$249:$O$249,0,S$252+1)-INDEX($H$249:$O$249,0,S$252))+N261)))</f>
        <v>0</v>
      </c>
      <c r="P261" s="9" cm="1">
        <f t="array" ref="P261">IF(T$252=-1,S261,IF(T$252=99,O261,IF(T$252=0,INDEX($H254:$O254,0,T$250),(INDEX($H254:$O254,0,T$252+1)-INDEX($H254:$O254,0,T$252))/(INDEX($H$249:$O$249,0,T$252+1)-INDEX($H$249:$O$249,0,T$252))+O261)))</f>
        <v>0</v>
      </c>
      <c r="Q261" s="9" cm="1">
        <f t="array" ref="Q261">IF(T$252=-1,S261,IF(T$252=99,O261,IF(T$252=0,INDEX($H254:$O254,0,T$250),(INDEX($H254:$O254,0,T$252+1)-INDEX($H254:$O254,0,T$252))/(INDEX($H$249:$O$249,0,T$252+1)-INDEX($H$249:$O$249,0,T$252))+O261)))</f>
        <v>0</v>
      </c>
      <c r="R261" s="9" cm="1">
        <f t="array" ref="R261">IF(T$252=-1,S261,IF(T$252=99,O261,IF(T$252=0,INDEX($H254:$O254,0,T$250),(INDEX($H254:$O254,0,T$252+1)-INDEX($H254:$O254,0,T$252))/(INDEX($H$249:$O$249,0,T$252+1)-INDEX($H$249:$O$249,0,T$252))+O261)))</f>
        <v>0</v>
      </c>
      <c r="S261" s="9" cm="1">
        <f t="array" ref="S261">IF(U$252=-1,T261,IF(U$252=99,P261,IF(U$252=0,INDEX($H254:$O254,0,U$250),(INDEX($H254:$O254,0,U$252+1)-INDEX($H254:$O254,0,U$252))/(INDEX($H$249:$O$249,0,U$252+1)-INDEX($H$249:$O$249,0,U$252))+P261)))</f>
        <v>0</v>
      </c>
      <c r="T261" s="9" cm="1">
        <f t="array" ref="T261">IF(V$252=-1,U261,IF(V$252=99,S261,IF(V$252=0,INDEX($H254:$O254,0,V$250),(INDEX($H254:$O254,0,V$252+1)-INDEX($H254:$O254,0,V$252))/(INDEX($H$249:$O$249,0,V$252+1)-INDEX($H$249:$O$249,0,V$252))+S261)))</f>
        <v>0</v>
      </c>
      <c r="U261" s="9" cm="1">
        <f t="array" ref="U261">IF(W$252=-1,V261,IF(W$252=99,T261,IF(W$252=0,INDEX($H254:$O254,0,W$250),(INDEX($H254:$O254,0,W$252+1)-INDEX($H254:$O254,0,W$252))/(INDEX($H$249:$O$249,0,W$252+1)-INDEX($H$249:$O$249,0,W$252))+T261)))</f>
        <v>0</v>
      </c>
      <c r="V261" s="9" cm="1">
        <f t="array" ref="V261">IF(X$252=-1,W261,IF(X$252=99,U261,IF(X$252=0,INDEX($H254:$O254,0,X$250),(INDEX($H254:$O254,0,X$252+1)-INDEX($H254:$O254,0,X$252))/(INDEX($H$249:$O$249,0,X$252+1)-INDEX($H$249:$O$249,0,X$252))+U261)))</f>
        <v>0.1290762609784547</v>
      </c>
      <c r="W261" s="9" cm="1">
        <f t="array" ref="W261">IF(Y$252=-1,X261,IF(Y$252=99,V261,IF(Y$252=0,INDEX($H254:$O254,0,Y$250),(INDEX($H254:$O254,0,Y$252+1)-INDEX($H254:$O254,0,Y$252))/(INDEX($H$249:$O$249,0,Y$252+1)-INDEX($H$249:$O$249,0,Y$252))+V261)))</f>
        <v>0.25815252195690941</v>
      </c>
      <c r="X261" s="9" cm="1">
        <f t="array" ref="X261">IF(Z$252=-1,Y261,IF(Z$252=99,W261,IF(Z$252=0,INDEX($H254:$O254,0,Z$250),(INDEX($H254:$O254,0,Z$252+1)-INDEX($H254:$O254,0,Z$252))/(INDEX($H$249:$O$249,0,Z$252+1)-INDEX($H$249:$O$249,0,Z$252))+W261)))</f>
        <v>0.38722878293536411</v>
      </c>
      <c r="Y261" s="9" cm="1">
        <f t="array" ref="Y261">IF(AA$252=-1,Z261,IF(AA$252=99,X261,IF(AA$252=0,INDEX($H254:$O254,0,AA$250),(INDEX($H254:$O254,0,AA$252+1)-INDEX($H254:$O254,0,AA$252))/(INDEX($H$249:$O$249,0,AA$252+1)-INDEX($H$249:$O$249,0,AA$252))+X261)))</f>
        <v>0.37849837815247622</v>
      </c>
      <c r="Z261" s="9" cm="1">
        <f t="array" ref="Z261">IF(AD$252=-1,AA261,IF(AD$252=99,Y261,IF(AD$252=0,INDEX($H254:$O254,0,AD$250),(INDEX($H254:$O254,0,AD$252+1)-INDEX($H254:$O254,0,AD$252))/(INDEX($H$249:$O$249,0,AD$252+1)-INDEX($H$249:$O$249,0,AD$252))+Y261)))</f>
        <v>0.36976797336958833</v>
      </c>
      <c r="AA261" s="9" cm="1">
        <f t="array" ref="AA261">IF(AE$252=-1,AD261,IF(AE$252=99,Z261,IF(AE$252=0,INDEX($H254:$O254,0,AE$250),(INDEX($H254:$O254,0,AE$252+1)-INDEX($H254:$O254,0,AE$252))/(INDEX($H$249:$O$249,0,AE$252+1)-INDEX($H$249:$O$249,0,AE$252))+Z261)))</f>
        <v>0.36103756858670044</v>
      </c>
      <c r="AB261" s="9" cm="1">
        <f t="array" ref="AB261">IF(AE$252=-1,AD261,IF(AE$252=99,Z261,IF(AE$252=0,INDEX($H254:$O254,0,AE$250),(INDEX($H254:$O254,0,AE$252+1)-INDEX($H254:$O254,0,AE$252))/(INDEX($H$249:$O$249,0,AE$252+1)-INDEX($H$249:$O$249,0,AE$252))+Z261)))</f>
        <v>0.36103756858670044</v>
      </c>
      <c r="AC261" s="9" cm="1">
        <f t="array" ref="AC261">IF(AE$252=-1,AD261,IF(AE$252=99,Z261,IF(AE$252=0,INDEX($H254:$O254,0,AE$250),(INDEX($H254:$O254,0,AE$252+1)-INDEX($H254:$O254,0,AE$252))/(INDEX($H$249:$O$249,0,AE$252+1)-INDEX($H$249:$O$249,0,AE$252))+Z261)))</f>
        <v>0.36103756858670044</v>
      </c>
      <c r="AD261" s="9" cm="1">
        <f t="array" ref="AD261">IF(AF$252=-1,AE261,IF(AF$252=99,AA261,IF(AF$252=0,INDEX($H254:$O254,0,AF$250),(INDEX($H254:$O254,0,AF$252+1)-INDEX($H254:$O254,0,AF$252))/(INDEX($H$249:$O$249,0,AF$252+1)-INDEX($H$249:$O$249,0,AF$252))+AA261)))</f>
        <v>0.35230716380381255</v>
      </c>
      <c r="AE261" s="9" cm="1">
        <f t="array" ref="AE261">IF(AG$252=-1,AF261,IF(AG$252=99,AD261,IF(AG$252=0,INDEX($H254:$O254,0,AG$250),(INDEX($H254:$O254,0,AG$252+1)-INDEX($H254:$O254,0,AG$252))/(INDEX($H$249:$O$249,0,AG$252+1)-INDEX($H$249:$O$249,0,AG$252))+AD261)))</f>
        <v>0.34357675902092466</v>
      </c>
      <c r="AF261" s="9" cm="1">
        <f t="array" ref="AF261">IF(AH$252=-1,AG261,IF(AH$252=99,AE261,IF(AH$252=0,INDEX($H254:$O254,0,AH$250),(INDEX($H254:$O254,0,AH$252+1)-INDEX($H254:$O254,0,AH$252))/(INDEX($H$249:$O$249,0,AH$252+1)-INDEX($H$249:$O$249,0,AH$252))+AE261)))</f>
        <v>0.33484635423803677</v>
      </c>
      <c r="AG261" s="9" cm="1">
        <f t="array" ref="AG261">IF(AI$252=-1,AH261,IF(AI$252=99,AF261,IF(AI$252=0,INDEX($H254:$O254,0,AI$250),(INDEX($H254:$O254,0,AI$252+1)-INDEX($H254:$O254,0,AI$252))/(INDEX($H$249:$O$249,0,AI$252+1)-INDEX($H$249:$O$249,0,AI$252))+AF261)))</f>
        <v>0.32611594945514888</v>
      </c>
      <c r="AH261" s="9" cm="1">
        <f t="array" ref="AH261">IF(AJ$252=-1,AI261,IF(AJ$252=99,AG261,IF(AJ$252=0,INDEX($H254:$O254,0,AJ$250),(INDEX($H254:$O254,0,AJ$252+1)-INDEX($H254:$O254,0,AJ$252))/(INDEX($H$249:$O$249,0,AJ$252+1)-INDEX($H$249:$O$249,0,AJ$252))+AG261)))</f>
        <v>0.31738554467226099</v>
      </c>
      <c r="AI261" s="9" cm="1">
        <f t="array" ref="AI261">IF(AK$252=-1,AJ261,IF(AK$252=99,AH261,IF(AK$252=0,INDEX($H254:$O254,0,AK$250),(INDEX($H254:$O254,0,AK$252+1)-INDEX($H254:$O254,0,AK$252))/(INDEX($H$249:$O$249,0,AK$252+1)-INDEX($H$249:$O$249,0,AK$252))+AH261)))</f>
        <v>0.3086551398893731</v>
      </c>
      <c r="AJ261" s="9" cm="1">
        <f t="array" ref="AJ261">IF(AL$252=-1,AK261,IF(AL$252=99,AI261,IF(AL$252=0,INDEX($H254:$O254,0,AL$250),(INDEX($H254:$O254,0,AL$252+1)-INDEX($H254:$O254,0,AL$252))/(INDEX($H$249:$O$249,0,AL$252+1)-INDEX($H$249:$O$249,0,AL$252))+AI261)))</f>
        <v>0.29992473510648504</v>
      </c>
      <c r="AK261" s="9" cm="1">
        <f t="array" ref="AK261">IF(AO$252=-1,AL261,IF(AO$252=99,AJ261,IF(AO$252=0,INDEX($H254:$O254,0,AO$250),(INDEX($H254:$O254,0,AO$252+1)-INDEX($H254:$O254,0,AO$252))/(INDEX($H$249:$O$249,0,AO$252+1)-INDEX($H$249:$O$249,0,AO$252))+AJ261)))</f>
        <v>0.29992473510648504</v>
      </c>
      <c r="AL261" s="9" cm="1">
        <f t="array" ref="AL261">IF(AP$252=-1,AO261,IF(AP$252=99,AK261,IF(AP$252=0,INDEX($H254:$O254,0,AP$250),(INDEX($H254:$O254,0,AP$252+1)-INDEX($H254:$O254,0,AP$252))/(INDEX($H$249:$O$249,0,AP$252+1)-INDEX($H$249:$O$249,0,AP$252))+AK261)))</f>
        <v>0.29992473510648504</v>
      </c>
      <c r="AM261" s="9" cm="1">
        <f t="array" ref="AM261">IF(AP$252=-1,AO261,IF(AP$252=99,AK261,IF(AP$252=0,INDEX($H254:$O254,0,AP$250),(INDEX($H254:$O254,0,AP$252+1)-INDEX($H254:$O254,0,AP$252))/(INDEX($H$249:$O$249,0,AP$252+1)-INDEX($H$249:$O$249,0,AP$252))+AK261)))</f>
        <v>0.29992473510648504</v>
      </c>
      <c r="AN261" s="9" cm="1">
        <f t="array" ref="AN261">IF(AP$252=-1,AO261,IF(AP$252=99,AK261,IF(AP$252=0,INDEX($H254:$O254,0,AP$250),(INDEX($H254:$O254,0,AP$252+1)-INDEX($H254:$O254,0,AP$252))/(INDEX($H$249:$O$249,0,AP$252+1)-INDEX($H$249:$O$249,0,AP$252))+AK261)))</f>
        <v>0.29992473510648504</v>
      </c>
      <c r="AO261" s="9" cm="1">
        <f t="array" ref="AO261">IF(AQ$252=-1,AP261,IF(AQ$252=99,AL261,IF(AQ$252=0,INDEX($H254:$O254,0,AQ$250),(INDEX($H254:$O254,0,AQ$252+1)-INDEX($H254:$O254,0,AQ$252))/(INDEX($H$249:$O$249,0,AQ$252+1)-INDEX($H$249:$O$249,0,AQ$252))+AL261)))</f>
        <v>0.29992473510648504</v>
      </c>
      <c r="AP261" s="9" cm="1">
        <f t="array" ref="AP261">IF(AR$252=-1,AQ261,IF(AR$252=99,AO261,IF(AR$252=0,INDEX($H254:$O254,0,AR$250),(INDEX($H254:$O254,0,AR$252+1)-INDEX($H254:$O254,0,AR$252))/(INDEX($H$249:$O$249,0,AR$252+1)-INDEX($H$249:$O$249,0,AR$252))+AO261)))</f>
        <v>0.29992473510648504</v>
      </c>
      <c r="AQ261" s="9" cm="1">
        <f t="array" ref="AQ261">IF(AS$252=-1,AR261,IF(AS$252=99,AP261,IF(AS$252=0,INDEX($H254:$O254,0,AS$250),(INDEX($H254:$O254,0,AS$252+1)-INDEX($H254:$O254,0,AS$252))/(INDEX($H$249:$O$249,0,AS$252+1)-INDEX($H$249:$O$249,0,AS$252))+AP261)))</f>
        <v>0.29992473510648504</v>
      </c>
      <c r="AR261" s="9" cm="1">
        <f t="array" ref="AR261">IF(AT$252=-1,AS261,IF(AT$252=99,AQ261,IF(AT$252=0,INDEX($H254:$O254,0,AT$250),(INDEX($H254:$O254,0,AT$252+1)-INDEX($H254:$O254,0,AT$252))/(INDEX($H$249:$O$249,0,AT$252+1)-INDEX($H$249:$O$249,0,AT$252))+AQ261)))</f>
        <v>0.29992473510648504</v>
      </c>
      <c r="AS261" s="9" cm="1">
        <f t="array" ref="AS261">IF(AV$252=-1,AT261,IF(AV$252=99,AR261,IF(AV$252=0,INDEX($H254:$O254,0,AV$250),(INDEX($H254:$O254,0,AV$252+1)-INDEX($H254:$O254,0,AV$252))/(INDEX($H$249:$O$249,0,AV$252+1)-INDEX($H$249:$O$249,0,AV$252))+AR261)))</f>
        <v>0.29992473510648504</v>
      </c>
      <c r="AT261" s="9" cm="1">
        <f t="array" ref="AT261">IF(AX$252=-1,AV261,IF(AX$252=99,AS261,IF(AX$252=0,INDEX($H254:$O254,0,AX$250),(INDEX($H254:$O254,0,AX$252+1)-INDEX($H254:$O254,0,AX$252))/(INDEX($H$249:$O$249,0,AX$252+1)-INDEX($H$249:$O$249,0,AX$252))+AS261)))</f>
        <v>0.29992473510648504</v>
      </c>
      <c r="AU261" s="9" cm="1">
        <f t="array" ref="AU261">IF(AX$252=-1,AW261,IF(AX$252=99,AS261,IF(AX$252=0,INDEX($H254:$O254,0,AX$250),(INDEX($H254:$O254,0,AX$252+1)-INDEX($H254:$O254,0,AX$252))/(INDEX($H$249:$O$249,0,AX$252+1)-INDEX($H$249:$O$249,0,AX$252))+AS261)))</f>
        <v>0.29992473510648504</v>
      </c>
      <c r="AV261" s="9" cm="1">
        <f t="array" ref="AV261">IF(AY$252=-1,AX261,IF(AY$252=99,AT261,IF(AY$252=0,INDEX($H254:$O254,0,AY$250),(INDEX($H254:$O254,0,AY$252+1)-INDEX($H254:$O254,0,AY$252))/(INDEX($H$249:$O$249,0,AY$252+1)-INDEX($H$249:$O$249,0,AY$252))+AT261)))</f>
        <v>0.29992473510648504</v>
      </c>
      <c r="AW261" s="9" cm="1">
        <f t="array" ref="AW261">IF(AZ$252=-1,AY261,IF(AZ$252=99,AV261,IF(AZ$252=0,INDEX($H254:$O254,0,AZ$250),(INDEX($H254:$O254,0,AZ$252+1)-INDEX($H254:$O254,0,AZ$252))/(INDEX($H$249:$O$249,0,AZ$252+1)-INDEX($H$249:$O$249,0,AZ$252))+AV261)))</f>
        <v>0.29992473510648504</v>
      </c>
      <c r="AX261" s="9" cm="1">
        <f t="array" ref="AX261">IF(AZ$252=-1,AY261,IF(AZ$252=99,AV261,IF(AZ$252=0,INDEX($H254:$O254,0,AZ$250),(INDEX($H254:$O254,0,AZ$252+1)-INDEX($H254:$O254,0,AZ$252))/(INDEX($H$249:$O$249,0,AZ$252+1)-INDEX($H$249:$O$249,0,AZ$252))+AV261)))</f>
        <v>0.29992473510648504</v>
      </c>
      <c r="AY261" s="9" cm="1">
        <f t="array" ref="AY261">IF(BA$252=-1,AZ261,IF(BA$252=99,AX261,IF(BA$252=0,INDEX($H254:$O254,0,BA$250),(INDEX($H254:$O254,0,BA$252+1)-INDEX($H254:$O254,0,BA$252))/(INDEX($H$249:$O$249,0,BA$252+1)-INDEX($H$249:$O$249,0,BA$252))+AX261)))</f>
        <v>0.29992473510648504</v>
      </c>
      <c r="AZ261" s="9" cm="1">
        <f t="array" ref="AZ261">IF(BB$252=-1,BA261,IF(BB$252=99,AY261,IF(BB$252=0,INDEX($H254:$O254,0,BB$250),(INDEX($H254:$O254,0,BB$252+1)-INDEX($H254:$O254,0,BB$252))/(INDEX($H$249:$O$249,0,BB$252+1)-INDEX($H$249:$O$249,0,BB$252))+AY261)))</f>
        <v>0.29992473510648504</v>
      </c>
      <c r="BA261" s="9" cm="1">
        <f t="array" ref="BA261">IF(BC$252=-1,BB261,IF(BC$252=99,AZ261,IF(BC$252=0,INDEX($H254:$O254,0,BC$250),(INDEX($H254:$O254,0,BC$252+1)-INDEX($H254:$O254,0,BC$252))/(INDEX($H$249:$O$249,0,BC$252+1)-INDEX($H$249:$O$249,0,BC$252))+AZ261)))</f>
        <v>0.29992473510648504</v>
      </c>
      <c r="BB261" s="9" cm="1">
        <f t="array" ref="BB261">IF(BD$252=-1,BC261,IF(BD$252=99,BA261,IF(BD$252=0,INDEX($H254:$O254,0,BD$250),(INDEX($H254:$O254,0,BD$252+1)-INDEX($H254:$O254,0,BD$252))/(INDEX($H$249:$O$249,0,BD$252+1)-INDEX($H$249:$O$249,0,BD$252))+BA261)))</f>
        <v>0.29992473510648504</v>
      </c>
      <c r="BC261" s="9" cm="1">
        <f t="array" ref="BC261">IF(BE$252=-1,BD261,IF(BE$252=99,BB261,IF(BE$252=0,INDEX($H254:$O254,0,BE$250),(INDEX($H254:$O254,0,BE$252+1)-INDEX($H254:$O254,0,BE$252))/(INDEX($H$249:$O$249,0,BE$252+1)-INDEX($H$249:$O$249,0,BE$252))+BB261)))</f>
        <v>0.29992473510648504</v>
      </c>
      <c r="BD261" s="9" cm="1">
        <f t="array" ref="BD261">IF(BF$252=-1,BI261,IF(BF$252=99,BC261,IF(BF$252=0,INDEX($H254:$O254,0,BF$250),(INDEX($H254:$O254,0,BF$252+1)-INDEX($H254:$O254,0,BF$252))/(INDEX($H$249:$O$249,0,BF$252+1)-INDEX($H$249:$O$249,0,BF$252))+BC261)))</f>
        <v>0.29992473510648504</v>
      </c>
      <c r="BE261" s="9" cm="1">
        <f t="array" ref="BE261">IF(BG$252=-1,BJ261,IF(BG$252=99,BD261,IF(BG$252=0,INDEX($H254:$O254,0,BG$250),(INDEX($H254:$O254,0,BG$252+1)-INDEX($H254:$O254,0,BG$252))/(INDEX($H$249:$O$249,0,BG$252+1)-INDEX($H$249:$O$249,0,BG$252))+BD261)))</f>
        <v>0.29992473510648504</v>
      </c>
      <c r="BF261" s="9" cm="1">
        <f t="array" ref="BF261">IF(BH$252=-1,BK261,IF(BH$252=99,BE261,IF(BH$252=0,INDEX($H254:$O254,0,BH$250),(INDEX($H254:$O254,0,BH$252+1)-INDEX($H254:$O254,0,BH$252))/(INDEX($H$249:$O$249,0,BH$252+1)-INDEX($H$249:$O$249,0,BH$252))+BE261)))</f>
        <v>0.29992473510648504</v>
      </c>
      <c r="BG261" s="9" cm="1">
        <f t="array" ref="BG261">IF(BI$252=-1,BL261,IF(BI$252=99,BF261,IF(BI$252=0,INDEX($H254:$O254,0,BI$250),(INDEX($H254:$O254,0,BI$252+1)-INDEX($H254:$O254,0,BI$252))/(INDEX($H$249:$O$249,0,BI$252+1)-INDEX($H$249:$O$249,0,BI$252))+BF261)))</f>
        <v>0.29992473510648504</v>
      </c>
      <c r="BH261" s="9" cm="1">
        <f t="array" ref="BH261">IF(BJ$252=-1,BM261,IF(BJ$252=99,BG261,IF(BJ$252=0,INDEX($H254:$O254,0,BJ$250),(INDEX($H254:$O254,0,BJ$252+1)-INDEX($H254:$O254,0,BJ$252))/(INDEX($H$249:$O$249,0,BJ$252+1)-INDEX($H$249:$O$249,0,BJ$252))+BG261)))</f>
        <v>0.29992473510648504</v>
      </c>
      <c r="BI261" s="9" cm="1">
        <f t="array" ref="BI261">IF(BK$252=-1,BN261,IF(BK$252=99,BH261,IF(BK$252=0,INDEX($H254:$O254,0,BK$250),(INDEX($H254:$O254,0,BK$252+1)-INDEX($H254:$O254,0,BK$252))/(INDEX($H$249:$O$249,0,BK$252+1)-INDEX($H$249:$O$249,0,BK$252))+BH261)))</f>
        <v>0.29992473510648504</v>
      </c>
      <c r="BJ261" s="9" cm="1">
        <f t="array" ref="BJ261">IF(BH$252=-1,BL261,IF(BH$252=99,BI261,IF(BH$252=0,INDEX($H254:$O254,0,BH$250),(INDEX($H254:$O254,0,BH$252+1)-INDEX($H254:$O254,0,BH$252))/(INDEX($H$249:$O$249,0,BH$252+1)-INDEX($H$249:$O$249,0,BH$252))+BI261)))</f>
        <v>0.29992473510648504</v>
      </c>
      <c r="BK261" s="9" cm="1">
        <f t="array" ref="BK261">IF(BI$252=-1,BM261,IF(BI$252=99,BJ261,IF(BI$252=0,INDEX($H254:$O254,0,BI$250),(INDEX($H254:$O254,0,BI$252+1)-INDEX($H254:$O254,0,BI$252))/(INDEX($H$249:$O$249,0,BI$252+1)-INDEX($H$249:$O$249,0,BI$252))+BJ261)))</f>
        <v>0.29992473510648504</v>
      </c>
      <c r="BL261" s="9" cm="1">
        <f t="array" ref="BL261">IF(BJ$252=-1,BN261,IF(BJ$252=99,BK261,IF(BJ$252=0,INDEX($H254:$O254,0,BJ$250),(INDEX($H254:$O254,0,BJ$252+1)-INDEX($H254:$O254,0,BJ$252))/(INDEX($H$249:$O$249,0,BJ$252+1)-INDEX($H$249:$O$249,0,BJ$252))+BK261)))</f>
        <v>0.29992473510648504</v>
      </c>
      <c r="BM261" s="9" cm="1">
        <f t="array" ref="BM261">IF(BK$252=-1,BO261,IF(BK$252=99,BL261,IF(BK$252=0,INDEX($H254:$O254,0,BK$250),(INDEX($H254:$O254,0,BK$252+1)-INDEX($H254:$O254,0,BK$252))/(INDEX($H$249:$O$249,0,BK$252+1)-INDEX($H$249:$O$249,0,BK$252))+BL261)))</f>
        <v>0.29992473510648504</v>
      </c>
      <c r="BN261" s="9" cm="1">
        <f t="array" ref="BN261">IF(BL$252=-1,BP261,IF(BL$252=99,BM261,IF(BL$252=0,INDEX($H254:$O254,0,BL$250),(INDEX($H254:$O254,0,BL$252+1)-INDEX($H254:$O254,0,BL$252))/(INDEX($H$249:$O$249,0,BL$252+1)-INDEX($H$249:$O$249,0,BL$252))+BM261)))</f>
        <v>0.29992473510648504</v>
      </c>
      <c r="BO261" s="9" cm="1">
        <f t="array" ref="BO261">IF(BM$252=-1,BQ261,IF(BM$252=99,BN261,IF(BM$252=0,INDEX($H254:$O254,0,BM$250),(INDEX($H254:$O254,0,BM$252+1)-INDEX($H254:$O254,0,BM$252))/(INDEX($H$249:$O$249,0,BM$252+1)-INDEX($H$249:$O$249,0,BM$252))+BN261)))</f>
        <v>0.29992473510648504</v>
      </c>
      <c r="BP261" s="9" cm="1">
        <f t="array" ref="BP261">IF(BN$252=-1,BR261,IF(BN$252=99,BO261,IF(BN$252=0,INDEX($H254:$O254,0,BN$250),(INDEX($H254:$O254,0,BN$252+1)-INDEX($H254:$O254,0,BN$252))/(INDEX($H$249:$O$249,0,BN$252+1)-INDEX($H$249:$O$249,0,BN$252))+BO261)))</f>
        <v>0.29992473510648504</v>
      </c>
    </row>
    <row r="262" spans="5:68" ht="15">
      <c r="E262" t="s">
        <v>16</v>
      </c>
      <c r="I262" t="s">
        <v>425</v>
      </c>
      <c r="J262" t="s">
        <v>425</v>
      </c>
      <c r="K262" t="s">
        <v>421</v>
      </c>
      <c r="L262" s="9" t="s">
        <v>424</v>
      </c>
      <c r="M262" t="s">
        <v>261</v>
      </c>
      <c r="N262" s="9" t="e">
        <f t="shared" si="572"/>
        <v>#REF!</v>
      </c>
      <c r="O262" s="9" cm="1">
        <f t="array" ref="O262">IF(S$252=-1,P262,IF(S$252=99,N262,IF(S$252=0,INDEX($H255:$O255,0,S$250),(INDEX($H255:$O255,0,S$252+1)-INDEX($H255:$O255,0,S$252))/(INDEX($H$249:$O$249,0,S$252+1)-INDEX($H$249:$O$249,0,S$252))+N262)))</f>
        <v>0</v>
      </c>
      <c r="P262" s="9" cm="1">
        <f t="array" ref="P262">IF(T$252=-1,S262,IF(T$252=99,O262,IF(T$252=0,INDEX($H255:$O255,0,T$250),(INDEX($H255:$O255,0,T$252+1)-INDEX($H255:$O255,0,T$252))/(INDEX($H$249:$O$249,0,T$252+1)-INDEX($H$249:$O$249,0,T$252))+O262)))</f>
        <v>0</v>
      </c>
      <c r="Q262" s="9" cm="1">
        <f t="array" ref="Q262">IF(T$252=-1,S262,IF(T$252=99,O262,IF(T$252=0,INDEX($H255:$O255,0,T$250),(INDEX($H255:$O255,0,T$252+1)-INDEX($H255:$O255,0,T$252))/(INDEX($H$249:$O$249,0,T$252+1)-INDEX($H$249:$O$249,0,T$252))+O262)))</f>
        <v>0</v>
      </c>
      <c r="R262" s="9" cm="1">
        <f t="array" ref="R262">IF(T$252=-1,S262,IF(T$252=99,O262,IF(T$252=0,INDEX($H255:$O255,0,T$250),(INDEX($H255:$O255,0,T$252+1)-INDEX($H255:$O255,0,T$252))/(INDEX($H$249:$O$249,0,T$252+1)-INDEX($H$249:$O$249,0,T$252))+O262)))</f>
        <v>0</v>
      </c>
      <c r="S262" s="9" cm="1">
        <f t="array" ref="S262">IF(U$252=-1,T262,IF(U$252=99,P262,IF(U$252=0,INDEX($H255:$O255,0,U$250),(INDEX($H255:$O255,0,U$252+1)-INDEX($H255:$O255,0,U$252))/(INDEX($H$249:$O$249,0,U$252+1)-INDEX($H$249:$O$249,0,U$252))+P262)))</f>
        <v>0</v>
      </c>
      <c r="T262" s="9" cm="1">
        <f t="array" ref="T262">IF(V$252=-1,U262,IF(V$252=99,S262,IF(V$252=0,INDEX($H255:$O255,0,V$250),(INDEX($H255:$O255,0,V$252+1)-INDEX($H255:$O255,0,V$252))/(INDEX($H$249:$O$249,0,V$252+1)-INDEX($H$249:$O$249,0,V$252))+S262)))</f>
        <v>0</v>
      </c>
      <c r="U262" s="9" cm="1">
        <f t="array" ref="U262">IF(W$252=-1,V262,IF(W$252=99,T262,IF(W$252=0,INDEX($H255:$O255,0,W$250),(INDEX($H255:$O255,0,W$252+1)-INDEX($H255:$O255,0,W$252))/(INDEX($H$249:$O$249,0,W$252+1)-INDEX($H$249:$O$249,0,W$252))+T262)))</f>
        <v>0</v>
      </c>
      <c r="V262" s="9" cm="1">
        <f t="array" ref="V262">IF(X$252=-1,W262,IF(X$252=99,U262,IF(X$252=0,INDEX($H255:$O255,0,X$250),(INDEX($H255:$O255,0,X$252+1)-INDEX($H255:$O255,0,X$252))/(INDEX($H$249:$O$249,0,X$252+1)-INDEX($H$249:$O$249,0,X$252))+U262)))</f>
        <v>0.16401910129802044</v>
      </c>
      <c r="W262" s="9" cm="1">
        <f t="array" ref="W262">IF(Y$252=-1,X262,IF(Y$252=99,V262,IF(Y$252=0,INDEX($H255:$O255,0,Y$250),(INDEX($H255:$O255,0,Y$252+1)-INDEX($H255:$O255,0,Y$252))/(INDEX($H$249:$O$249,0,Y$252+1)-INDEX($H$249:$O$249,0,Y$252))+V262)))</f>
        <v>0.32803820259604088</v>
      </c>
      <c r="X262" s="9" cm="1">
        <f t="array" ref="X262">IF(Z$252=-1,Y262,IF(Z$252=99,W262,IF(Z$252=0,INDEX($H255:$O255,0,Z$250),(INDEX($H255:$O255,0,Z$252+1)-INDEX($H255:$O255,0,Z$252))/(INDEX($H$249:$O$249,0,Z$252+1)-INDEX($H$249:$O$249,0,Z$252))+W262)))</f>
        <v>0.49205730389406133</v>
      </c>
      <c r="Y262" s="9" cm="1">
        <f t="array" ref="Y262">IF(AA$252=-1,Z262,IF(AA$252=99,X262,IF(AA$252=0,INDEX($H255:$O255,0,AA$250),(INDEX($H255:$O255,0,AA$252+1)-INDEX($H255:$O255,0,AA$252))/(INDEX($H$249:$O$249,0,AA$252+1)-INDEX($H$249:$O$249,0,AA$252))+X262)))</f>
        <v>0.50333631819950864</v>
      </c>
      <c r="Z262" s="9" cm="1">
        <f t="array" ref="Z262">IF(AD$252=-1,AA262,IF(AD$252=99,Y262,IF(AD$252=0,INDEX($H255:$O255,0,AD$250),(INDEX($H255:$O255,0,AD$252+1)-INDEX($H255:$O255,0,AD$252))/(INDEX($H$249:$O$249,0,AD$252+1)-INDEX($H$249:$O$249,0,AD$252))+Y262)))</f>
        <v>0.51461533250495595</v>
      </c>
      <c r="AA262" s="9" cm="1">
        <f t="array" ref="AA262">IF(AE$252=-1,AD262,IF(AE$252=99,Z262,IF(AE$252=0,INDEX($H255:$O255,0,AE$250),(INDEX($H255:$O255,0,AE$252+1)-INDEX($H255:$O255,0,AE$252))/(INDEX($H$249:$O$249,0,AE$252+1)-INDEX($H$249:$O$249,0,AE$252))+Z262)))</f>
        <v>0.52589434681040326</v>
      </c>
      <c r="AB262" s="9" cm="1">
        <f t="array" ref="AB262">IF(AE$252=-1,AD262,IF(AE$252=99,Z262,IF(AE$252=0,INDEX($H255:$O255,0,AE$250),(INDEX($H255:$O255,0,AE$252+1)-INDEX($H255:$O255,0,AE$252))/(INDEX($H$249:$O$249,0,AE$252+1)-INDEX($H$249:$O$249,0,AE$252))+Z262)))</f>
        <v>0.52589434681040326</v>
      </c>
      <c r="AC262" s="9" cm="1">
        <f t="array" ref="AC262">IF(AE$252=-1,AD262,IF(AE$252=99,Z262,IF(AE$252=0,INDEX($H255:$O255,0,AE$250),(INDEX($H255:$O255,0,AE$252+1)-INDEX($H255:$O255,0,AE$252))/(INDEX($H$249:$O$249,0,AE$252+1)-INDEX($H$249:$O$249,0,AE$252))+Z262)))</f>
        <v>0.52589434681040326</v>
      </c>
      <c r="AD262" s="9" cm="1">
        <f t="array" ref="AD262">IF(AF$252=-1,AE262,IF(AF$252=99,AA262,IF(AF$252=0,INDEX($H255:$O255,0,AF$250),(INDEX($H255:$O255,0,AF$252+1)-INDEX($H255:$O255,0,AF$252))/(INDEX($H$249:$O$249,0,AF$252+1)-INDEX($H$249:$O$249,0,AF$252))+AA262)))</f>
        <v>0.53717336111585057</v>
      </c>
      <c r="AE262" s="9" cm="1">
        <f t="array" ref="AE262">IF(AG$252=-1,AF262,IF(AG$252=99,AD262,IF(AG$252=0,INDEX($H255:$O255,0,AG$250),(INDEX($H255:$O255,0,AG$252+1)-INDEX($H255:$O255,0,AG$252))/(INDEX($H$249:$O$249,0,AG$252+1)-INDEX($H$249:$O$249,0,AG$252))+AD262)))</f>
        <v>0.54845237542129788</v>
      </c>
      <c r="AF262" s="9" cm="1">
        <f t="array" ref="AF262">IF(AH$252=-1,AG262,IF(AH$252=99,AE262,IF(AH$252=0,INDEX($H255:$O255,0,AH$250),(INDEX($H255:$O255,0,AH$252+1)-INDEX($H255:$O255,0,AH$252))/(INDEX($H$249:$O$249,0,AH$252+1)-INDEX($H$249:$O$249,0,AH$252))+AE262)))</f>
        <v>0.55973138972674519</v>
      </c>
      <c r="AG262" s="9" cm="1">
        <f t="array" ref="AG262">IF(AI$252=-1,AH262,IF(AI$252=99,AF262,IF(AI$252=0,INDEX($H255:$O255,0,AI$250),(INDEX($H255:$O255,0,AI$252+1)-INDEX($H255:$O255,0,AI$252))/(INDEX($H$249:$O$249,0,AI$252+1)-INDEX($H$249:$O$249,0,AI$252))+AF262)))</f>
        <v>0.5710104040321925</v>
      </c>
      <c r="AH262" s="9" cm="1">
        <f t="array" ref="AH262">IF(AJ$252=-1,AI262,IF(AJ$252=99,AG262,IF(AJ$252=0,INDEX($H255:$O255,0,AJ$250),(INDEX($H255:$O255,0,AJ$252+1)-INDEX($H255:$O255,0,AJ$252))/(INDEX($H$249:$O$249,0,AJ$252+1)-INDEX($H$249:$O$249,0,AJ$252))+AG262)))</f>
        <v>0.58228941833763981</v>
      </c>
      <c r="AI262" s="9" cm="1">
        <f t="array" ref="AI262">IF(AK$252=-1,AJ262,IF(AK$252=99,AH262,IF(AK$252=0,INDEX($H255:$O255,0,AK$250),(INDEX($H255:$O255,0,AK$252+1)-INDEX($H255:$O255,0,AK$252))/(INDEX($H$249:$O$249,0,AK$252+1)-INDEX($H$249:$O$249,0,AK$252))+AH262)))</f>
        <v>0.59356843264308712</v>
      </c>
      <c r="AJ262" s="9" cm="1">
        <f t="array" ref="AJ262">IF(AL$252=-1,AK262,IF(AL$252=99,AI262,IF(AL$252=0,INDEX($H255:$O255,0,AL$250),(INDEX($H255:$O255,0,AL$252+1)-INDEX($H255:$O255,0,AL$252))/(INDEX($H$249:$O$249,0,AL$252+1)-INDEX($H$249:$O$249,0,AL$252))+AI262)))</f>
        <v>0.6048474469485341</v>
      </c>
      <c r="AK262" s="9" cm="1">
        <f t="array" ref="AK262">IF(AO$252=-1,AL262,IF(AO$252=99,AJ262,IF(AO$252=0,INDEX($H255:$O255,0,AO$250),(INDEX($H255:$O255,0,AO$252+1)-INDEX($H255:$O255,0,AO$252))/(INDEX($H$249:$O$249,0,AO$252+1)-INDEX($H$249:$O$249,0,AO$252))+AJ262)))</f>
        <v>0.6048474469485341</v>
      </c>
      <c r="AL262" s="9" cm="1">
        <f t="array" ref="AL262">IF(AP$252=-1,AO262,IF(AP$252=99,AK262,IF(AP$252=0,INDEX($H255:$O255,0,AP$250),(INDEX($H255:$O255,0,AP$252+1)-INDEX($H255:$O255,0,AP$252))/(INDEX($H$249:$O$249,0,AP$252+1)-INDEX($H$249:$O$249,0,AP$252))+AK262)))</f>
        <v>0.6048474469485341</v>
      </c>
      <c r="AM262" s="9" cm="1">
        <f t="array" ref="AM262">IF(AP$252=-1,AO262,IF(AP$252=99,AK262,IF(AP$252=0,INDEX($H255:$O255,0,AP$250),(INDEX($H255:$O255,0,AP$252+1)-INDEX($H255:$O255,0,AP$252))/(INDEX($H$249:$O$249,0,AP$252+1)-INDEX($H$249:$O$249,0,AP$252))+AK262)))</f>
        <v>0.6048474469485341</v>
      </c>
      <c r="AN262" s="9" cm="1">
        <f t="array" ref="AN262">IF(AP$252=-1,AO262,IF(AP$252=99,AK262,IF(AP$252=0,INDEX($H255:$O255,0,AP$250),(INDEX($H255:$O255,0,AP$252+1)-INDEX($H255:$O255,0,AP$252))/(INDEX($H$249:$O$249,0,AP$252+1)-INDEX($H$249:$O$249,0,AP$252))+AK262)))</f>
        <v>0.6048474469485341</v>
      </c>
      <c r="AO262" s="9" cm="1">
        <f t="array" ref="AO262">IF(AQ$252=-1,AP262,IF(AQ$252=99,AL262,IF(AQ$252=0,INDEX($H255:$O255,0,AQ$250),(INDEX($H255:$O255,0,AQ$252+1)-INDEX($H255:$O255,0,AQ$252))/(INDEX($H$249:$O$249,0,AQ$252+1)-INDEX($H$249:$O$249,0,AQ$252))+AL262)))</f>
        <v>0.6048474469485341</v>
      </c>
      <c r="AP262" s="9" cm="1">
        <f t="array" ref="AP262">IF(AR$252=-1,AQ262,IF(AR$252=99,AO262,IF(AR$252=0,INDEX($H255:$O255,0,AR$250),(INDEX($H255:$O255,0,AR$252+1)-INDEX($H255:$O255,0,AR$252))/(INDEX($H$249:$O$249,0,AR$252+1)-INDEX($H$249:$O$249,0,AR$252))+AO262)))</f>
        <v>0.6048474469485341</v>
      </c>
      <c r="AQ262" s="9" cm="1">
        <f t="array" ref="AQ262">IF(AS$252=-1,AR262,IF(AS$252=99,AP262,IF(AS$252=0,INDEX($H255:$O255,0,AS$250),(INDEX($H255:$O255,0,AS$252+1)-INDEX($H255:$O255,0,AS$252))/(INDEX($H$249:$O$249,0,AS$252+1)-INDEX($H$249:$O$249,0,AS$252))+AP262)))</f>
        <v>0.6048474469485341</v>
      </c>
      <c r="AR262" s="9" cm="1">
        <f t="array" ref="AR262">IF(AT$252=-1,AS262,IF(AT$252=99,AQ262,IF(AT$252=0,INDEX($H255:$O255,0,AT$250),(INDEX($H255:$O255,0,AT$252+1)-INDEX($H255:$O255,0,AT$252))/(INDEX($H$249:$O$249,0,AT$252+1)-INDEX($H$249:$O$249,0,AT$252))+AQ262)))</f>
        <v>0.6048474469485341</v>
      </c>
      <c r="AS262" s="9" cm="1">
        <f t="array" ref="AS262">IF(AV$252=-1,AT262,IF(AV$252=99,AR262,IF(AV$252=0,INDEX($H255:$O255,0,AV$250),(INDEX($H255:$O255,0,AV$252+1)-INDEX($H255:$O255,0,AV$252))/(INDEX($H$249:$O$249,0,AV$252+1)-INDEX($H$249:$O$249,0,AV$252))+AR262)))</f>
        <v>0.6048474469485341</v>
      </c>
      <c r="AT262" s="9" cm="1">
        <f t="array" ref="AT262">IF(AX$252=-1,AV262,IF(AX$252=99,AS262,IF(AX$252=0,INDEX($H255:$O255,0,AX$250),(INDEX($H255:$O255,0,AX$252+1)-INDEX($H255:$O255,0,AX$252))/(INDEX($H$249:$O$249,0,AX$252+1)-INDEX($H$249:$O$249,0,AX$252))+AS262)))</f>
        <v>0.6048474469485341</v>
      </c>
      <c r="AU262" s="9" cm="1">
        <f t="array" ref="AU262">IF(AX$252=-1,AW262,IF(AX$252=99,AS262,IF(AX$252=0,INDEX($H255:$O255,0,AX$250),(INDEX($H255:$O255,0,AX$252+1)-INDEX($H255:$O255,0,AX$252))/(INDEX($H$249:$O$249,0,AX$252+1)-INDEX($H$249:$O$249,0,AX$252))+AS262)))</f>
        <v>0.6048474469485341</v>
      </c>
      <c r="AV262" s="9" cm="1">
        <f t="array" ref="AV262">IF(AY$252=-1,AX262,IF(AY$252=99,AT262,IF(AY$252=0,INDEX($H255:$O255,0,AY$250),(INDEX($H255:$O255,0,AY$252+1)-INDEX($H255:$O255,0,AY$252))/(INDEX($H$249:$O$249,0,AY$252+1)-INDEX($H$249:$O$249,0,AY$252))+AT262)))</f>
        <v>0.6048474469485341</v>
      </c>
      <c r="AW262" s="9" cm="1">
        <f t="array" ref="AW262">IF(AZ$252=-1,AY262,IF(AZ$252=99,AV262,IF(AZ$252=0,INDEX($H255:$O255,0,AZ$250),(INDEX($H255:$O255,0,AZ$252+1)-INDEX($H255:$O255,0,AZ$252))/(INDEX($H$249:$O$249,0,AZ$252+1)-INDEX($H$249:$O$249,0,AZ$252))+AV262)))</f>
        <v>0.6048474469485341</v>
      </c>
      <c r="AX262" s="9" cm="1">
        <f t="array" ref="AX262">IF(AZ$252=-1,AY262,IF(AZ$252=99,AV262,IF(AZ$252=0,INDEX($H255:$O255,0,AZ$250),(INDEX($H255:$O255,0,AZ$252+1)-INDEX($H255:$O255,0,AZ$252))/(INDEX($H$249:$O$249,0,AZ$252+1)-INDEX($H$249:$O$249,0,AZ$252))+AV262)))</f>
        <v>0.6048474469485341</v>
      </c>
      <c r="AY262" s="9" cm="1">
        <f t="array" ref="AY262">IF(BA$252=-1,AZ262,IF(BA$252=99,AX262,IF(BA$252=0,INDEX($H255:$O255,0,BA$250),(INDEX($H255:$O255,0,BA$252+1)-INDEX($H255:$O255,0,BA$252))/(INDEX($H$249:$O$249,0,BA$252+1)-INDEX($H$249:$O$249,0,BA$252))+AX262)))</f>
        <v>0.6048474469485341</v>
      </c>
      <c r="AZ262" s="9" cm="1">
        <f t="array" ref="AZ262">IF(BB$252=-1,BA262,IF(BB$252=99,AY262,IF(BB$252=0,INDEX($H255:$O255,0,BB$250),(INDEX($H255:$O255,0,BB$252+1)-INDEX($H255:$O255,0,BB$252))/(INDEX($H$249:$O$249,0,BB$252+1)-INDEX($H$249:$O$249,0,BB$252))+AY262)))</f>
        <v>0.6048474469485341</v>
      </c>
      <c r="BA262" s="9" cm="1">
        <f t="array" ref="BA262">IF(BC$252=-1,BB262,IF(BC$252=99,AZ262,IF(BC$252=0,INDEX($H255:$O255,0,BC$250),(INDEX($H255:$O255,0,BC$252+1)-INDEX($H255:$O255,0,BC$252))/(INDEX($H$249:$O$249,0,BC$252+1)-INDEX($H$249:$O$249,0,BC$252))+AZ262)))</f>
        <v>0.6048474469485341</v>
      </c>
      <c r="BB262" s="9" cm="1">
        <f t="array" ref="BB262">IF(BD$252=-1,BC262,IF(BD$252=99,BA262,IF(BD$252=0,INDEX($H255:$O255,0,BD$250),(INDEX($H255:$O255,0,BD$252+1)-INDEX($H255:$O255,0,BD$252))/(INDEX($H$249:$O$249,0,BD$252+1)-INDEX($H$249:$O$249,0,BD$252))+BA262)))</f>
        <v>0.6048474469485341</v>
      </c>
      <c r="BC262" s="9" cm="1">
        <f t="array" ref="BC262">IF(BE$252=-1,BD262,IF(BE$252=99,BB262,IF(BE$252=0,INDEX($H255:$O255,0,BE$250),(INDEX($H255:$O255,0,BE$252+1)-INDEX($H255:$O255,0,BE$252))/(INDEX($H$249:$O$249,0,BE$252+1)-INDEX($H$249:$O$249,0,BE$252))+BB262)))</f>
        <v>0.6048474469485341</v>
      </c>
      <c r="BD262" s="9" cm="1">
        <f t="array" ref="BD262">IF(BF$252=-1,BI262,IF(BF$252=99,BC262,IF(BF$252=0,INDEX($H255:$O255,0,BF$250),(INDEX($H255:$O255,0,BF$252+1)-INDEX($H255:$O255,0,BF$252))/(INDEX($H$249:$O$249,0,BF$252+1)-INDEX($H$249:$O$249,0,BF$252))+BC262)))</f>
        <v>0.6048474469485341</v>
      </c>
      <c r="BE262" s="9" cm="1">
        <f t="array" ref="BE262">IF(BG$252=-1,BJ262,IF(BG$252=99,BD262,IF(BG$252=0,INDEX($H255:$O255,0,BG$250),(INDEX($H255:$O255,0,BG$252+1)-INDEX($H255:$O255,0,BG$252))/(INDEX($H$249:$O$249,0,BG$252+1)-INDEX($H$249:$O$249,0,BG$252))+BD262)))</f>
        <v>0.6048474469485341</v>
      </c>
      <c r="BF262" s="9" cm="1">
        <f t="array" ref="BF262">IF(BH$252=-1,BK262,IF(BH$252=99,BE262,IF(BH$252=0,INDEX($H255:$O255,0,BH$250),(INDEX($H255:$O255,0,BH$252+1)-INDEX($H255:$O255,0,BH$252))/(INDEX($H$249:$O$249,0,BH$252+1)-INDEX($H$249:$O$249,0,BH$252))+BE262)))</f>
        <v>0.6048474469485341</v>
      </c>
      <c r="BG262" s="9" cm="1">
        <f t="array" ref="BG262">IF(BI$252=-1,BL262,IF(BI$252=99,BF262,IF(BI$252=0,INDEX($H255:$O255,0,BI$250),(INDEX($H255:$O255,0,BI$252+1)-INDEX($H255:$O255,0,BI$252))/(INDEX($H$249:$O$249,0,BI$252+1)-INDEX($H$249:$O$249,0,BI$252))+BF262)))</f>
        <v>0.6048474469485341</v>
      </c>
      <c r="BH262" s="9" cm="1">
        <f t="array" ref="BH262">IF(BJ$252=-1,BM262,IF(BJ$252=99,BG262,IF(BJ$252=0,INDEX($H255:$O255,0,BJ$250),(INDEX($H255:$O255,0,BJ$252+1)-INDEX($H255:$O255,0,BJ$252))/(INDEX($H$249:$O$249,0,BJ$252+1)-INDEX($H$249:$O$249,0,BJ$252))+BG262)))</f>
        <v>0.6048474469485341</v>
      </c>
      <c r="BI262" s="9" cm="1">
        <f t="array" ref="BI262">IF(BK$252=-1,BN262,IF(BK$252=99,BH262,IF(BK$252=0,INDEX($H255:$O255,0,BK$250),(INDEX($H255:$O255,0,BK$252+1)-INDEX($H255:$O255,0,BK$252))/(INDEX($H$249:$O$249,0,BK$252+1)-INDEX($H$249:$O$249,0,BK$252))+BH262)))</f>
        <v>0.6048474469485341</v>
      </c>
      <c r="BJ262" s="9" cm="1">
        <f t="array" ref="BJ262">IF(BH$252=-1,BL262,IF(BH$252=99,BI262,IF(BH$252=0,INDEX($H255:$O255,0,BH$250),(INDEX($H255:$O255,0,BH$252+1)-INDEX($H255:$O255,0,BH$252))/(INDEX($H$249:$O$249,0,BH$252+1)-INDEX($H$249:$O$249,0,BH$252))+BI262)))</f>
        <v>0.6048474469485341</v>
      </c>
      <c r="BK262" s="9" cm="1">
        <f t="array" ref="BK262">IF(BI$252=-1,BM262,IF(BI$252=99,BJ262,IF(BI$252=0,INDEX($H255:$O255,0,BI$250),(INDEX($H255:$O255,0,BI$252+1)-INDEX($H255:$O255,0,BI$252))/(INDEX($H$249:$O$249,0,BI$252+1)-INDEX($H$249:$O$249,0,BI$252))+BJ262)))</f>
        <v>0.6048474469485341</v>
      </c>
      <c r="BL262" s="9" cm="1">
        <f t="array" ref="BL262">IF(BJ$252=-1,BN262,IF(BJ$252=99,BK262,IF(BJ$252=0,INDEX($H255:$O255,0,BJ$250),(INDEX($H255:$O255,0,BJ$252+1)-INDEX($H255:$O255,0,BJ$252))/(INDEX($H$249:$O$249,0,BJ$252+1)-INDEX($H$249:$O$249,0,BJ$252))+BK262)))</f>
        <v>0.6048474469485341</v>
      </c>
      <c r="BM262" s="9" cm="1">
        <f t="array" ref="BM262">IF(BK$252=-1,BO262,IF(BK$252=99,BL262,IF(BK$252=0,INDEX($H255:$O255,0,BK$250),(INDEX($H255:$O255,0,BK$252+1)-INDEX($H255:$O255,0,BK$252))/(INDEX($H$249:$O$249,0,BK$252+1)-INDEX($H$249:$O$249,0,BK$252))+BL262)))</f>
        <v>0.6048474469485341</v>
      </c>
      <c r="BN262" s="9" cm="1">
        <f t="array" ref="BN262">IF(BL$252=-1,BP262,IF(BL$252=99,BM262,IF(BL$252=0,INDEX($H255:$O255,0,BL$250),(INDEX($H255:$O255,0,BL$252+1)-INDEX($H255:$O255,0,BL$252))/(INDEX($H$249:$O$249,0,BL$252+1)-INDEX($H$249:$O$249,0,BL$252))+BM262)))</f>
        <v>0.6048474469485341</v>
      </c>
      <c r="BO262" s="9" cm="1">
        <f t="array" ref="BO262">IF(BM$252=-1,BQ262,IF(BM$252=99,BN262,IF(BM$252=0,INDEX($H255:$O255,0,BM$250),(INDEX($H255:$O255,0,BM$252+1)-INDEX($H255:$O255,0,BM$252))/(INDEX($H$249:$O$249,0,BM$252+1)-INDEX($H$249:$O$249,0,BM$252))+BN262)))</f>
        <v>0.6048474469485341</v>
      </c>
      <c r="BP262" s="9" cm="1">
        <f t="array" ref="BP262">IF(BN$252=-1,BR262,IF(BN$252=99,BO262,IF(BN$252=0,INDEX($H255:$O255,0,BN$250),(INDEX($H255:$O255,0,BN$252+1)-INDEX($H255:$O255,0,BN$252))/(INDEX($H$249:$O$249,0,BN$252+1)-INDEX($H$249:$O$249,0,BN$252))+BO262)))</f>
        <v>0.6048474469485341</v>
      </c>
    </row>
    <row r="263" spans="5:68" ht="15">
      <c r="E263" t="s">
        <v>16</v>
      </c>
      <c r="I263" t="s">
        <v>426</v>
      </c>
      <c r="J263" t="s">
        <v>426</v>
      </c>
      <c r="K263" t="str">
        <f>K260</f>
        <v>low income</v>
      </c>
      <c r="L263" s="9" t="s">
        <v>423</v>
      </c>
      <c r="M263" t="str">
        <f>M260</f>
        <v>hhd-le</v>
      </c>
      <c r="N263" s="9" t="e">
        <f t="shared" si="572"/>
        <v>#REF!</v>
      </c>
      <c r="O263" s="9" cm="1">
        <f t="array" ref="O263">IF(S$252=-1,P263,IF(S$252=99,N263,IF(S$252=0,INDEX($H256:$O256,0,S$250),(INDEX($H256:$O256,0,S$252+1)-INDEX($H256:$O256,0,S$252))/(INDEX($H$249:$O$249,0,S$252+1)-INDEX($H$249:$O$249,0,S$252))+N263)))</f>
        <v>0</v>
      </c>
      <c r="P263" s="9" cm="1">
        <f t="array" ref="P263">IF(T$252=-1,S263,IF(T$252=99,O263,IF(T$252=0,INDEX($H256:$O256,0,T$250),(INDEX($H256:$O256,0,T$252+1)-INDEX($H256:$O256,0,T$252))/(INDEX($H$249:$O$249,0,T$252+1)-INDEX($H$249:$O$249,0,T$252))+O263)))</f>
        <v>0</v>
      </c>
      <c r="Q263" s="9" cm="1">
        <f t="array" ref="Q263">IF(T$252=-1,S263,IF(T$252=99,O263,IF(T$252=0,INDEX($H256:$O256,0,T$250),(INDEX($H256:$O256,0,T$252+1)-INDEX($H256:$O256,0,T$252))/(INDEX($H$249:$O$249,0,T$252+1)-INDEX($H$249:$O$249,0,T$252))+O263)))</f>
        <v>0</v>
      </c>
      <c r="R263" s="9" cm="1">
        <f t="array" ref="R263">IF(T$252=-1,S263,IF(T$252=99,O263,IF(T$252=0,INDEX($H256:$O256,0,T$250),(INDEX($H256:$O256,0,T$252+1)-INDEX($H256:$O256,0,T$252))/(INDEX($H$249:$O$249,0,T$252+1)-INDEX($H$249:$O$249,0,T$252))+O263)))</f>
        <v>0</v>
      </c>
      <c r="S263" s="9" cm="1">
        <f t="array" ref="S263">IF(U$252=-1,T263,IF(U$252=99,P263,IF(U$252=0,INDEX($H256:$O256,0,U$250),(INDEX($H256:$O256,0,U$252+1)-INDEX($H256:$O256,0,U$252))/(INDEX($H$249:$O$249,0,U$252+1)-INDEX($H$249:$O$249,0,U$252))+P263)))</f>
        <v>0</v>
      </c>
      <c r="T263" s="9" cm="1">
        <f t="array" ref="T263">IF(V$252=-1,U263,IF(V$252=99,S263,IF(V$252=0,INDEX($H256:$O256,0,V$250),(INDEX($H256:$O256,0,V$252+1)-INDEX($H256:$O256,0,V$252))/(INDEX($H$249:$O$249,0,V$252+1)-INDEX($H$249:$O$249,0,V$252))+S263)))</f>
        <v>0</v>
      </c>
      <c r="U263" s="9" cm="1">
        <f t="array" ref="U263">IF(W$252=-1,V263,IF(W$252=99,T263,IF(W$252=0,INDEX($H256:$O256,0,W$250),(INDEX($H256:$O256,0,W$252+1)-INDEX($H256:$O256,0,W$252))/(INDEX($H$249:$O$249,0,W$252+1)-INDEX($H$249:$O$249,0,W$252))+T263)))</f>
        <v>0</v>
      </c>
      <c r="V263" s="9" cm="1">
        <f t="array" ref="V263">IF(X$252=-1,W263,IF(X$252=99,U263,IF(X$252=0,INDEX($H256:$O256,0,X$250),(INDEX($H256:$O256,0,X$252+1)-INDEX($H256:$O256,0,X$252))/(INDEX($H$249:$O$249,0,X$252+1)-INDEX($H$249:$O$249,0,X$252))+U263)))</f>
        <v>0.1892097123929837</v>
      </c>
      <c r="W263" s="9" cm="1">
        <f t="array" ref="W263">IF(Y$252=-1,X263,IF(Y$252=99,V263,IF(Y$252=0,INDEX($H256:$O256,0,Y$250),(INDEX($H256:$O256,0,Y$252+1)-INDEX($H256:$O256,0,Y$252))/(INDEX($H$249:$O$249,0,Y$252+1)-INDEX($H$249:$O$249,0,Y$252))+V263)))</f>
        <v>0.37841942478596741</v>
      </c>
      <c r="X263" s="9" cm="1">
        <f t="array" ref="X263">IF(Z$252=-1,Y263,IF(Z$252=99,W263,IF(Z$252=0,INDEX($H256:$O256,0,Z$250),(INDEX($H256:$O256,0,Z$252+1)-INDEX($H256:$O256,0,Z$252))/(INDEX($H$249:$O$249,0,Z$252+1)-INDEX($H$249:$O$249,0,Z$252))+W263)))</f>
        <v>0.56762913717895114</v>
      </c>
      <c r="Y263" s="9" cm="1">
        <f t="array" ref="Y263">IF(AA$252=-1,Z263,IF(AA$252=99,X263,IF(AA$252=0,INDEX($H256:$O256,0,AA$250),(INDEX($H256:$O256,0,AA$252+1)-INDEX($H256:$O256,0,AA$252))/(INDEX($H$249:$O$249,0,AA$252+1)-INDEX($H$249:$O$249,0,AA$252))+X263)))</f>
        <v>0.56152378578681428</v>
      </c>
      <c r="Z263" s="9" cm="1">
        <f t="array" ref="Z263">IF(AD$252=-1,AA263,IF(AD$252=99,Y263,IF(AD$252=0,INDEX($H256:$O256,0,AD$250),(INDEX($H256:$O256,0,AD$252+1)-INDEX($H256:$O256,0,AD$252))/(INDEX($H$249:$O$249,0,AD$252+1)-INDEX($H$249:$O$249,0,AD$252))+Y263)))</f>
        <v>0.55541843439467742</v>
      </c>
      <c r="AA263" s="9" cm="1">
        <f t="array" ref="AA263">IF(AE$252=-1,AD263,IF(AE$252=99,Z263,IF(AE$252=0,INDEX($H256:$O256,0,AE$250),(INDEX($H256:$O256,0,AE$252+1)-INDEX($H256:$O256,0,AE$252))/(INDEX($H$249:$O$249,0,AE$252+1)-INDEX($H$249:$O$249,0,AE$252))+Z263)))</f>
        <v>0.54931308300254056</v>
      </c>
      <c r="AB263" s="9" cm="1">
        <f t="array" ref="AB263">IF(AE$252=-1,AD263,IF(AE$252=99,Z263,IF(AE$252=0,INDEX($H256:$O256,0,AE$250),(INDEX($H256:$O256,0,AE$252+1)-INDEX($H256:$O256,0,AE$252))/(INDEX($H$249:$O$249,0,AE$252+1)-INDEX($H$249:$O$249,0,AE$252))+Z263)))</f>
        <v>0.54931308300254056</v>
      </c>
      <c r="AC263" s="9" cm="1">
        <f t="array" ref="AC263">IF(AE$252=-1,AD263,IF(AE$252=99,Z263,IF(AE$252=0,INDEX($H256:$O256,0,AE$250),(INDEX($H256:$O256,0,AE$252+1)-INDEX($H256:$O256,0,AE$252))/(INDEX($H$249:$O$249,0,AE$252+1)-INDEX($H$249:$O$249,0,AE$252))+Z263)))</f>
        <v>0.54931308300254056</v>
      </c>
      <c r="AD263" s="9" cm="1">
        <f t="array" ref="AD263">IF(AF$252=-1,AE263,IF(AF$252=99,AA263,IF(AF$252=0,INDEX($H256:$O256,0,AF$250),(INDEX($H256:$O256,0,AF$252+1)-INDEX($H256:$O256,0,AF$252))/(INDEX($H$249:$O$249,0,AF$252+1)-INDEX($H$249:$O$249,0,AF$252))+AA263)))</f>
        <v>0.5432077316104037</v>
      </c>
      <c r="AE263" s="9" cm="1">
        <f t="array" ref="AE263">IF(AG$252=-1,AF263,IF(AG$252=99,AD263,IF(AG$252=0,INDEX($H256:$O256,0,AG$250),(INDEX($H256:$O256,0,AG$252+1)-INDEX($H256:$O256,0,AG$252))/(INDEX($H$249:$O$249,0,AG$252+1)-INDEX($H$249:$O$249,0,AG$252))+AD263)))</f>
        <v>0.53710238021826684</v>
      </c>
      <c r="AF263" s="9" cm="1">
        <f t="array" ref="AF263">IF(AH$252=-1,AG263,IF(AH$252=99,AE263,IF(AH$252=0,INDEX($H256:$O256,0,AH$250),(INDEX($H256:$O256,0,AH$252+1)-INDEX($H256:$O256,0,AH$252))/(INDEX($H$249:$O$249,0,AH$252+1)-INDEX($H$249:$O$249,0,AH$252))+AE263)))</f>
        <v>0.53099702882612998</v>
      </c>
      <c r="AG263" s="9" cm="1">
        <f t="array" ref="AG263">IF(AI$252=-1,AH263,IF(AI$252=99,AF263,IF(AI$252=0,INDEX($H256:$O256,0,AI$250),(INDEX($H256:$O256,0,AI$252+1)-INDEX($H256:$O256,0,AI$252))/(INDEX($H$249:$O$249,0,AI$252+1)-INDEX($H$249:$O$249,0,AI$252))+AF263)))</f>
        <v>0.52489167743399312</v>
      </c>
      <c r="AH263" s="9" cm="1">
        <f t="array" ref="AH263">IF(AJ$252=-1,AI263,IF(AJ$252=99,AG263,IF(AJ$252=0,INDEX($H256:$O256,0,AJ$250),(INDEX($H256:$O256,0,AJ$252+1)-INDEX($H256:$O256,0,AJ$252))/(INDEX($H$249:$O$249,0,AJ$252+1)-INDEX($H$249:$O$249,0,AJ$252))+AG263)))</f>
        <v>0.51878632604185626</v>
      </c>
      <c r="AI263" s="9" cm="1">
        <f t="array" ref="AI263">IF(AK$252=-1,AJ263,IF(AK$252=99,AH263,IF(AK$252=0,INDEX($H256:$O256,0,AK$250),(INDEX($H256:$O256,0,AK$252+1)-INDEX($H256:$O256,0,AK$252))/(INDEX($H$249:$O$249,0,AK$252+1)-INDEX($H$249:$O$249,0,AK$252))+AH263)))</f>
        <v>0.5126809746497194</v>
      </c>
      <c r="AJ263" s="9" cm="1">
        <f t="array" ref="AJ263">IF(AL$252=-1,AK263,IF(AL$252=99,AI263,IF(AL$252=0,INDEX($H256:$O256,0,AL$250),(INDEX($H256:$O256,0,AL$252+1)-INDEX($H256:$O256,0,AL$252))/(INDEX($H$249:$O$249,0,AL$252+1)-INDEX($H$249:$O$249,0,AL$252))+AI263)))</f>
        <v>0.50657562325758299</v>
      </c>
      <c r="AK263" s="9" cm="1">
        <f t="array" ref="AK263">IF(AO$252=-1,AL263,IF(AO$252=99,AJ263,IF(AO$252=0,INDEX($H256:$O256,0,AO$250),(INDEX($H256:$O256,0,AO$252+1)-INDEX($H256:$O256,0,AO$252))/(INDEX($H$249:$O$249,0,AO$252+1)-INDEX($H$249:$O$249,0,AO$252))+AJ263)))</f>
        <v>0.50657562325758299</v>
      </c>
      <c r="AL263" s="9" cm="1">
        <f t="array" ref="AL263">IF(AP$252=-1,AO263,IF(AP$252=99,AK263,IF(AP$252=0,INDEX($H256:$O256,0,AP$250),(INDEX($H256:$O256,0,AP$252+1)-INDEX($H256:$O256,0,AP$252))/(INDEX($H$249:$O$249,0,AP$252+1)-INDEX($H$249:$O$249,0,AP$252))+AK263)))</f>
        <v>0.50657562325758299</v>
      </c>
      <c r="AM263" s="9" cm="1">
        <f t="array" ref="AM263">IF(AP$252=-1,AO263,IF(AP$252=99,AK263,IF(AP$252=0,INDEX($H256:$O256,0,AP$250),(INDEX($H256:$O256,0,AP$252+1)-INDEX($H256:$O256,0,AP$252))/(INDEX($H$249:$O$249,0,AP$252+1)-INDEX($H$249:$O$249,0,AP$252))+AK263)))</f>
        <v>0.50657562325758299</v>
      </c>
      <c r="AN263" s="9" cm="1">
        <f t="array" ref="AN263">IF(AP$252=-1,AO263,IF(AP$252=99,AK263,IF(AP$252=0,INDEX($H256:$O256,0,AP$250),(INDEX($H256:$O256,0,AP$252+1)-INDEX($H256:$O256,0,AP$252))/(INDEX($H$249:$O$249,0,AP$252+1)-INDEX($H$249:$O$249,0,AP$252))+AK263)))</f>
        <v>0.50657562325758299</v>
      </c>
      <c r="AO263" s="9" cm="1">
        <f t="array" ref="AO263">IF(AQ$252=-1,AP263,IF(AQ$252=99,AL263,IF(AQ$252=0,INDEX($H256:$O256,0,AQ$250),(INDEX($H256:$O256,0,AQ$252+1)-INDEX($H256:$O256,0,AQ$252))/(INDEX($H$249:$O$249,0,AQ$252+1)-INDEX($H$249:$O$249,0,AQ$252))+AL263)))</f>
        <v>0.50657562325758299</v>
      </c>
      <c r="AP263" s="9" cm="1">
        <f t="array" ref="AP263">IF(AR$252=-1,AQ263,IF(AR$252=99,AO263,IF(AR$252=0,INDEX($H256:$O256,0,AR$250),(INDEX($H256:$O256,0,AR$252+1)-INDEX($H256:$O256,0,AR$252))/(INDEX($H$249:$O$249,0,AR$252+1)-INDEX($H$249:$O$249,0,AR$252))+AO263)))</f>
        <v>0.50657562325758299</v>
      </c>
      <c r="AQ263" s="9" cm="1">
        <f t="array" ref="AQ263">IF(AS$252=-1,AR263,IF(AS$252=99,AP263,IF(AS$252=0,INDEX($H256:$O256,0,AS$250),(INDEX($H256:$O256,0,AS$252+1)-INDEX($H256:$O256,0,AS$252))/(INDEX($H$249:$O$249,0,AS$252+1)-INDEX($H$249:$O$249,0,AS$252))+AP263)))</f>
        <v>0.50657562325758299</v>
      </c>
      <c r="AR263" s="9" cm="1">
        <f t="array" ref="AR263">IF(AT$252=-1,AS263,IF(AT$252=99,AQ263,IF(AT$252=0,INDEX($H256:$O256,0,AT$250),(INDEX($H256:$O256,0,AT$252+1)-INDEX($H256:$O256,0,AT$252))/(INDEX($H$249:$O$249,0,AT$252+1)-INDEX($H$249:$O$249,0,AT$252))+AQ263)))</f>
        <v>0.50657562325758299</v>
      </c>
      <c r="AS263" s="9" cm="1">
        <f t="array" ref="AS263">IF(AV$252=-1,AT263,IF(AV$252=99,AR263,IF(AV$252=0,INDEX($H256:$O256,0,AV$250),(INDEX($H256:$O256,0,AV$252+1)-INDEX($H256:$O256,0,AV$252))/(INDEX($H$249:$O$249,0,AV$252+1)-INDEX($H$249:$O$249,0,AV$252))+AR263)))</f>
        <v>0.50657562325758299</v>
      </c>
      <c r="AT263" s="9" cm="1">
        <f t="array" ref="AT263">IF(AX$252=-1,AV263,IF(AX$252=99,AS263,IF(AX$252=0,INDEX($H256:$O256,0,AX$250),(INDEX($H256:$O256,0,AX$252+1)-INDEX($H256:$O256,0,AX$252))/(INDEX($H$249:$O$249,0,AX$252+1)-INDEX($H$249:$O$249,0,AX$252))+AS263)))</f>
        <v>0.50657562325758299</v>
      </c>
      <c r="AU263" s="9" cm="1">
        <f t="array" ref="AU263">IF(AX$252=-1,AW263,IF(AX$252=99,AS263,IF(AX$252=0,INDEX($H256:$O256,0,AX$250),(INDEX($H256:$O256,0,AX$252+1)-INDEX($H256:$O256,0,AX$252))/(INDEX($H$249:$O$249,0,AX$252+1)-INDEX($H$249:$O$249,0,AX$252))+AS263)))</f>
        <v>0.50657562325758299</v>
      </c>
      <c r="AV263" s="9" cm="1">
        <f t="array" ref="AV263">IF(AY$252=-1,AX263,IF(AY$252=99,AT263,IF(AY$252=0,INDEX($H256:$O256,0,AY$250),(INDEX($H256:$O256,0,AY$252+1)-INDEX($H256:$O256,0,AY$252))/(INDEX($H$249:$O$249,0,AY$252+1)-INDEX($H$249:$O$249,0,AY$252))+AT263)))</f>
        <v>0.50657562325758299</v>
      </c>
      <c r="AW263" s="9" cm="1">
        <f t="array" ref="AW263">IF(AZ$252=-1,AY263,IF(AZ$252=99,AV263,IF(AZ$252=0,INDEX($H256:$O256,0,AZ$250),(INDEX($H256:$O256,0,AZ$252+1)-INDEX($H256:$O256,0,AZ$252))/(INDEX($H$249:$O$249,0,AZ$252+1)-INDEX($H$249:$O$249,0,AZ$252))+AV263)))</f>
        <v>0.50657562325758299</v>
      </c>
      <c r="AX263" s="9" cm="1">
        <f t="array" ref="AX263">IF(AZ$252=-1,AY263,IF(AZ$252=99,AV263,IF(AZ$252=0,INDEX($H256:$O256,0,AZ$250),(INDEX($H256:$O256,0,AZ$252+1)-INDEX($H256:$O256,0,AZ$252))/(INDEX($H$249:$O$249,0,AZ$252+1)-INDEX($H$249:$O$249,0,AZ$252))+AV263)))</f>
        <v>0.50657562325758299</v>
      </c>
      <c r="AY263" s="9" cm="1">
        <f t="array" ref="AY263">IF(BA$252=-1,AZ263,IF(BA$252=99,AX263,IF(BA$252=0,INDEX($H256:$O256,0,BA$250),(INDEX($H256:$O256,0,BA$252+1)-INDEX($H256:$O256,0,BA$252))/(INDEX($H$249:$O$249,0,BA$252+1)-INDEX($H$249:$O$249,0,BA$252))+AX263)))</f>
        <v>0.50657562325758299</v>
      </c>
      <c r="AZ263" s="9" cm="1">
        <f t="array" ref="AZ263">IF(BB$252=-1,BA263,IF(BB$252=99,AY263,IF(BB$252=0,INDEX($H256:$O256,0,BB$250),(INDEX($H256:$O256,0,BB$252+1)-INDEX($H256:$O256,0,BB$252))/(INDEX($H$249:$O$249,0,BB$252+1)-INDEX($H$249:$O$249,0,BB$252))+AY263)))</f>
        <v>0.50657562325758299</v>
      </c>
      <c r="BA263" s="9" cm="1">
        <f t="array" ref="BA263">IF(BC$252=-1,BB263,IF(BC$252=99,AZ263,IF(BC$252=0,INDEX($H256:$O256,0,BC$250),(INDEX($H256:$O256,0,BC$252+1)-INDEX($H256:$O256,0,BC$252))/(INDEX($H$249:$O$249,0,BC$252+1)-INDEX($H$249:$O$249,0,BC$252))+AZ263)))</f>
        <v>0.50657562325758299</v>
      </c>
      <c r="BB263" s="9" cm="1">
        <f t="array" ref="BB263">IF(BD$252=-1,BC263,IF(BD$252=99,BA263,IF(BD$252=0,INDEX($H256:$O256,0,BD$250),(INDEX($H256:$O256,0,BD$252+1)-INDEX($H256:$O256,0,BD$252))/(INDEX($H$249:$O$249,0,BD$252+1)-INDEX($H$249:$O$249,0,BD$252))+BA263)))</f>
        <v>0.50657562325758299</v>
      </c>
      <c r="BC263" s="9" cm="1">
        <f t="array" ref="BC263">IF(BE$252=-1,BD263,IF(BE$252=99,BB263,IF(BE$252=0,INDEX($H256:$O256,0,BE$250),(INDEX($H256:$O256,0,BE$252+1)-INDEX($H256:$O256,0,BE$252))/(INDEX($H$249:$O$249,0,BE$252+1)-INDEX($H$249:$O$249,0,BE$252))+BB263)))</f>
        <v>0.50657562325758299</v>
      </c>
      <c r="BD263" s="9" cm="1">
        <f t="array" ref="BD263">IF(BF$252=-1,BI263,IF(BF$252=99,BC263,IF(BF$252=0,INDEX($H256:$O256,0,BF$250),(INDEX($H256:$O256,0,BF$252+1)-INDEX($H256:$O256,0,BF$252))/(INDEX($H$249:$O$249,0,BF$252+1)-INDEX($H$249:$O$249,0,BF$252))+BC263)))</f>
        <v>0.50657562325758299</v>
      </c>
      <c r="BE263" s="9" cm="1">
        <f t="array" ref="BE263">IF(BG$252=-1,BJ263,IF(BG$252=99,BD263,IF(BG$252=0,INDEX($H256:$O256,0,BG$250),(INDEX($H256:$O256,0,BG$252+1)-INDEX($H256:$O256,0,BG$252))/(INDEX($H$249:$O$249,0,BG$252+1)-INDEX($H$249:$O$249,0,BG$252))+BD263)))</f>
        <v>0.50657562325758299</v>
      </c>
      <c r="BF263" s="9" cm="1">
        <f t="array" ref="BF263">IF(BH$252=-1,BK263,IF(BH$252=99,BE263,IF(BH$252=0,INDEX($H256:$O256,0,BH$250),(INDEX($H256:$O256,0,BH$252+1)-INDEX($H256:$O256,0,BH$252))/(INDEX($H$249:$O$249,0,BH$252+1)-INDEX($H$249:$O$249,0,BH$252))+BE263)))</f>
        <v>0.50657562325758299</v>
      </c>
      <c r="BG263" s="9" cm="1">
        <f t="array" ref="BG263">IF(BI$252=-1,BL263,IF(BI$252=99,BF263,IF(BI$252=0,INDEX($H256:$O256,0,BI$250),(INDEX($H256:$O256,0,BI$252+1)-INDEX($H256:$O256,0,BI$252))/(INDEX($H$249:$O$249,0,BI$252+1)-INDEX($H$249:$O$249,0,BI$252))+BF263)))</f>
        <v>0.50657562325758299</v>
      </c>
      <c r="BH263" s="9" cm="1">
        <f t="array" ref="BH263">IF(BJ$252=-1,BM263,IF(BJ$252=99,BG263,IF(BJ$252=0,INDEX($H256:$O256,0,BJ$250),(INDEX($H256:$O256,0,BJ$252+1)-INDEX($H256:$O256,0,BJ$252))/(INDEX($H$249:$O$249,0,BJ$252+1)-INDEX($H$249:$O$249,0,BJ$252))+BG263)))</f>
        <v>0.50657562325758299</v>
      </c>
      <c r="BI263" s="9" cm="1">
        <f t="array" ref="BI263">IF(BK$252=-1,BN263,IF(BK$252=99,BH263,IF(BK$252=0,INDEX($H256:$O256,0,BK$250),(INDEX($H256:$O256,0,BK$252+1)-INDEX($H256:$O256,0,BK$252))/(INDEX($H$249:$O$249,0,BK$252+1)-INDEX($H$249:$O$249,0,BK$252))+BH263)))</f>
        <v>0.50657562325758299</v>
      </c>
      <c r="BJ263" s="9" cm="1">
        <f t="array" ref="BJ263">IF(BH$252=-1,BL263,IF(BH$252=99,BI263,IF(BH$252=0,INDEX($H256:$O256,0,BH$250),(INDEX($H256:$O256,0,BH$252+1)-INDEX($H256:$O256,0,BH$252))/(INDEX($H$249:$O$249,0,BH$252+1)-INDEX($H$249:$O$249,0,BH$252))+BI263)))</f>
        <v>0.50657562325758299</v>
      </c>
      <c r="BK263" s="9" cm="1">
        <f t="array" ref="BK263">IF(BI$252=-1,BM263,IF(BI$252=99,BJ263,IF(BI$252=0,INDEX($H256:$O256,0,BI$250),(INDEX($H256:$O256,0,BI$252+1)-INDEX($H256:$O256,0,BI$252))/(INDEX($H$249:$O$249,0,BI$252+1)-INDEX($H$249:$O$249,0,BI$252))+BJ263)))</f>
        <v>0.50657562325758299</v>
      </c>
      <c r="BL263" s="9" cm="1">
        <f t="array" ref="BL263">IF(BJ$252=-1,BN263,IF(BJ$252=99,BK263,IF(BJ$252=0,INDEX($H256:$O256,0,BJ$250),(INDEX($H256:$O256,0,BJ$252+1)-INDEX($H256:$O256,0,BJ$252))/(INDEX($H$249:$O$249,0,BJ$252+1)-INDEX($H$249:$O$249,0,BJ$252))+BK263)))</f>
        <v>0.50657562325758299</v>
      </c>
      <c r="BM263" s="9" cm="1">
        <f t="array" ref="BM263">IF(BK$252=-1,BO263,IF(BK$252=99,BL263,IF(BK$252=0,INDEX($H256:$O256,0,BK$250),(INDEX($H256:$O256,0,BK$252+1)-INDEX($H256:$O256,0,BK$252))/(INDEX($H$249:$O$249,0,BK$252+1)-INDEX($H$249:$O$249,0,BK$252))+BL263)))</f>
        <v>0.50657562325758299</v>
      </c>
      <c r="BN263" s="9" cm="1">
        <f t="array" ref="BN263">IF(BL$252=-1,BP263,IF(BL$252=99,BM263,IF(BL$252=0,INDEX($H256:$O256,0,BL$250),(INDEX($H256:$O256,0,BL$252+1)-INDEX($H256:$O256,0,BL$252))/(INDEX($H$249:$O$249,0,BL$252+1)-INDEX($H$249:$O$249,0,BL$252))+BM263)))</f>
        <v>0.50657562325758299</v>
      </c>
      <c r="BO263" s="9" cm="1">
        <f t="array" ref="BO263">IF(BM$252=-1,BQ263,IF(BM$252=99,BN263,IF(BM$252=0,INDEX($H256:$O256,0,BM$250),(INDEX($H256:$O256,0,BM$252+1)-INDEX($H256:$O256,0,BM$252))/(INDEX($H$249:$O$249,0,BM$252+1)-INDEX($H$249:$O$249,0,BM$252))+BN263)))</f>
        <v>0.50657562325758299</v>
      </c>
      <c r="BP263" s="9" cm="1">
        <f t="array" ref="BP263">IF(BN$252=-1,BR263,IF(BN$252=99,BO263,IF(BN$252=0,INDEX($H256:$O256,0,BN$250),(INDEX($H256:$O256,0,BN$252+1)-INDEX($H256:$O256,0,BN$252))/(INDEX($H$249:$O$249,0,BN$252+1)-INDEX($H$249:$O$249,0,BN$252))+BO263)))</f>
        <v>0.50657562325758299</v>
      </c>
    </row>
    <row r="264" spans="5:68" ht="15">
      <c r="E264" t="s">
        <v>16</v>
      </c>
      <c r="I264" t="s">
        <v>426</v>
      </c>
      <c r="J264" t="s">
        <v>426</v>
      </c>
      <c r="K264" t="str">
        <f>K261</f>
        <v>medium income</v>
      </c>
      <c r="L264" s="9" t="s">
        <v>423</v>
      </c>
      <c r="M264" t="str">
        <f>M261</f>
        <v>hhd-me</v>
      </c>
      <c r="N264" s="9" t="e">
        <f t="shared" si="572"/>
        <v>#REF!</v>
      </c>
      <c r="O264" s="9" cm="1">
        <f t="array" ref="O264">IF(S$252=-1,P264,IF(S$252=99,N264,IF(S$252=0,INDEX($H257:$O257,0,S$250),(INDEX($H257:$O257,0,S$252+1)-INDEX($H257:$O257,0,S$252))/(INDEX($H$249:$O$249,0,S$252+1)-INDEX($H$249:$O$249,0,S$252))+N264)))</f>
        <v>0</v>
      </c>
      <c r="P264" s="9" cm="1">
        <f t="array" ref="P264">IF(T$252=-1,S264,IF(T$252=99,O264,IF(T$252=0,INDEX($H257:$O257,0,T$250),(INDEX($H257:$O257,0,T$252+1)-INDEX($H257:$O257,0,T$252))/(INDEX($H$249:$O$249,0,T$252+1)-INDEX($H$249:$O$249,0,T$252))+O264)))</f>
        <v>0</v>
      </c>
      <c r="Q264" s="9" cm="1">
        <f t="array" ref="Q264">IF(T$252=-1,S264,IF(T$252=99,O264,IF(T$252=0,INDEX($H257:$O257,0,T$250),(INDEX($H257:$O257,0,T$252+1)-INDEX($H257:$O257,0,T$252))/(INDEX($H$249:$O$249,0,T$252+1)-INDEX($H$249:$O$249,0,T$252))+O264)))</f>
        <v>0</v>
      </c>
      <c r="R264" s="9" cm="1">
        <f t="array" ref="R264">IF(T$252=-1,S264,IF(T$252=99,O264,IF(T$252=0,INDEX($H257:$O257,0,T$250),(INDEX($H257:$O257,0,T$252+1)-INDEX($H257:$O257,0,T$252))/(INDEX($H$249:$O$249,0,T$252+1)-INDEX($H$249:$O$249,0,T$252))+O264)))</f>
        <v>0</v>
      </c>
      <c r="S264" s="9" cm="1">
        <f t="array" ref="S264">IF(U$252=-1,T264,IF(U$252=99,P264,IF(U$252=0,INDEX($H257:$O257,0,U$250),(INDEX($H257:$O257,0,U$252+1)-INDEX($H257:$O257,0,U$252))/(INDEX($H$249:$O$249,0,U$252+1)-INDEX($H$249:$O$249,0,U$252))+P264)))</f>
        <v>0</v>
      </c>
      <c r="T264" s="9" cm="1">
        <f t="array" ref="T264">IF(V$252=-1,U264,IF(V$252=99,S264,IF(V$252=0,INDEX($H257:$O257,0,V$250),(INDEX($H257:$O257,0,V$252+1)-INDEX($H257:$O257,0,V$252))/(INDEX($H$249:$O$249,0,V$252+1)-INDEX($H$249:$O$249,0,V$252))+S264)))</f>
        <v>0</v>
      </c>
      <c r="U264" s="9" cm="1">
        <f t="array" ref="U264">IF(W$252=-1,V264,IF(W$252=99,T264,IF(W$252=0,INDEX($H257:$O257,0,W$250),(INDEX($H257:$O257,0,W$252+1)-INDEX($H257:$O257,0,W$252))/(INDEX($H$249:$O$249,0,W$252+1)-INDEX($H$249:$O$249,0,W$252))+T264)))</f>
        <v>0</v>
      </c>
      <c r="V264" s="9" cm="1">
        <f t="array" ref="V264">IF(X$252=-1,W264,IF(X$252=99,U264,IF(X$252=0,INDEX($H257:$O257,0,X$250),(INDEX($H257:$O257,0,X$252+1)-INDEX($H257:$O257,0,X$252))/(INDEX($H$249:$O$249,0,X$252+1)-INDEX($H$249:$O$249,0,X$252))+U264)))</f>
        <v>0.10274697455524125</v>
      </c>
      <c r="W264" s="9" cm="1">
        <f t="array" ref="W264">IF(Y$252=-1,X264,IF(Y$252=99,V264,IF(Y$252=0,INDEX($H257:$O257,0,Y$250),(INDEX($H257:$O257,0,Y$252+1)-INDEX($H257:$O257,0,Y$252))/(INDEX($H$249:$O$249,0,Y$252+1)-INDEX($H$249:$O$249,0,Y$252))+V264)))</f>
        <v>0.20549394911048249</v>
      </c>
      <c r="X264" s="9" cm="1">
        <f t="array" ref="X264">IF(Z$252=-1,Y264,IF(Z$252=99,W264,IF(Z$252=0,INDEX($H257:$O257,0,Z$250),(INDEX($H257:$O257,0,Z$252+1)-INDEX($H257:$O257,0,Z$252))/(INDEX($H$249:$O$249,0,Z$252+1)-INDEX($H$249:$O$249,0,Z$252))+W264)))</f>
        <v>0.30824092366572375</v>
      </c>
      <c r="Y264" s="9" cm="1">
        <f t="array" ref="Y264">IF(AA$252=-1,Z264,IF(AA$252=99,X264,IF(AA$252=0,INDEX($H257:$O257,0,AA$250),(INDEX($H257:$O257,0,AA$252+1)-INDEX($H257:$O257,0,AA$252))/(INDEX($H$249:$O$249,0,AA$252+1)-INDEX($H$249:$O$249,0,AA$252))+X264)))</f>
        <v>0.309975651580851</v>
      </c>
      <c r="Z264" s="9" cm="1">
        <f t="array" ref="Z264">IF(AD$252=-1,AA264,IF(AD$252=99,Y264,IF(AD$252=0,INDEX($H257:$O257,0,AD$250),(INDEX($H257:$O257,0,AD$252+1)-INDEX($H257:$O257,0,AD$252))/(INDEX($H$249:$O$249,0,AD$252+1)-INDEX($H$249:$O$249,0,AD$252))+Y264)))</f>
        <v>0.31171037949597824</v>
      </c>
      <c r="AA264" s="9" cm="1">
        <f t="array" ref="AA264">IF(AE$252=-1,AD264,IF(AE$252=99,Z264,IF(AE$252=0,INDEX($H257:$O257,0,AE$250),(INDEX($H257:$O257,0,AE$252+1)-INDEX($H257:$O257,0,AE$252))/(INDEX($H$249:$O$249,0,AE$252+1)-INDEX($H$249:$O$249,0,AE$252))+Z264)))</f>
        <v>0.31344510741110548</v>
      </c>
      <c r="AB264" s="9" cm="1">
        <f t="array" ref="AB264">IF(AE$252=-1,AD264,IF(AE$252=99,Z264,IF(AE$252=0,INDEX($H257:$O257,0,AE$250),(INDEX($H257:$O257,0,AE$252+1)-INDEX($H257:$O257,0,AE$252))/(INDEX($H$249:$O$249,0,AE$252+1)-INDEX($H$249:$O$249,0,AE$252))+Z264)))</f>
        <v>0.31344510741110548</v>
      </c>
      <c r="AC264" s="9" cm="1">
        <f t="array" ref="AC264">IF(AE$252=-1,AD264,IF(AE$252=99,Z264,IF(AE$252=0,INDEX($H257:$O257,0,AE$250),(INDEX($H257:$O257,0,AE$252+1)-INDEX($H257:$O257,0,AE$252))/(INDEX($H$249:$O$249,0,AE$252+1)-INDEX($H$249:$O$249,0,AE$252))+Z264)))</f>
        <v>0.31344510741110548</v>
      </c>
      <c r="AD264" s="9" cm="1">
        <f t="array" ref="AD264">IF(AF$252=-1,AE264,IF(AF$252=99,AA264,IF(AF$252=0,INDEX($H257:$O257,0,AF$250),(INDEX($H257:$O257,0,AF$252+1)-INDEX($H257:$O257,0,AF$252))/(INDEX($H$249:$O$249,0,AF$252+1)-INDEX($H$249:$O$249,0,AF$252))+AA264)))</f>
        <v>0.31517983532623273</v>
      </c>
      <c r="AE264" s="9" cm="1">
        <f t="array" ref="AE264">IF(AG$252=-1,AF264,IF(AG$252=99,AD264,IF(AG$252=0,INDEX($H257:$O257,0,AG$250),(INDEX($H257:$O257,0,AG$252+1)-INDEX($H257:$O257,0,AG$252))/(INDEX($H$249:$O$249,0,AG$252+1)-INDEX($H$249:$O$249,0,AG$252))+AD264)))</f>
        <v>0.31691456324135997</v>
      </c>
      <c r="AF264" s="9" cm="1">
        <f t="array" ref="AF264">IF(AH$252=-1,AG264,IF(AH$252=99,AE264,IF(AH$252=0,INDEX($H257:$O257,0,AH$250),(INDEX($H257:$O257,0,AH$252+1)-INDEX($H257:$O257,0,AH$252))/(INDEX($H$249:$O$249,0,AH$252+1)-INDEX($H$249:$O$249,0,AH$252))+AE264)))</f>
        <v>0.31864929115648721</v>
      </c>
      <c r="AG264" s="9" cm="1">
        <f t="array" ref="AG264">IF(AI$252=-1,AH264,IF(AI$252=99,AF264,IF(AI$252=0,INDEX($H257:$O257,0,AI$250),(INDEX($H257:$O257,0,AI$252+1)-INDEX($H257:$O257,0,AI$252))/(INDEX($H$249:$O$249,0,AI$252+1)-INDEX($H$249:$O$249,0,AI$252))+AF264)))</f>
        <v>0.32038401907161446</v>
      </c>
      <c r="AH264" s="9" cm="1">
        <f t="array" ref="AH264">IF(AJ$252=-1,AI264,IF(AJ$252=99,AG264,IF(AJ$252=0,INDEX($H257:$O257,0,AJ$250),(INDEX($H257:$O257,0,AJ$252+1)-INDEX($H257:$O257,0,AJ$252))/(INDEX($H$249:$O$249,0,AJ$252+1)-INDEX($H$249:$O$249,0,AJ$252))+AG264)))</f>
        <v>0.3221187469867417</v>
      </c>
      <c r="AI264" s="9" cm="1">
        <f t="array" ref="AI264">IF(AK$252=-1,AJ264,IF(AK$252=99,AH264,IF(AK$252=0,INDEX($H257:$O257,0,AK$250),(INDEX($H257:$O257,0,AK$252+1)-INDEX($H257:$O257,0,AK$252))/(INDEX($H$249:$O$249,0,AK$252+1)-INDEX($H$249:$O$249,0,AK$252))+AH264)))</f>
        <v>0.32385347490186894</v>
      </c>
      <c r="AJ264" s="9" cm="1">
        <f t="array" ref="AJ264">IF(AL$252=-1,AK264,IF(AL$252=99,AI264,IF(AL$252=0,INDEX($H257:$O257,0,AL$250),(INDEX($H257:$O257,0,AL$252+1)-INDEX($H257:$O257,0,AL$252))/(INDEX($H$249:$O$249,0,AL$252+1)-INDEX($H$249:$O$249,0,AL$252))+AI264)))</f>
        <v>0.32558820281699608</v>
      </c>
      <c r="AK264" s="9" cm="1">
        <f t="array" ref="AK264">IF(AO$252=-1,AL264,IF(AO$252=99,AJ264,IF(AO$252=0,INDEX($H257:$O257,0,AO$250),(INDEX($H257:$O257,0,AO$252+1)-INDEX($H257:$O257,0,AO$252))/(INDEX($H$249:$O$249,0,AO$252+1)-INDEX($H$249:$O$249,0,AO$252))+AJ264)))</f>
        <v>0.32558820281699608</v>
      </c>
      <c r="AL264" s="9" cm="1">
        <f t="array" ref="AL264">IF(AP$252=-1,AO264,IF(AP$252=99,AK264,IF(AP$252=0,INDEX($H257:$O257,0,AP$250),(INDEX($H257:$O257,0,AP$252+1)-INDEX($H257:$O257,0,AP$252))/(INDEX($H$249:$O$249,0,AP$252+1)-INDEX($H$249:$O$249,0,AP$252))+AK264)))</f>
        <v>0.32558820281699608</v>
      </c>
      <c r="AM264" s="9" cm="1">
        <f t="array" ref="AM264">IF(AP$252=-1,AO264,IF(AP$252=99,AK264,IF(AP$252=0,INDEX($H257:$O257,0,AP$250),(INDEX($H257:$O257,0,AP$252+1)-INDEX($H257:$O257,0,AP$252))/(INDEX($H$249:$O$249,0,AP$252+1)-INDEX($H$249:$O$249,0,AP$252))+AK264)))</f>
        <v>0.32558820281699608</v>
      </c>
      <c r="AN264" s="9" cm="1">
        <f t="array" ref="AN264">IF(AP$252=-1,AO264,IF(AP$252=99,AK264,IF(AP$252=0,INDEX($H257:$O257,0,AP$250),(INDEX($H257:$O257,0,AP$252+1)-INDEX($H257:$O257,0,AP$252))/(INDEX($H$249:$O$249,0,AP$252+1)-INDEX($H$249:$O$249,0,AP$252))+AK264)))</f>
        <v>0.32558820281699608</v>
      </c>
      <c r="AO264" s="9" cm="1">
        <f t="array" ref="AO264">IF(AQ$252=-1,AP264,IF(AQ$252=99,AL264,IF(AQ$252=0,INDEX($H257:$O257,0,AQ$250),(INDEX($H257:$O257,0,AQ$252+1)-INDEX($H257:$O257,0,AQ$252))/(INDEX($H$249:$O$249,0,AQ$252+1)-INDEX($H$249:$O$249,0,AQ$252))+AL264)))</f>
        <v>0.32558820281699608</v>
      </c>
      <c r="AP264" s="9" cm="1">
        <f t="array" ref="AP264">IF(AR$252=-1,AQ264,IF(AR$252=99,AO264,IF(AR$252=0,INDEX($H257:$O257,0,AR$250),(INDEX($H257:$O257,0,AR$252+1)-INDEX($H257:$O257,0,AR$252))/(INDEX($H$249:$O$249,0,AR$252+1)-INDEX($H$249:$O$249,0,AR$252))+AO264)))</f>
        <v>0.32558820281699608</v>
      </c>
      <c r="AQ264" s="9" cm="1">
        <f t="array" ref="AQ264">IF(AS$252=-1,AR264,IF(AS$252=99,AP264,IF(AS$252=0,INDEX($H257:$O257,0,AS$250),(INDEX($H257:$O257,0,AS$252+1)-INDEX($H257:$O257,0,AS$252))/(INDEX($H$249:$O$249,0,AS$252+1)-INDEX($H$249:$O$249,0,AS$252))+AP264)))</f>
        <v>0.32558820281699608</v>
      </c>
      <c r="AR264" s="9" cm="1">
        <f t="array" ref="AR264">IF(AT$252=-1,AS264,IF(AT$252=99,AQ264,IF(AT$252=0,INDEX($H257:$O257,0,AT$250),(INDEX($H257:$O257,0,AT$252+1)-INDEX($H257:$O257,0,AT$252))/(INDEX($H$249:$O$249,0,AT$252+1)-INDEX($H$249:$O$249,0,AT$252))+AQ264)))</f>
        <v>0.32558820281699608</v>
      </c>
      <c r="AS264" s="9" cm="1">
        <f t="array" ref="AS264">IF(AV$252=-1,AT264,IF(AV$252=99,AR264,IF(AV$252=0,INDEX($H257:$O257,0,AV$250),(INDEX($H257:$O257,0,AV$252+1)-INDEX($H257:$O257,0,AV$252))/(INDEX($H$249:$O$249,0,AV$252+1)-INDEX($H$249:$O$249,0,AV$252))+AR264)))</f>
        <v>0.32558820281699608</v>
      </c>
      <c r="AT264" s="9" cm="1">
        <f t="array" ref="AT264">IF(AX$252=-1,AV264,IF(AX$252=99,AS264,IF(AX$252=0,INDEX($H257:$O257,0,AX$250),(INDEX($H257:$O257,0,AX$252+1)-INDEX($H257:$O257,0,AX$252))/(INDEX($H$249:$O$249,0,AX$252+1)-INDEX($H$249:$O$249,0,AX$252))+AS264)))</f>
        <v>0.32558820281699608</v>
      </c>
      <c r="AU264" s="9" cm="1">
        <f t="array" ref="AU264">IF(AX$252=-1,AW264,IF(AX$252=99,AS264,IF(AX$252=0,INDEX($H257:$O257,0,AX$250),(INDEX($H257:$O257,0,AX$252+1)-INDEX($H257:$O257,0,AX$252))/(INDEX($H$249:$O$249,0,AX$252+1)-INDEX($H$249:$O$249,0,AX$252))+AS264)))</f>
        <v>0.32558820281699608</v>
      </c>
      <c r="AV264" s="9" cm="1">
        <f t="array" ref="AV264">IF(AY$252=-1,AX264,IF(AY$252=99,AT264,IF(AY$252=0,INDEX($H257:$O257,0,AY$250),(INDEX($H257:$O257,0,AY$252+1)-INDEX($H257:$O257,0,AY$252))/(INDEX($H$249:$O$249,0,AY$252+1)-INDEX($H$249:$O$249,0,AY$252))+AT264)))</f>
        <v>0.32558820281699608</v>
      </c>
      <c r="AW264" s="9" cm="1">
        <f t="array" ref="AW264">IF(AZ$252=-1,AY264,IF(AZ$252=99,AV264,IF(AZ$252=0,INDEX($H257:$O257,0,AZ$250),(INDEX($H257:$O257,0,AZ$252+1)-INDEX($H257:$O257,0,AZ$252))/(INDEX($H$249:$O$249,0,AZ$252+1)-INDEX($H$249:$O$249,0,AZ$252))+AV264)))</f>
        <v>0.32558820281699608</v>
      </c>
      <c r="AX264" s="9" cm="1">
        <f t="array" ref="AX264">IF(AZ$252=-1,AY264,IF(AZ$252=99,AV264,IF(AZ$252=0,INDEX($H257:$O257,0,AZ$250),(INDEX($H257:$O257,0,AZ$252+1)-INDEX($H257:$O257,0,AZ$252))/(INDEX($H$249:$O$249,0,AZ$252+1)-INDEX($H$249:$O$249,0,AZ$252))+AV264)))</f>
        <v>0.32558820281699608</v>
      </c>
      <c r="AY264" s="9" cm="1">
        <f t="array" ref="AY264">IF(BA$252=-1,AZ264,IF(BA$252=99,AX264,IF(BA$252=0,INDEX($H257:$O257,0,BA$250),(INDEX($H257:$O257,0,BA$252+1)-INDEX($H257:$O257,0,BA$252))/(INDEX($H$249:$O$249,0,BA$252+1)-INDEX($H$249:$O$249,0,BA$252))+AX264)))</f>
        <v>0.32558820281699608</v>
      </c>
      <c r="AZ264" s="9" cm="1">
        <f t="array" ref="AZ264">IF(BB$252=-1,BA264,IF(BB$252=99,AY264,IF(BB$252=0,INDEX($H257:$O257,0,BB$250),(INDEX($H257:$O257,0,BB$252+1)-INDEX($H257:$O257,0,BB$252))/(INDEX($H$249:$O$249,0,BB$252+1)-INDEX($H$249:$O$249,0,BB$252))+AY264)))</f>
        <v>0.32558820281699608</v>
      </c>
      <c r="BA264" s="9" cm="1">
        <f t="array" ref="BA264">IF(BC$252=-1,BB264,IF(BC$252=99,AZ264,IF(BC$252=0,INDEX($H257:$O257,0,BC$250),(INDEX($H257:$O257,0,BC$252+1)-INDEX($H257:$O257,0,BC$252))/(INDEX($H$249:$O$249,0,BC$252+1)-INDEX($H$249:$O$249,0,BC$252))+AZ264)))</f>
        <v>0.32558820281699608</v>
      </c>
      <c r="BB264" s="9" cm="1">
        <f t="array" ref="BB264">IF(BD$252=-1,BC264,IF(BD$252=99,BA264,IF(BD$252=0,INDEX($H257:$O257,0,BD$250),(INDEX($H257:$O257,0,BD$252+1)-INDEX($H257:$O257,0,BD$252))/(INDEX($H$249:$O$249,0,BD$252+1)-INDEX($H$249:$O$249,0,BD$252))+BA264)))</f>
        <v>0.32558820281699608</v>
      </c>
      <c r="BC264" s="9" cm="1">
        <f t="array" ref="BC264">IF(BE$252=-1,BD264,IF(BE$252=99,BB264,IF(BE$252=0,INDEX($H257:$O257,0,BE$250),(INDEX($H257:$O257,0,BE$252+1)-INDEX($H257:$O257,0,BE$252))/(INDEX($H$249:$O$249,0,BE$252+1)-INDEX($H$249:$O$249,0,BE$252))+BB264)))</f>
        <v>0.32558820281699608</v>
      </c>
      <c r="BD264" s="9" cm="1">
        <f t="array" ref="BD264">IF(BF$252=-1,BI264,IF(BF$252=99,BC264,IF(BF$252=0,INDEX($H257:$O257,0,BF$250),(INDEX($H257:$O257,0,BF$252+1)-INDEX($H257:$O257,0,BF$252))/(INDEX($H$249:$O$249,0,BF$252+1)-INDEX($H$249:$O$249,0,BF$252))+BC264)))</f>
        <v>0.32558820281699608</v>
      </c>
      <c r="BE264" s="9" cm="1">
        <f t="array" ref="BE264">IF(BG$252=-1,BJ264,IF(BG$252=99,BD264,IF(BG$252=0,INDEX($H257:$O257,0,BG$250),(INDEX($H257:$O257,0,BG$252+1)-INDEX($H257:$O257,0,BG$252))/(INDEX($H$249:$O$249,0,BG$252+1)-INDEX($H$249:$O$249,0,BG$252))+BD264)))</f>
        <v>0.32558820281699608</v>
      </c>
      <c r="BF264" s="9" cm="1">
        <f t="array" ref="BF264">IF(BH$252=-1,BK264,IF(BH$252=99,BE264,IF(BH$252=0,INDEX($H257:$O257,0,BH$250),(INDEX($H257:$O257,0,BH$252+1)-INDEX($H257:$O257,0,BH$252))/(INDEX($H$249:$O$249,0,BH$252+1)-INDEX($H$249:$O$249,0,BH$252))+BE264)))</f>
        <v>0.32558820281699608</v>
      </c>
      <c r="BG264" s="9" cm="1">
        <f t="array" ref="BG264">IF(BI$252=-1,BL264,IF(BI$252=99,BF264,IF(BI$252=0,INDEX($H257:$O257,0,BI$250),(INDEX($H257:$O257,0,BI$252+1)-INDEX($H257:$O257,0,BI$252))/(INDEX($H$249:$O$249,0,BI$252+1)-INDEX($H$249:$O$249,0,BI$252))+BF264)))</f>
        <v>0.32558820281699608</v>
      </c>
      <c r="BH264" s="9" cm="1">
        <f t="array" ref="BH264">IF(BJ$252=-1,BM264,IF(BJ$252=99,BG264,IF(BJ$252=0,INDEX($H257:$O257,0,BJ$250),(INDEX($H257:$O257,0,BJ$252+1)-INDEX($H257:$O257,0,BJ$252))/(INDEX($H$249:$O$249,0,BJ$252+1)-INDEX($H$249:$O$249,0,BJ$252))+BG264)))</f>
        <v>0.32558820281699608</v>
      </c>
      <c r="BI264" s="9" cm="1">
        <f t="array" ref="BI264">IF(BK$252=-1,BN264,IF(BK$252=99,BH264,IF(BK$252=0,INDEX($H257:$O257,0,BK$250),(INDEX($H257:$O257,0,BK$252+1)-INDEX($H257:$O257,0,BK$252))/(INDEX($H$249:$O$249,0,BK$252+1)-INDEX($H$249:$O$249,0,BK$252))+BH264)))</f>
        <v>0.32558820281699608</v>
      </c>
      <c r="BJ264" s="9" cm="1">
        <f t="array" ref="BJ264">IF(BH$252=-1,BL264,IF(BH$252=99,BI264,IF(BH$252=0,INDEX($H257:$O257,0,BH$250),(INDEX($H257:$O257,0,BH$252+1)-INDEX($H257:$O257,0,BH$252))/(INDEX($H$249:$O$249,0,BH$252+1)-INDEX($H$249:$O$249,0,BH$252))+BI264)))</f>
        <v>0.32558820281699608</v>
      </c>
      <c r="BK264" s="9" cm="1">
        <f t="array" ref="BK264">IF(BI$252=-1,BM264,IF(BI$252=99,BJ264,IF(BI$252=0,INDEX($H257:$O257,0,BI$250),(INDEX($H257:$O257,0,BI$252+1)-INDEX($H257:$O257,0,BI$252))/(INDEX($H$249:$O$249,0,BI$252+1)-INDEX($H$249:$O$249,0,BI$252))+BJ264)))</f>
        <v>0.32558820281699608</v>
      </c>
      <c r="BL264" s="9" cm="1">
        <f t="array" ref="BL264">IF(BJ$252=-1,BN264,IF(BJ$252=99,BK264,IF(BJ$252=0,INDEX($H257:$O257,0,BJ$250),(INDEX($H257:$O257,0,BJ$252+1)-INDEX($H257:$O257,0,BJ$252))/(INDEX($H$249:$O$249,0,BJ$252+1)-INDEX($H$249:$O$249,0,BJ$252))+BK264)))</f>
        <v>0.32558820281699608</v>
      </c>
      <c r="BM264" s="9" cm="1">
        <f t="array" ref="BM264">IF(BK$252=-1,BO264,IF(BK$252=99,BL264,IF(BK$252=0,INDEX($H257:$O257,0,BK$250),(INDEX($H257:$O257,0,BK$252+1)-INDEX($H257:$O257,0,BK$252))/(INDEX($H$249:$O$249,0,BK$252+1)-INDEX($H$249:$O$249,0,BK$252))+BL264)))</f>
        <v>0.32558820281699608</v>
      </c>
      <c r="BN264" s="9" cm="1">
        <f t="array" ref="BN264">IF(BL$252=-1,BP264,IF(BL$252=99,BM264,IF(BL$252=0,INDEX($H257:$O257,0,BL$250),(INDEX($H257:$O257,0,BL$252+1)-INDEX($H257:$O257,0,BL$252))/(INDEX($H$249:$O$249,0,BL$252+1)-INDEX($H$249:$O$249,0,BL$252))+BM264)))</f>
        <v>0.32558820281699608</v>
      </c>
      <c r="BO264" s="9" cm="1">
        <f t="array" ref="BO264">IF(BM$252=-1,BQ264,IF(BM$252=99,BN264,IF(BM$252=0,INDEX($H257:$O257,0,BM$250),(INDEX($H257:$O257,0,BM$252+1)-INDEX($H257:$O257,0,BM$252))/(INDEX($H$249:$O$249,0,BM$252+1)-INDEX($H$249:$O$249,0,BM$252))+BN264)))</f>
        <v>0.32558820281699608</v>
      </c>
      <c r="BP264" s="9" cm="1">
        <f t="array" ref="BP264">IF(BN$252=-1,BR264,IF(BN$252=99,BO264,IF(BN$252=0,INDEX($H257:$O257,0,BN$250),(INDEX($H257:$O257,0,BN$252+1)-INDEX($H257:$O257,0,BN$252))/(INDEX($H$249:$O$249,0,BN$252+1)-INDEX($H$249:$O$249,0,BN$252))+BO264)))</f>
        <v>0.32558820281699608</v>
      </c>
    </row>
    <row r="265" spans="5:68" ht="15">
      <c r="E265" t="s">
        <v>16</v>
      </c>
      <c r="I265" t="s">
        <v>426</v>
      </c>
      <c r="J265" t="s">
        <v>426</v>
      </c>
      <c r="K265" t="str">
        <f>K262</f>
        <v>high income</v>
      </c>
      <c r="L265" s="9" t="s">
        <v>423</v>
      </c>
      <c r="M265" t="str">
        <f>M262</f>
        <v>hhd-he</v>
      </c>
      <c r="N265" s="9" t="e">
        <f t="shared" si="572"/>
        <v>#REF!</v>
      </c>
      <c r="O265" s="9" cm="1">
        <f t="array" ref="O265">IF(S$252=-1,P265,IF(S$252=99,N265,IF(S$252=0,INDEX($H258:$O258,0,S$250),(INDEX($H258:$O258,0,S$252+1)-INDEX($H258:$O258,0,S$252))/(INDEX($H$249:$O$249,0,S$252+1)-INDEX($H$249:$O$249,0,S$252))+N265)))</f>
        <v>0</v>
      </c>
      <c r="P265" s="9" cm="1">
        <f t="array" ref="P265">IF(T$252=-1,S265,IF(T$252=99,O265,IF(T$252=0,INDEX($H258:$O258,0,T$250),(INDEX($H258:$O258,0,T$252+1)-INDEX($H258:$O258,0,T$252))/(INDEX($H$249:$O$249,0,T$252+1)-INDEX($H$249:$O$249,0,T$252))+O265)))</f>
        <v>0</v>
      </c>
      <c r="Q265" s="9" cm="1">
        <f t="array" ref="Q265">IF(T$252=-1,S265,IF(T$252=99,O265,IF(T$252=0,INDEX($H258:$O258,0,T$250),(INDEX($H258:$O258,0,T$252+1)-INDEX($H258:$O258,0,T$252))/(INDEX($H$249:$O$249,0,T$252+1)-INDEX($H$249:$O$249,0,T$252))+O265)))</f>
        <v>0</v>
      </c>
      <c r="R265" s="9" cm="1">
        <f t="array" ref="R265">IF(T$252=-1,S265,IF(T$252=99,O265,IF(T$252=0,INDEX($H258:$O258,0,T$250),(INDEX($H258:$O258,0,T$252+1)-INDEX($H258:$O258,0,T$252))/(INDEX($H$249:$O$249,0,T$252+1)-INDEX($H$249:$O$249,0,T$252))+O265)))</f>
        <v>0</v>
      </c>
      <c r="S265" s="9" cm="1">
        <f t="array" ref="S265">IF(U$252=-1,T265,IF(U$252=99,P265,IF(U$252=0,INDEX($H258:$O258,0,U$250),(INDEX($H258:$O258,0,U$252+1)-INDEX($H258:$O258,0,U$252))/(INDEX($H$249:$O$249,0,U$252+1)-INDEX($H$249:$O$249,0,U$252))+P265)))</f>
        <v>0</v>
      </c>
      <c r="T265" s="9" cm="1">
        <f t="array" ref="T265">IF(V$252=-1,U265,IF(V$252=99,S265,IF(V$252=0,INDEX($H258:$O258,0,V$250),(INDEX($H258:$O258,0,V$252+1)-INDEX($H258:$O258,0,V$252))/(INDEX($H$249:$O$249,0,V$252+1)-INDEX($H$249:$O$249,0,V$252))+S265)))</f>
        <v>0</v>
      </c>
      <c r="U265" s="9" cm="1">
        <f t="array" ref="U265">IF(W$252=-1,V265,IF(W$252=99,T265,IF(W$252=0,INDEX($H258:$O258,0,W$250),(INDEX($H258:$O258,0,W$252+1)-INDEX($H258:$O258,0,W$252))/(INDEX($H$249:$O$249,0,W$252+1)-INDEX($H$249:$O$249,0,W$252))+T265)))</f>
        <v>0</v>
      </c>
      <c r="V265" s="9" cm="1">
        <f t="array" ref="V265">IF(X$252=-1,W265,IF(X$252=99,U265,IF(X$252=0,INDEX($H258:$O258,0,X$250),(INDEX($H258:$O258,0,X$252+1)-INDEX($H258:$O258,0,X$252))/(INDEX($H$249:$O$249,0,X$252+1)-INDEX($H$249:$O$249,0,X$252))+U265)))</f>
        <v>0.041376646385108379</v>
      </c>
      <c r="W265" s="9" cm="1">
        <f t="array" ref="W265">IF(Y$252=-1,X265,IF(Y$252=99,V265,IF(Y$252=0,INDEX($H258:$O258,0,Y$250),(INDEX($H258:$O258,0,Y$252+1)-INDEX($H258:$O258,0,Y$252))/(INDEX($H$249:$O$249,0,Y$252+1)-INDEX($H$249:$O$249,0,Y$252))+V265)))</f>
        <v>0.082753292770216758</v>
      </c>
      <c r="X265" s="9" cm="1">
        <f t="array" ref="X265">IF(Z$252=-1,Y265,IF(Z$252=99,W265,IF(Z$252=0,INDEX($H258:$O258,0,Z$250),(INDEX($H258:$O258,0,Z$252+1)-INDEX($H258:$O258,0,Z$252))/(INDEX($H$249:$O$249,0,Z$252+1)-INDEX($H$249:$O$249,0,Z$252))+W265)))</f>
        <v>0.12412993915532514</v>
      </c>
      <c r="Y265" s="9" cm="1">
        <f t="array" ref="Y265">IF(AA$252=-1,Z265,IF(AA$252=99,X265,IF(AA$252=0,INDEX($H258:$O258,0,AA$250),(INDEX($H258:$O258,0,AA$252+1)-INDEX($H258:$O258,0,AA$252))/(INDEX($H$249:$O$249,0,AA$252+1)-INDEX($H$249:$O$249,0,AA$252))+X265)))</f>
        <v>0.12850056263233472</v>
      </c>
      <c r="Z265" s="9" cm="1">
        <f t="array" ref="Z265">IF(AD$252=-1,AA265,IF(AD$252=99,Y265,IF(AD$252=0,INDEX($H258:$O258,0,AD$250),(INDEX($H258:$O258,0,AD$252+1)-INDEX($H258:$O258,0,AD$252))/(INDEX($H$249:$O$249,0,AD$252+1)-INDEX($H$249:$O$249,0,AD$252))+Y265)))</f>
        <v>0.13287118610934431</v>
      </c>
      <c r="AA265" s="9" cm="1">
        <f t="array" ref="AA265">IF(AE$252=-1,AD265,IF(AE$252=99,Z265,IF(AE$252=0,INDEX($H258:$O258,0,AE$250),(INDEX($H258:$O258,0,AE$252+1)-INDEX($H258:$O258,0,AE$252))/(INDEX($H$249:$O$249,0,AE$252+1)-INDEX($H$249:$O$249,0,AE$252))+Z265)))</f>
        <v>0.1372418095863539</v>
      </c>
      <c r="AB265" s="9" cm="1">
        <f t="array" ref="AB265">IF(AE$252=-1,AD265,IF(AE$252=99,Z265,IF(AE$252=0,INDEX($H258:$O258,0,AE$250),(INDEX($H258:$O258,0,AE$252+1)-INDEX($H258:$O258,0,AE$252))/(INDEX($H$249:$O$249,0,AE$252+1)-INDEX($H$249:$O$249,0,AE$252))+Z265)))</f>
        <v>0.1372418095863539</v>
      </c>
      <c r="AC265" s="9" cm="1">
        <f t="array" ref="AC265">IF(AE$252=-1,AD265,IF(AE$252=99,Z265,IF(AE$252=0,INDEX($H258:$O258,0,AE$250),(INDEX($H258:$O258,0,AE$252+1)-INDEX($H258:$O258,0,AE$252))/(INDEX($H$249:$O$249,0,AE$252+1)-INDEX($H$249:$O$249,0,AE$252))+Z265)))</f>
        <v>0.1372418095863539</v>
      </c>
      <c r="AD265" s="9" cm="1">
        <f t="array" ref="AD265">IF(AF$252=-1,AE265,IF(AF$252=99,AA265,IF(AF$252=0,INDEX($H258:$O258,0,AF$250),(INDEX($H258:$O258,0,AF$252+1)-INDEX($H258:$O258,0,AF$252))/(INDEX($H$249:$O$249,0,AF$252+1)-INDEX($H$249:$O$249,0,AF$252))+AA265)))</f>
        <v>0.14161243306336349</v>
      </c>
      <c r="AE265" s="9" cm="1">
        <f t="array" ref="AE265">IF(AG$252=-1,AF265,IF(AG$252=99,AD265,IF(AG$252=0,INDEX($H258:$O258,0,AG$250),(INDEX($H258:$O258,0,AG$252+1)-INDEX($H258:$O258,0,AG$252))/(INDEX($H$249:$O$249,0,AG$252+1)-INDEX($H$249:$O$249,0,AG$252))+AD265)))</f>
        <v>0.14598305654037308</v>
      </c>
      <c r="AF265" s="9" cm="1">
        <f t="array" ref="AF265">IF(AH$252=-1,AG265,IF(AH$252=99,AE265,IF(AH$252=0,INDEX($H258:$O258,0,AH$250),(INDEX($H258:$O258,0,AH$252+1)-INDEX($H258:$O258,0,AH$252))/(INDEX($H$249:$O$249,0,AH$252+1)-INDEX($H$249:$O$249,0,AH$252))+AE265)))</f>
        <v>0.15035368001738267</v>
      </c>
      <c r="AG265" s="9" cm="1">
        <f t="array" ref="AG265">IF(AI$252=-1,AH265,IF(AI$252=99,AF265,IF(AI$252=0,INDEX($H258:$O258,0,AI$250),(INDEX($H258:$O258,0,AI$252+1)-INDEX($H258:$O258,0,AI$252))/(INDEX($H$249:$O$249,0,AI$252+1)-INDEX($H$249:$O$249,0,AI$252))+AF265)))</f>
        <v>0.15472430349439226</v>
      </c>
      <c r="AH265" s="9" cm="1">
        <f t="array" ref="AH265">IF(AJ$252=-1,AI265,IF(AJ$252=99,AG265,IF(AJ$252=0,INDEX($H258:$O258,0,AJ$250),(INDEX($H258:$O258,0,AJ$252+1)-INDEX($H258:$O258,0,AJ$252))/(INDEX($H$249:$O$249,0,AJ$252+1)-INDEX($H$249:$O$249,0,AJ$252))+AG265)))</f>
        <v>0.15909492697140185</v>
      </c>
      <c r="AI265" s="9" cm="1">
        <f t="array" ref="AI265">IF(AK$252=-1,AJ265,IF(AK$252=99,AH265,IF(AK$252=0,INDEX($H258:$O258,0,AK$250),(INDEX($H258:$O258,0,AK$252+1)-INDEX($H258:$O258,0,AK$252))/(INDEX($H$249:$O$249,0,AK$252+1)-INDEX($H$249:$O$249,0,AK$252))+AH265)))</f>
        <v>0.16346555044841143</v>
      </c>
      <c r="AJ265" s="9" cm="1">
        <f t="array" ref="AJ265">IF(AL$252=-1,AK265,IF(AL$252=99,AI265,IF(AL$252=0,INDEX($H258:$O258,0,AL$250),(INDEX($H258:$O258,0,AL$252+1)-INDEX($H258:$O258,0,AL$252))/(INDEX($H$249:$O$249,0,AL$252+1)-INDEX($H$249:$O$249,0,AL$252))+AI265)))</f>
        <v>0.16783617392542105</v>
      </c>
      <c r="AK265" s="9" cm="1">
        <f t="array" ref="AK265">IF(AO$252=-1,AL265,IF(AO$252=99,AJ265,IF(AO$252=0,INDEX($H258:$O258,0,AO$250),(INDEX($H258:$O258,0,AO$252+1)-INDEX($H258:$O258,0,AO$252))/(INDEX($H$249:$O$249,0,AO$252+1)-INDEX($H$249:$O$249,0,AO$252))+AJ265)))</f>
        <v>0.16783617392542105</v>
      </c>
      <c r="AL265" s="9" cm="1">
        <f t="array" ref="AL265">IF(AP$252=-1,AO265,IF(AP$252=99,AK265,IF(AP$252=0,INDEX($H258:$O258,0,AP$250),(INDEX($H258:$O258,0,AP$252+1)-INDEX($H258:$O258,0,AP$252))/(INDEX($H$249:$O$249,0,AP$252+1)-INDEX($H$249:$O$249,0,AP$252))+AK265)))</f>
        <v>0.16783617392542105</v>
      </c>
      <c r="AM265" s="9" cm="1">
        <f t="array" ref="AM265">IF(AP$252=-1,AO265,IF(AP$252=99,AK265,IF(AP$252=0,INDEX($H258:$O258,0,AP$250),(INDEX($H258:$O258,0,AP$252+1)-INDEX($H258:$O258,0,AP$252))/(INDEX($H$249:$O$249,0,AP$252+1)-INDEX($H$249:$O$249,0,AP$252))+AK265)))</f>
        <v>0.16783617392542105</v>
      </c>
      <c r="AN265" s="9" cm="1">
        <f t="array" ref="AN265">IF(AP$252=-1,AO265,IF(AP$252=99,AK265,IF(AP$252=0,INDEX($H258:$O258,0,AP$250),(INDEX($H258:$O258,0,AP$252+1)-INDEX($H258:$O258,0,AP$252))/(INDEX($H$249:$O$249,0,AP$252+1)-INDEX($H$249:$O$249,0,AP$252))+AK265)))</f>
        <v>0.16783617392542105</v>
      </c>
      <c r="AO265" s="9" cm="1">
        <f t="array" ref="AO265">IF(AQ$252=-1,AP265,IF(AQ$252=99,AL265,IF(AQ$252=0,INDEX($H258:$O258,0,AQ$250),(INDEX($H258:$O258,0,AQ$252+1)-INDEX($H258:$O258,0,AQ$252))/(INDEX($H$249:$O$249,0,AQ$252+1)-INDEX($H$249:$O$249,0,AQ$252))+AL265)))</f>
        <v>0.16783617392542105</v>
      </c>
      <c r="AP265" s="9" cm="1">
        <f t="array" ref="AP265">IF(AR$252=-1,AQ265,IF(AR$252=99,AO265,IF(AR$252=0,INDEX($H258:$O258,0,AR$250),(INDEX($H258:$O258,0,AR$252+1)-INDEX($H258:$O258,0,AR$252))/(INDEX($H$249:$O$249,0,AR$252+1)-INDEX($H$249:$O$249,0,AR$252))+AO265)))</f>
        <v>0.16783617392542105</v>
      </c>
      <c r="AQ265" s="9" cm="1">
        <f t="array" ref="AQ265">IF(AS$252=-1,AR265,IF(AS$252=99,AP265,IF(AS$252=0,INDEX($H258:$O258,0,AS$250),(INDEX($H258:$O258,0,AS$252+1)-INDEX($H258:$O258,0,AS$252))/(INDEX($H$249:$O$249,0,AS$252+1)-INDEX($H$249:$O$249,0,AS$252))+AP265)))</f>
        <v>0.16783617392542105</v>
      </c>
      <c r="AR265" s="9" cm="1">
        <f t="array" ref="AR265">IF(AT$252=-1,AS265,IF(AT$252=99,AQ265,IF(AT$252=0,INDEX($H258:$O258,0,AT$250),(INDEX($H258:$O258,0,AT$252+1)-INDEX($H258:$O258,0,AT$252))/(INDEX($H$249:$O$249,0,AT$252+1)-INDEX($H$249:$O$249,0,AT$252))+AQ265)))</f>
        <v>0.16783617392542105</v>
      </c>
      <c r="AS265" s="9" cm="1">
        <f t="array" ref="AS265">IF(AV$252=-1,AT265,IF(AV$252=99,AR265,IF(AV$252=0,INDEX($H258:$O258,0,AV$250),(INDEX($H258:$O258,0,AV$252+1)-INDEX($H258:$O258,0,AV$252))/(INDEX($H$249:$O$249,0,AV$252+1)-INDEX($H$249:$O$249,0,AV$252))+AR265)))</f>
        <v>0.16783617392542105</v>
      </c>
      <c r="AT265" s="9" cm="1">
        <f t="array" ref="AT265">IF(AX$252=-1,AV265,IF(AX$252=99,AS265,IF(AX$252=0,INDEX($H258:$O258,0,AX$250),(INDEX($H258:$O258,0,AX$252+1)-INDEX($H258:$O258,0,AX$252))/(INDEX($H$249:$O$249,0,AX$252+1)-INDEX($H$249:$O$249,0,AX$252))+AS265)))</f>
        <v>0.16783617392542105</v>
      </c>
      <c r="AU265" s="9" cm="1">
        <f t="array" ref="AU265">IF(AX$252=-1,AW265,IF(AX$252=99,AS265,IF(AX$252=0,INDEX($H258:$O258,0,AX$250),(INDEX($H258:$O258,0,AX$252+1)-INDEX($H258:$O258,0,AX$252))/(INDEX($H$249:$O$249,0,AX$252+1)-INDEX($H$249:$O$249,0,AX$252))+AS265)))</f>
        <v>0.16783617392542105</v>
      </c>
      <c r="AV265" s="9" cm="1">
        <f t="array" ref="AV265">IF(AY$252=-1,AX265,IF(AY$252=99,AT265,IF(AY$252=0,INDEX($H258:$O258,0,AY$250),(INDEX($H258:$O258,0,AY$252+1)-INDEX($H258:$O258,0,AY$252))/(INDEX($H$249:$O$249,0,AY$252+1)-INDEX($H$249:$O$249,0,AY$252))+AT265)))</f>
        <v>0.16783617392542105</v>
      </c>
      <c r="AW265" s="9" cm="1">
        <f t="array" ref="AW265">IF(AZ$252=-1,AY265,IF(AZ$252=99,AV265,IF(AZ$252=0,INDEX($H258:$O258,0,AZ$250),(INDEX($H258:$O258,0,AZ$252+1)-INDEX($H258:$O258,0,AZ$252))/(INDEX($H$249:$O$249,0,AZ$252+1)-INDEX($H$249:$O$249,0,AZ$252))+AV265)))</f>
        <v>0.16783617392542105</v>
      </c>
      <c r="AX265" s="9" cm="1">
        <f t="array" ref="AX265">IF(AZ$252=-1,AY265,IF(AZ$252=99,AV265,IF(AZ$252=0,INDEX($H258:$O258,0,AZ$250),(INDEX($H258:$O258,0,AZ$252+1)-INDEX($H258:$O258,0,AZ$252))/(INDEX($H$249:$O$249,0,AZ$252+1)-INDEX($H$249:$O$249,0,AZ$252))+AV265)))</f>
        <v>0.16783617392542105</v>
      </c>
      <c r="AY265" s="9" cm="1">
        <f t="array" ref="AY265">IF(BA$252=-1,AZ265,IF(BA$252=99,AX265,IF(BA$252=0,INDEX($H258:$O258,0,BA$250),(INDEX($H258:$O258,0,BA$252+1)-INDEX($H258:$O258,0,BA$252))/(INDEX($H$249:$O$249,0,BA$252+1)-INDEX($H$249:$O$249,0,BA$252))+AX265)))</f>
        <v>0.16783617392542105</v>
      </c>
      <c r="AZ265" s="9" cm="1">
        <f t="array" ref="AZ265">IF(BB$252=-1,BA265,IF(BB$252=99,AY265,IF(BB$252=0,INDEX($H258:$O258,0,BB$250),(INDEX($H258:$O258,0,BB$252+1)-INDEX($H258:$O258,0,BB$252))/(INDEX($H$249:$O$249,0,BB$252+1)-INDEX($H$249:$O$249,0,BB$252))+AY265)))</f>
        <v>0.16783617392542105</v>
      </c>
      <c r="BA265" s="9" cm="1">
        <f t="array" ref="BA265">IF(BC$252=-1,BB265,IF(BC$252=99,AZ265,IF(BC$252=0,INDEX($H258:$O258,0,BC$250),(INDEX($H258:$O258,0,BC$252+1)-INDEX($H258:$O258,0,BC$252))/(INDEX($H$249:$O$249,0,BC$252+1)-INDEX($H$249:$O$249,0,BC$252))+AZ265)))</f>
        <v>0.16783617392542105</v>
      </c>
      <c r="BB265" s="9" cm="1">
        <f t="array" ref="BB265">IF(BD$252=-1,BC265,IF(BD$252=99,BA265,IF(BD$252=0,INDEX($H258:$O258,0,BD$250),(INDEX($H258:$O258,0,BD$252+1)-INDEX($H258:$O258,0,BD$252))/(INDEX($H$249:$O$249,0,BD$252+1)-INDEX($H$249:$O$249,0,BD$252))+BA265)))</f>
        <v>0.16783617392542105</v>
      </c>
      <c r="BC265" s="9" cm="1">
        <f t="array" ref="BC265">IF(BE$252=-1,BD265,IF(BE$252=99,BB265,IF(BE$252=0,INDEX($H258:$O258,0,BE$250),(INDEX($H258:$O258,0,BE$252+1)-INDEX($H258:$O258,0,BE$252))/(INDEX($H$249:$O$249,0,BE$252+1)-INDEX($H$249:$O$249,0,BE$252))+BB265)))</f>
        <v>0.16783617392542105</v>
      </c>
      <c r="BD265" s="9" cm="1">
        <f t="array" ref="BD265">IF(BF$252=-1,BI265,IF(BF$252=99,BC265,IF(BF$252=0,INDEX($H258:$O258,0,BF$250),(INDEX($H258:$O258,0,BF$252+1)-INDEX($H258:$O258,0,BF$252))/(INDEX($H$249:$O$249,0,BF$252+1)-INDEX($H$249:$O$249,0,BF$252))+BC265)))</f>
        <v>0.16783617392542105</v>
      </c>
      <c r="BE265" s="9" cm="1">
        <f t="array" ref="BE265">IF(BG$252=-1,BJ265,IF(BG$252=99,BD265,IF(BG$252=0,INDEX($H258:$O258,0,BG$250),(INDEX($H258:$O258,0,BG$252+1)-INDEX($H258:$O258,0,BG$252))/(INDEX($H$249:$O$249,0,BG$252+1)-INDEX($H$249:$O$249,0,BG$252))+BD265)))</f>
        <v>0.16783617392542105</v>
      </c>
      <c r="BF265" s="9" cm="1">
        <f t="array" ref="BF265">IF(BH$252=-1,BK265,IF(BH$252=99,BE265,IF(BH$252=0,INDEX($H258:$O258,0,BH$250),(INDEX($H258:$O258,0,BH$252+1)-INDEX($H258:$O258,0,BH$252))/(INDEX($H$249:$O$249,0,BH$252+1)-INDEX($H$249:$O$249,0,BH$252))+BE265)))</f>
        <v>0.16783617392542105</v>
      </c>
      <c r="BG265" s="9" cm="1">
        <f t="array" ref="BG265">IF(BI$252=-1,BL265,IF(BI$252=99,BF265,IF(BI$252=0,INDEX($H258:$O258,0,BI$250),(INDEX($H258:$O258,0,BI$252+1)-INDEX($H258:$O258,0,BI$252))/(INDEX($H$249:$O$249,0,BI$252+1)-INDEX($H$249:$O$249,0,BI$252))+BF265)))</f>
        <v>0.16783617392542105</v>
      </c>
      <c r="BH265" s="9" cm="1">
        <f t="array" ref="BH265">IF(BJ$252=-1,BM265,IF(BJ$252=99,BG265,IF(BJ$252=0,INDEX($H258:$O258,0,BJ$250),(INDEX($H258:$O258,0,BJ$252+1)-INDEX($H258:$O258,0,BJ$252))/(INDEX($H$249:$O$249,0,BJ$252+1)-INDEX($H$249:$O$249,0,BJ$252))+BG265)))</f>
        <v>0.16783617392542105</v>
      </c>
      <c r="BI265" s="9" cm="1">
        <f t="array" ref="BI265">IF(BK$252=-1,BN265,IF(BK$252=99,BH265,IF(BK$252=0,INDEX($H258:$O258,0,BK$250),(INDEX($H258:$O258,0,BK$252+1)-INDEX($H258:$O258,0,BK$252))/(INDEX($H$249:$O$249,0,BK$252+1)-INDEX($H$249:$O$249,0,BK$252))+BH265)))</f>
        <v>0.16783617392542105</v>
      </c>
      <c r="BJ265" s="9" cm="1">
        <f t="array" ref="BJ265">IF(BH$252=-1,BL265,IF(BH$252=99,BI265,IF(BH$252=0,INDEX($H258:$O258,0,BH$250),(INDEX($H258:$O258,0,BH$252+1)-INDEX($H258:$O258,0,BH$252))/(INDEX($H$249:$O$249,0,BH$252+1)-INDEX($H$249:$O$249,0,BH$252))+BI265)))</f>
        <v>0.16783617392542105</v>
      </c>
      <c r="BK265" s="9" cm="1">
        <f t="array" ref="BK265">IF(BI$252=-1,BM265,IF(BI$252=99,BJ265,IF(BI$252=0,INDEX($H258:$O258,0,BI$250),(INDEX($H258:$O258,0,BI$252+1)-INDEX($H258:$O258,0,BI$252))/(INDEX($H$249:$O$249,0,BI$252+1)-INDEX($H$249:$O$249,0,BI$252))+BJ265)))</f>
        <v>0.16783617392542105</v>
      </c>
      <c r="BL265" s="9" cm="1">
        <f t="array" ref="BL265">IF(BJ$252=-1,BN265,IF(BJ$252=99,BK265,IF(BJ$252=0,INDEX($H258:$O258,0,BJ$250),(INDEX($H258:$O258,0,BJ$252+1)-INDEX($H258:$O258,0,BJ$252))/(INDEX($H$249:$O$249,0,BJ$252+1)-INDEX($H$249:$O$249,0,BJ$252))+BK265)))</f>
        <v>0.16783617392542105</v>
      </c>
      <c r="BM265" s="9" cm="1">
        <f t="array" ref="BM265">IF(BK$252=-1,BO265,IF(BK$252=99,BL265,IF(BK$252=0,INDEX($H258:$O258,0,BK$250),(INDEX($H258:$O258,0,BK$252+1)-INDEX($H258:$O258,0,BK$252))/(INDEX($H$249:$O$249,0,BK$252+1)-INDEX($H$249:$O$249,0,BK$252))+BL265)))</f>
        <v>0.16783617392542105</v>
      </c>
      <c r="BN265" s="9" cm="1">
        <f t="array" ref="BN265">IF(BL$252=-1,BP265,IF(BL$252=99,BM265,IF(BL$252=0,INDEX($H258:$O258,0,BL$250),(INDEX($H258:$O258,0,BL$252+1)-INDEX($H258:$O258,0,BL$252))/(INDEX($H$249:$O$249,0,BL$252+1)-INDEX($H$249:$O$249,0,BL$252))+BM265)))</f>
        <v>0.16783617392542105</v>
      </c>
      <c r="BO265" s="9" cm="1">
        <f t="array" ref="BO265">IF(BM$252=-1,BQ265,IF(BM$252=99,BN265,IF(BM$252=0,INDEX($H258:$O258,0,BM$250),(INDEX($H258:$O258,0,BM$252+1)-INDEX($H258:$O258,0,BM$252))/(INDEX($H$249:$O$249,0,BM$252+1)-INDEX($H$249:$O$249,0,BM$252))+BN265)))</f>
        <v>0.16783617392542105</v>
      </c>
      <c r="BP265" s="9" cm="1">
        <f t="array" ref="BP265">IF(BN$252=-1,BR265,IF(BN$252=99,BO265,IF(BN$252=0,INDEX($H258:$O258,0,BN$250),(INDEX($H258:$O258,0,BN$252+1)-INDEX($H258:$O258,0,BN$252))/(INDEX($H$249:$O$249,0,BN$252+1)-INDEX($H$249:$O$249,0,BN$252))+BO265)))</f>
        <v>0.16783617392542105</v>
      </c>
    </row>
    <row r="266" spans="5:16" ht="15">
      <c r="E266" t="s">
        <v>16</v>
      </c>
      <c r="J266"/>
      <c r="P266" s="36"/>
    </row>
    <row r="267" spans="5:16" ht="15">
      <c r="E267" t="s">
        <v>16</v>
      </c>
      <c r="J267"/>
      <c r="P267" s="36"/>
    </row>
    <row r="268" spans="5:16" ht="15">
      <c r="E268" t="s">
        <v>16</v>
      </c>
      <c r="J268"/>
      <c r="P268" s="36"/>
    </row>
    <row r="269" spans="5:16" ht="15">
      <c r="E269" t="s">
        <v>16</v>
      </c>
      <c r="J269"/>
      <c r="P269" s="36"/>
    </row>
    <row r="270" spans="5:16" ht="15">
      <c r="E270" t="s">
        <v>16</v>
      </c>
      <c r="J270"/>
      <c r="P270" s="36"/>
    </row>
    <row r="271" spans="5:16" ht="15">
      <c r="E271" t="s">
        <v>16</v>
      </c>
      <c r="J271"/>
      <c r="P271" s="36"/>
    </row>
    <row r="272" spans="5:16" ht="15">
      <c r="E272" t="s">
        <v>16</v>
      </c>
      <c r="J272"/>
      <c r="P272" s="36"/>
    </row>
    <row r="273" spans="5:16" ht="15">
      <c r="E273" t="s">
        <v>16</v>
      </c>
      <c r="J273"/>
      <c r="P273" s="36"/>
    </row>
    <row r="274" spans="5:16" ht="15">
      <c r="E274" t="s">
        <v>16</v>
      </c>
      <c r="J274"/>
      <c r="P274" s="36"/>
    </row>
    <row r="275" spans="5:16" ht="15">
      <c r="E275" t="s">
        <v>16</v>
      </c>
      <c r="J275"/>
      <c r="P275" s="36"/>
    </row>
    <row r="276" spans="5:16" ht="15">
      <c r="E276" t="s">
        <v>16</v>
      </c>
      <c r="J276"/>
      <c r="P276" s="36"/>
    </row>
    <row r="277" spans="5:16" ht="15">
      <c r="E277" t="s">
        <v>16</v>
      </c>
      <c r="J277"/>
      <c r="P277" s="36"/>
    </row>
    <row r="278" spans="5:16" ht="15">
      <c r="E278" t="s">
        <v>16</v>
      </c>
      <c r="J278"/>
      <c r="P278" s="36"/>
    </row>
    <row r="279" spans="5:16" ht="15">
      <c r="E279" t="s">
        <v>16</v>
      </c>
      <c r="J279"/>
      <c r="P279" s="36"/>
    </row>
    <row r="280" spans="5:16" ht="15">
      <c r="E280" t="s">
        <v>16</v>
      </c>
      <c r="J280"/>
      <c r="P280" s="36"/>
    </row>
    <row r="281" spans="5:16" ht="15">
      <c r="E281" t="s">
        <v>16</v>
      </c>
      <c r="J281"/>
      <c r="P281" s="36"/>
    </row>
    <row r="282" spans="5:16" ht="15">
      <c r="E282" t="s">
        <v>16</v>
      </c>
      <c r="J282"/>
      <c r="P282" s="36"/>
    </row>
    <row r="283" spans="10:16" ht="15">
      <c r="J283"/>
      <c r="P283" s="36"/>
    </row>
    <row r="284" spans="10:16" ht="15">
      <c r="J284"/>
      <c r="P284" s="36"/>
    </row>
    <row r="285" spans="10:16" ht="15">
      <c r="J285"/>
      <c r="P285" s="36"/>
    </row>
    <row r="286" spans="10:16" ht="15">
      <c r="J286"/>
      <c r="P286" s="36"/>
    </row>
    <row r="287" spans="10:16" ht="15">
      <c r="J287"/>
      <c r="P287" s="36"/>
    </row>
    <row r="288" spans="10:16" ht="15">
      <c r="J288"/>
      <c r="P288" s="36"/>
    </row>
    <row r="289" spans="10:16" ht="15">
      <c r="J289"/>
      <c r="P289" s="36"/>
    </row>
    <row r="290" spans="10:16" ht="15">
      <c r="J290"/>
      <c r="P290" s="36"/>
    </row>
    <row r="291" spans="10:16" ht="15">
      <c r="J291"/>
      <c r="P291" s="36"/>
    </row>
  </sheetData>
  <mergeCells count="2">
    <mergeCell ref="B2:C2"/>
    <mergeCell ref="P1:Z1"/>
  </mergeCells>
  <hyperlinks>
    <hyperlink ref="C71" r:id="rId1" display="https://dataportal.opendataforafrica.org/nbyenxf/afdb-socio-economic-database-1960-2021"/>
  </hyperlinks>
  <pageMargins left="0.7" right="0.7" top="0.75" bottom="0.75" header="0.3" footer="0.3"/>
  <pageSetup orientation="portrait" paperSize="1" r:id="rId6"/>
  <drawing r:id="rId4"/>
  <legacyDrawing r:id="rId5"/>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09996986389"/>
  </sheetPr>
  <dimension ref="A1:BY56"/>
  <sheetViews>
    <sheetView workbookViewId="0" topLeftCell="A1">
      <selection pane="topLeft" activeCell="B34" sqref="B34"/>
    </sheetView>
  </sheetViews>
  <sheetFormatPr defaultColWidth="8.85428571428571" defaultRowHeight="15"/>
  <cols>
    <col min="1" max="1" width="9.14285714285714" customWidth="1"/>
    <col min="2" max="2" width="15.4285714285714" customWidth="1"/>
    <col min="3" max="3" width="47.1428571428571" customWidth="1"/>
    <col min="7" max="7" width="9.14285714285714" customWidth="1"/>
    <col min="13" max="31" width="6.85714285714286" customWidth="1"/>
    <col min="32" max="32" width="8.85714285714286" customWidth="1"/>
    <col min="33" max="37" width="6.85714285714286" customWidth="1"/>
    <col min="38" max="39" width="7.57142857142857" bestFit="1" customWidth="1"/>
    <col min="40" max="43" width="6.85714285714286" customWidth="1"/>
  </cols>
  <sheetData>
    <row r="1" spans="1:10" ht="15">
      <c r="A1" t="str">
        <f>IF(TRA,"TS DATA","")</f>
        <v>TS DATA</v>
      </c>
      <c r="B1" t="s">
        <v>17</v>
      </c>
      <c r="J1" s="36"/>
    </row>
    <row r="2" spans="1:10" ht="15.75" thickBot="1">
      <c r="A2" t="s">
        <v>16</v>
      </c>
      <c r="B2" s="4" t="s">
        <v>280</v>
      </c>
      <c r="C2" s="4"/>
      <c r="J2" s="36"/>
    </row>
    <row r="3" spans="1:43" ht="15">
      <c r="A3" t="s">
        <v>16</v>
      </c>
      <c r="B3" s="221" t="s">
        <v>609</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8"/>
      <c r="AE3" s="18"/>
      <c r="AF3" s="18"/>
      <c r="AG3" s="18"/>
      <c r="AH3" s="18"/>
      <c r="AI3" s="18"/>
      <c r="AJ3" s="18"/>
      <c r="AK3" s="18"/>
      <c r="AL3" s="18"/>
      <c r="AM3" s="18"/>
      <c r="AN3" s="18"/>
      <c r="AO3" s="18"/>
      <c r="AP3" s="18"/>
      <c r="AQ3" s="18"/>
    </row>
    <row r="4" spans="1:20" ht="18" thickBot="1">
      <c r="A4" t="s">
        <v>16</v>
      </c>
      <c r="B4" s="54" t="s">
        <v>144</v>
      </c>
      <c r="C4" s="15"/>
      <c r="D4" s="15" t="s">
        <v>123</v>
      </c>
      <c r="E4" s="15"/>
      <c r="F4" s="15"/>
      <c r="G4" s="15"/>
      <c r="H4" s="15"/>
      <c r="I4" s="15" t="s">
        <v>123</v>
      </c>
      <c r="J4">
        <v>2012</v>
      </c>
      <c r="K4">
        <v>2015</v>
      </c>
      <c r="L4">
        <v>2017</v>
      </c>
      <c r="M4">
        <v>2019</v>
      </c>
      <c r="N4">
        <v>2020</v>
      </c>
      <c r="O4">
        <v>2021</v>
      </c>
      <c r="P4">
        <v>2030</v>
      </c>
      <c r="Q4">
        <v>2040</v>
      </c>
      <c r="R4">
        <v>2050</v>
      </c>
      <c r="S4">
        <v>2060</v>
      </c>
      <c r="T4">
        <v>2070</v>
      </c>
    </row>
    <row r="5" spans="1:43" ht="15.75" thickTop="1">
      <c r="A5" t="s">
        <v>16</v>
      </c>
      <c r="B5" s="9" t="s">
        <v>801</v>
      </c>
      <c r="C5" s="9" t="s">
        <v>578</v>
      </c>
      <c r="D5">
        <f>MATCH(B5,Drivers!$A$7:$A$25,0)</f>
        <v>19</v>
      </c>
      <c r="E5" s="9"/>
      <c r="J5" s="22" cm="1">
        <f t="array" ref="J5">INDEX(Drivers!$C$7:$AG$25,$D5,J$3)</f>
        <v>6.4158612357306808</v>
      </c>
      <c r="K5" s="22" cm="1">
        <f t="array" ref="K5">INDEX(Drivers!$C$7:$AG$25,$D5,K$3)</f>
        <v>6.9251895229982949</v>
      </c>
      <c r="L5" s="22" cm="1">
        <f t="array" ref="L5">INDEX(Drivers!$C$7:$AG$25,$D5,L$3)</f>
        <v>7.0969867972742753</v>
      </c>
      <c r="M5" s="22" cm="1">
        <f t="array" ref="M5">INDEX(Drivers!$C$7:$AG$25,$D5,M$3)</f>
        <v>7.29</v>
      </c>
      <c r="N5" s="22" cm="1">
        <f t="array" ref="N5">INDEX(Drivers!$C$7:$AG$25,$D5,N$3)</f>
        <v>6.9000000000000004</v>
      </c>
      <c r="O5" s="22" cm="1">
        <f t="array" ref="O5">INDEX(Drivers!$C$7:$AG$25,$D5,O$3)</f>
        <v>7.2462348299210166</v>
      </c>
      <c r="P5" s="22" cm="1">
        <f t="array" ref="P5">INDEX(Drivers!$C$7:$AG$25,$D5,P$3)</f>
        <v>10.266946016247068</v>
      </c>
      <c r="Q5" s="22" cm="1">
        <f t="array" ref="Q5">INDEX(Drivers!$C$7:$AG$25,$D5,Q$3)</f>
        <v>13.593731550868938</v>
      </c>
      <c r="R5" s="22" cm="1">
        <f t="array" ref="R5">INDEX(Drivers!$C$7:$AG$25,$D5,R$3)</f>
        <v>16.763762045233523</v>
      </c>
      <c r="S5" s="22" cm="1">
        <f t="array" ref="S5">INDEX(Drivers!$C$7:$AK$25,$D5,S$3)</f>
        <v>20.884742863384261</v>
      </c>
      <c r="T5" s="22" cm="1">
        <f t="array" ref="T5">INDEX(Drivers!$C$7:$AK$25,$D5,T$3)</f>
        <v>22.839287570761606</v>
      </c>
      <c r="U5" s="9"/>
      <c r="V5" s="9"/>
      <c r="W5" s="9"/>
      <c r="X5" s="9"/>
      <c r="Y5" s="9"/>
      <c r="Z5" s="9"/>
      <c r="AA5" s="9"/>
      <c r="AB5" s="9"/>
      <c r="AC5" s="9"/>
      <c r="AD5" s="9"/>
      <c r="AE5" s="9"/>
      <c r="AF5" s="9"/>
      <c r="AG5" s="9"/>
      <c r="AH5" s="9"/>
      <c r="AI5" s="9"/>
      <c r="AJ5" s="9"/>
      <c r="AK5" s="9"/>
      <c r="AL5" s="9"/>
      <c r="AM5" s="9"/>
      <c r="AN5" s="9"/>
      <c r="AO5" s="9"/>
      <c r="AP5" s="9"/>
      <c r="AQ5" s="9"/>
    </row>
    <row r="6" spans="1:41" ht="15">
      <c r="A6" t="s">
        <v>16</v>
      </c>
      <c r="K6" s="9"/>
      <c r="L6" s="9"/>
      <c r="N6" s="9"/>
      <c r="P6" s="9"/>
      <c r="Q6" s="9"/>
      <c r="R6" s="9"/>
      <c r="S6" s="9"/>
      <c r="T6" s="9"/>
      <c r="U6" t="s">
        <v>670</v>
      </c>
      <c r="V6" s="9"/>
      <c r="W6" s="9"/>
      <c r="X6" s="9"/>
      <c r="Y6" s="9"/>
      <c r="Z6" s="9"/>
      <c r="AA6" s="9"/>
      <c r="AB6" s="9"/>
      <c r="AC6" s="9"/>
      <c r="AD6" s="9"/>
      <c r="AE6" s="9"/>
      <c r="AF6" s="9"/>
      <c r="AG6" s="9"/>
      <c r="AH6" s="9"/>
      <c r="AI6" s="9"/>
      <c r="AJ6" s="9"/>
      <c r="AK6" s="9"/>
      <c r="AL6" s="9"/>
      <c r="AM6" s="9"/>
      <c r="AN6" s="9"/>
      <c r="AO6" s="9"/>
    </row>
    <row r="7" spans="1:40" ht="15.75" thickBot="1">
      <c r="A7" t="s">
        <v>16</v>
      </c>
      <c r="B7" s="15" t="s">
        <v>93</v>
      </c>
      <c r="C7" s="15"/>
      <c r="D7">
        <f>D32</f>
        <v>0</v>
      </c>
      <c r="E7">
        <f>E32</f>
        <v>2017</v>
      </c>
      <c r="F7">
        <f>F32</f>
        <v>2020</v>
      </c>
      <c r="G7">
        <f>G32</f>
        <v>2030</v>
      </c>
      <c r="H7">
        <f>H32</f>
        <v>2050</v>
      </c>
      <c r="U7" s="280" t="str">
        <f>$C$14</f>
        <v>No improvement</v>
      </c>
      <c r="V7" s="280"/>
      <c r="W7" s="280"/>
      <c r="X7" s="280"/>
      <c r="Y7" s="280"/>
      <c r="Z7" s="280"/>
      <c r="AA7" s="104"/>
      <c r="AB7" s="104"/>
      <c r="AC7" s="104"/>
      <c r="AD7" s="104"/>
      <c r="AE7" s="104"/>
      <c r="AF7" s="104"/>
      <c r="AG7" s="104"/>
      <c r="AH7" s="104"/>
      <c r="AI7" s="104"/>
      <c r="AJ7" s="104"/>
      <c r="AK7" s="104"/>
      <c r="AL7" s="104"/>
      <c r="AM7" s="104"/>
      <c r="AN7" s="9"/>
    </row>
    <row r="8" spans="1:41" ht="15">
      <c r="A8" t="s">
        <v>16</v>
      </c>
      <c r="B8" t="s">
        <v>681</v>
      </c>
      <c r="U8" t="s">
        <v>673</v>
      </c>
      <c r="AB8" s="277">
        <v>2012</v>
      </c>
      <c r="AC8" s="277">
        <v>2013</v>
      </c>
      <c r="AD8" s="277">
        <v>2014</v>
      </c>
      <c r="AE8" s="277">
        <v>2015</v>
      </c>
      <c r="AF8" s="277">
        <v>2016</v>
      </c>
      <c r="AG8" s="277">
        <v>2017</v>
      </c>
      <c r="AH8" s="277">
        <v>2018</v>
      </c>
      <c r="AI8" s="277">
        <v>2019</v>
      </c>
      <c r="AJ8" s="278">
        <v>2020</v>
      </c>
      <c r="AK8" s="278">
        <v>2030</v>
      </c>
      <c r="AL8" s="278">
        <v>2040</v>
      </c>
      <c r="AM8" s="278">
        <v>2050</v>
      </c>
      <c r="AN8" s="278">
        <v>2060</v>
      </c>
      <c r="AO8" s="278">
        <v>2070</v>
      </c>
    </row>
    <row r="9" spans="1:41" ht="15">
      <c r="A9" t="s">
        <v>16</v>
      </c>
      <c r="U9" t="s">
        <v>674</v>
      </c>
      <c r="AB9">
        <v>14.10</v>
      </c>
      <c r="AC9">
        <v>13.90</v>
      </c>
      <c r="AD9">
        <v>13.50</v>
      </c>
      <c r="AE9">
        <v>13.50</v>
      </c>
      <c r="AF9">
        <v>13.30</v>
      </c>
      <c r="AG9">
        <v>13</v>
      </c>
      <c r="AH9">
        <v>12.60</v>
      </c>
      <c r="AI9">
        <v>12.30</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1 40:40" ht="15">
      <c r="A10" t="s">
        <v>16</v>
      </c>
      <c r="AN10" s="9"/>
    </row>
    <row r="11" spans="1:40" ht="15">
      <c r="A11" t="s">
        <v>16</v>
      </c>
      <c r="U11" t="s">
        <v>671</v>
      </c>
      <c r="Y11" s="281" t="s">
        <v>678</v>
      </c>
      <c r="AI11" s="9">
        <f>AI30</f>
        <v>10.9</v>
      </c>
      <c r="AK11" s="9">
        <f>AJ29+AI$9-AI11</f>
        <v>10.999999999999998</v>
      </c>
      <c r="AM11" s="9">
        <f>AK29+AI9-AI11</f>
        <v>10.1</v>
      </c>
      <c r="AN11" s="9"/>
    </row>
    <row r="12" spans="1:40" ht="15">
      <c r="A12" t="s">
        <v>16</v>
      </c>
      <c r="U12" t="s">
        <v>672</v>
      </c>
      <c r="Y12" t="s">
        <v>677</v>
      </c>
      <c r="AI12" s="9">
        <f>AI30</f>
        <v>10.9</v>
      </c>
      <c r="AK12" s="9">
        <f>AJ30</f>
        <v>7.2000000000000002</v>
      </c>
      <c r="AM12" s="9">
        <f>AK30</f>
        <v>6.0999999999999996</v>
      </c>
      <c r="AN12" s="9"/>
    </row>
    <row r="13" spans="1:1 40:40" ht="15">
      <c r="A13" t="s">
        <v>16</v>
      </c>
      <c r="AN13" s="9"/>
    </row>
    <row r="14" spans="1:40" ht="15">
      <c r="A14" t="s">
        <v>16</v>
      </c>
      <c r="B14" s="46" t="s">
        <v>82</v>
      </c>
      <c r="C14" s="279" t="str">
        <f>IF(PTRA!D3=-1,U14,IF(PTRA!D3=2,U15,U16))</f>
        <v>No improvement</v>
      </c>
      <c r="D14">
        <v>1</v>
      </c>
      <c r="E14">
        <f t="shared" si="0" ref="E14:H16">D14</f>
        <v>1</v>
      </c>
      <c r="F14">
        <f t="shared" si="0"/>
        <v>1</v>
      </c>
      <c r="G14">
        <f t="shared" si="0"/>
        <v>1</v>
      </c>
      <c r="H14">
        <f t="shared" si="0"/>
        <v>1</v>
      </c>
      <c r="J14" s="12">
        <f>D14</f>
        <v>1</v>
      </c>
      <c r="K14" s="12">
        <f>IF(ISBLANK(INDEX(AJ$14:AJ$16,MATCH($U$7,$U$14:$U$16,0))),"",INDEX(AJ$14:AJ$16,MATCH($U$7,$U$14:$U$16,0)))</f>
        <v>1</v>
      </c>
      <c r="L14" s="12">
        <f>K14</f>
        <v>1</v>
      </c>
      <c r="M14" s="12">
        <f t="shared" si="1" ref="M14:O14">L14</f>
        <v>1</v>
      </c>
      <c r="N14" s="12">
        <f t="shared" si="1"/>
        <v>1</v>
      </c>
      <c r="O14" s="12">
        <f t="shared" si="1"/>
        <v>1</v>
      </c>
      <c r="P14" s="9">
        <f>INDEX($AK$9:$AM$9,MATCH(P$4,$AK$8:$AM$8,0))</f>
        <v>1</v>
      </c>
      <c r="Q14" s="9">
        <f t="shared" si="2" ref="Q14:R15">INDEX($AK$9:$AM$9,MATCH(Q$4,$AK$8:$AM$8,0))</f>
        <v>1</v>
      </c>
      <c r="R14" s="9">
        <f t="shared" si="2"/>
        <v>1</v>
      </c>
      <c r="S14" s="9">
        <f>INDEX($AK$9:$AO$9,MATCH(S$4,$AK$8:$AO$8,0))</f>
        <v>1</v>
      </c>
      <c r="T14" s="9">
        <f>INDEX($AK$9:$AO$9,MATCH(T$4,$AK$8:$AO$8,0))</f>
        <v>1</v>
      </c>
      <c r="U14" t="s">
        <v>676</v>
      </c>
      <c r="AG14">
        <v>1</v>
      </c>
      <c r="AJ14">
        <v>1</v>
      </c>
      <c r="AK14">
        <v>1</v>
      </c>
      <c r="AL14">
        <v>1</v>
      </c>
      <c r="AM14">
        <v>1</v>
      </c>
      <c r="AN14" s="9"/>
    </row>
    <row r="15" spans="1:40" ht="15">
      <c r="A15" t="s">
        <v>16</v>
      </c>
      <c r="B15" s="46" t="s">
        <v>94</v>
      </c>
      <c r="C15" t="str">
        <f>C14</f>
        <v>No improvement</v>
      </c>
      <c r="D15">
        <v>1</v>
      </c>
      <c r="E15">
        <f t="shared" si="3" ref="E15">D15</f>
        <v>1</v>
      </c>
      <c r="F15">
        <f t="shared" si="4" ref="F15">E15</f>
        <v>1</v>
      </c>
      <c r="G15">
        <f t="shared" si="5" ref="G15">F15</f>
        <v>1</v>
      </c>
      <c r="H15">
        <f t="shared" si="6" ref="H15">G15</f>
        <v>1</v>
      </c>
      <c r="J15" s="12">
        <f>D15</f>
        <v>1</v>
      </c>
      <c r="K15" s="12">
        <f>IF(ISBLANK(INDEX(AJ$14:AJ$16,MATCH($U$7,$U$14:$U$16,0))),"",INDEX(AJ$14:AJ$16,MATCH($U$7,$U$14:$U$16,0)))</f>
        <v>1</v>
      </c>
      <c r="L15" s="12">
        <f t="shared" si="7" ref="L15:O15">K15</f>
        <v>1</v>
      </c>
      <c r="M15" s="12">
        <f t="shared" si="7"/>
        <v>1</v>
      </c>
      <c r="N15" s="12">
        <f t="shared" si="7"/>
        <v>1</v>
      </c>
      <c r="O15" s="12">
        <f t="shared" si="7"/>
        <v>1</v>
      </c>
      <c r="P15" s="9">
        <f t="shared" si="8" ref="P15">INDEX($AK$9:$AM$9,MATCH(P$4,$AK$8:$AM$8,0))</f>
        <v>1</v>
      </c>
      <c r="Q15" s="9">
        <f t="shared" si="2"/>
        <v>1</v>
      </c>
      <c r="R15" s="9">
        <f t="shared" si="2"/>
        <v>1</v>
      </c>
      <c r="S15" s="9">
        <f>INDEX($AK$9:$AO$9,MATCH(S$4,$AK$8:$AO$8,0))</f>
        <v>1</v>
      </c>
      <c r="T15" s="9">
        <f>INDEX($AK$9:$AO$9,MATCH(T$4,$AK$8:$AO$8,0))</f>
        <v>1</v>
      </c>
      <c r="U15" t="s">
        <v>671</v>
      </c>
      <c r="W15" t="s">
        <v>39</v>
      </c>
      <c r="X15" t="s">
        <v>675</v>
      </c>
      <c r="AG15">
        <f>AG9/AG9</f>
        <v>1</v>
      </c>
      <c r="AJ15">
        <v>1</v>
      </c>
      <c r="AK15">
        <f>AK11/AF9</f>
        <v>0.82706766917293217</v>
      </c>
      <c r="AL15">
        <f>AVERAGE(AK15,AM15)</f>
        <v>0.8019953730480045</v>
      </c>
      <c r="AM15">
        <f>AM11/AG9</f>
        <v>0.77692307692307694</v>
      </c>
      <c r="AN15" s="9"/>
    </row>
    <row r="16" spans="1:40" ht="15">
      <c r="A16" t="s">
        <v>16</v>
      </c>
      <c r="B16" t="s">
        <v>84</v>
      </c>
      <c r="C16" t="s">
        <v>676</v>
      </c>
      <c r="D16">
        <v>1</v>
      </c>
      <c r="E16">
        <f t="shared" si="0"/>
        <v>1</v>
      </c>
      <c r="F16">
        <f t="shared" si="0"/>
        <v>1</v>
      </c>
      <c r="G16">
        <f t="shared" si="0"/>
        <v>1</v>
      </c>
      <c r="H16">
        <f t="shared" si="0"/>
        <v>1</v>
      </c>
      <c r="J16" s="12">
        <f>D16</f>
        <v>1</v>
      </c>
      <c r="K16" s="12">
        <f t="shared" si="9" ref="K16:R16">E16</f>
        <v>1</v>
      </c>
      <c r="L16" s="12">
        <f t="shared" si="9"/>
        <v>1</v>
      </c>
      <c r="M16" s="12">
        <f t="shared" si="9"/>
        <v>1</v>
      </c>
      <c r="N16" s="12">
        <f t="shared" si="9"/>
        <v>1</v>
      </c>
      <c r="O16" s="12">
        <f t="shared" si="9"/>
        <v>0</v>
      </c>
      <c r="P16" s="12">
        <f t="shared" si="9"/>
        <v>1</v>
      </c>
      <c r="Q16" s="12">
        <f t="shared" si="9"/>
        <v>1</v>
      </c>
      <c r="R16" s="12">
        <f t="shared" si="9"/>
        <v>1</v>
      </c>
      <c r="S16" s="12">
        <f t="shared" si="10" ref="S16">M16</f>
        <v>1</v>
      </c>
      <c r="T16" s="12">
        <f t="shared" si="11" ref="T16">N16</f>
        <v>1</v>
      </c>
      <c r="U16" t="s">
        <v>672</v>
      </c>
      <c r="V16" s="12"/>
      <c r="W16" s="12" t="s">
        <v>39</v>
      </c>
      <c r="X16" t="s">
        <v>675</v>
      </c>
      <c r="Y16" s="12"/>
      <c r="Z16" s="12"/>
      <c r="AA16" s="12"/>
      <c r="AB16" s="12"/>
      <c r="AE16" s="9"/>
      <c r="AG16">
        <f>AG15</f>
        <v>1</v>
      </c>
      <c r="AJ16" s="12">
        <v>1</v>
      </c>
      <c r="AK16">
        <f>AK12/AG9</f>
        <v>0.55384615384615388</v>
      </c>
      <c r="AL16">
        <f>AVERAGE(AK16,AM16)</f>
        <v>0.5115384615384615</v>
      </c>
      <c r="AM16">
        <f>AM12/AG9</f>
        <v>0.46923076923076923</v>
      </c>
      <c r="AN16" s="12"/>
    </row>
    <row r="17" spans="1:1" ht="15">
      <c r="A17" t="s">
        <v>16</v>
      </c>
    </row>
    <row r="18" spans="1:1" ht="15">
      <c r="A18" t="s">
        <v>16</v>
      </c>
    </row>
    <row r="19" spans="1:9" ht="15.75" thickBot="1">
      <c r="A19" t="s">
        <v>16</v>
      </c>
      <c r="B19" s="15" t="s">
        <v>91</v>
      </c>
      <c r="C19" s="15"/>
      <c r="D19">
        <f>D7</f>
        <v>0</v>
      </c>
      <c r="E19">
        <f>E7</f>
        <v>2017</v>
      </c>
      <c r="F19">
        <f>F7</f>
        <v>2020</v>
      </c>
      <c r="G19">
        <f>G7</f>
        <v>2030</v>
      </c>
      <c r="H19">
        <f>H7</f>
        <v>2050</v>
      </c>
      <c r="I19" s="45"/>
    </row>
    <row r="20" spans="1:8" ht="15">
      <c r="A20" t="s">
        <v>16</v>
      </c>
      <c r="B20" t="s">
        <v>81</v>
      </c>
      <c r="E20" s="9"/>
      <c r="F20" s="9"/>
      <c r="G20" s="9"/>
      <c r="H20" s="9"/>
    </row>
    <row r="21" spans="1:35" ht="15">
      <c r="A21" t="s">
        <v>16</v>
      </c>
      <c r="B21" t="s">
        <v>82</v>
      </c>
      <c r="C21" s="9">
        <v>1</v>
      </c>
      <c r="D21" s="9">
        <f>C21</f>
        <v>1</v>
      </c>
      <c r="E21" s="9">
        <f>D21</f>
        <v>1</v>
      </c>
      <c r="F21" s="9">
        <f>E21</f>
        <v>1</v>
      </c>
      <c r="G21" s="9">
        <f>F21</f>
        <v>1</v>
      </c>
      <c r="H21" s="9">
        <f>G21</f>
        <v>1</v>
      </c>
      <c r="I21" s="24" t="s">
        <v>30</v>
      </c>
      <c r="J21" s="100">
        <f>E27</f>
        <v>68.938999999999993</v>
      </c>
      <c r="K21" s="32">
        <f>J21*(1+$C$21*(K5/J5-1))</f>
        <v>74.41177777773558</v>
      </c>
      <c r="L21" s="32">
        <f>K21*(1+$C$21*(L5/K5-1))</f>
        <v>76.257754780067515</v>
      </c>
      <c r="M21" s="32">
        <f>L21*(1+$C$21*(M5/L5-1))</f>
        <v>78.331698821844057</v>
      </c>
      <c r="N21" s="32">
        <f>M21*(1+$C$21*(N5/M5-1))</f>
        <v>74.141114111210427</v>
      </c>
      <c r="O21" s="32">
        <f>N21*(1+$C$21*(O5/N5-1))</f>
        <v>77.86143817417414</v>
      </c>
      <c r="P21" s="32">
        <f>N21*(1+$C$21*(P5/N5-1))</f>
        <v>110.3192487194509</v>
      </c>
      <c r="Q21" s="32">
        <f>P21*(1+$C$21*(Q5/P5-1))</f>
        <v>146.0658553782805</v>
      </c>
      <c r="R21" s="32">
        <f>Q21*(1+$C$21*(R5/Q5-1))</f>
        <v>180.12811517809232</v>
      </c>
      <c r="S21" s="32">
        <f t="shared" si="12" ref="S21:T21">R21*(1+$C$21*(S5/R5-1))</f>
        <v>224.40842084311015</v>
      </c>
      <c r="T21" s="32">
        <f t="shared" si="12"/>
        <v>245.41017768153424</v>
      </c>
      <c r="V21" s="32"/>
      <c r="W21" s="32"/>
      <c r="X21" s="32"/>
      <c r="Y21" s="32"/>
      <c r="Z21" s="32"/>
      <c r="AA21" s="32"/>
      <c r="AB21" s="32"/>
      <c r="AC21" s="32"/>
      <c r="AD21" s="32"/>
      <c r="AE21" s="32"/>
      <c r="AF21" s="32"/>
      <c r="AG21" s="32"/>
      <c r="AH21" s="32"/>
      <c r="AI21" s="32"/>
    </row>
    <row r="22" spans="1:35" ht="15">
      <c r="A22" t="s">
        <v>16</v>
      </c>
      <c r="B22" t="s">
        <v>83</v>
      </c>
      <c r="C22" s="9">
        <v>1</v>
      </c>
      <c r="D22" s="9">
        <v>1</v>
      </c>
      <c r="E22" s="9">
        <v>1</v>
      </c>
      <c r="F22" s="9">
        <v>1</v>
      </c>
      <c r="G22" s="9">
        <v>1</v>
      </c>
      <c r="H22" s="9">
        <v>1</v>
      </c>
      <c r="I22" s="24" t="s">
        <v>30</v>
      </c>
      <c r="J22" s="100">
        <f>E28</f>
        <v>20.483000000000001</v>
      </c>
      <c r="K22" s="32">
        <f>J22*(1+$C$22*(K5/J5-1))</f>
        <v>22.109059374539203</v>
      </c>
      <c r="L22" s="32">
        <f>K22*(1+$C$22*(L5/K5-1))</f>
        <v>22.65753189283458</v>
      </c>
      <c r="M22" s="32">
        <f>L22*(1+$C$22*(M5/L5-1))</f>
        <v>23.273737463088121</v>
      </c>
      <c r="N22" s="32">
        <f>M22*(1+$C$22*(N5/M5-1))</f>
        <v>22.028640397161595</v>
      </c>
      <c r="O22" s="32">
        <f>N22*(1+$C$22*(O5/N5-1))</f>
        <v>23.134014681408328</v>
      </c>
      <c r="P22" s="32">
        <f>N22*(1+$C$22*(P5/N5-1))</f>
        <v>32.777806053474997</v>
      </c>
      <c r="Q22" s="32">
        <f>P22*(1+$C$22*(Q5/P5-1))</f>
        <v>43.398757099948064</v>
      </c>
      <c r="R22" s="32">
        <f>Q22*(1+$C$22*(R5/Q5-1))</f>
        <v>53.519258811309491</v>
      </c>
      <c r="S22" s="32">
        <f t="shared" si="13" ref="S22:T22">R22*(1+$C$22*(S5/R5-1))</f>
        <v>66.675723235460708</v>
      </c>
      <c r="T22" s="32">
        <f t="shared" si="13"/>
        <v>72.915717800531866</v>
      </c>
      <c r="V22" s="32"/>
      <c r="W22" s="32"/>
      <c r="X22" s="32"/>
      <c r="Y22" s="32"/>
      <c r="Z22" s="32"/>
      <c r="AA22" s="32"/>
      <c r="AB22" s="32"/>
      <c r="AC22" s="32"/>
      <c r="AD22" s="32"/>
      <c r="AE22" s="32"/>
      <c r="AF22" s="32"/>
      <c r="AG22" s="32"/>
      <c r="AH22" s="32"/>
      <c r="AI22" s="32"/>
    </row>
    <row r="23" spans="1:35" ht="15">
      <c r="A23" t="s">
        <v>16</v>
      </c>
      <c r="B23" t="s">
        <v>83</v>
      </c>
      <c r="C23" s="9">
        <v>1</v>
      </c>
      <c r="D23" s="9">
        <v>1</v>
      </c>
      <c r="E23" s="9">
        <v>1</v>
      </c>
      <c r="F23" s="9">
        <v>1</v>
      </c>
      <c r="G23" s="9">
        <v>1</v>
      </c>
      <c r="H23" s="9">
        <v>1</v>
      </c>
      <c r="I23" s="24" t="s">
        <v>30</v>
      </c>
      <c r="J23" s="100">
        <f>E29</f>
        <v>0.82199999999999995</v>
      </c>
      <c r="K23" s="32">
        <f>J23*(1+$C$23*(K5/J5-1))</f>
        <v>0.88725512892990399</v>
      </c>
      <c r="L23" s="32">
        <f>K23*(1+$C$23*(L5/K5-1))</f>
        <v>0.90926579192061818</v>
      </c>
      <c r="M23" s="32">
        <f>L23*(1+$C$23*(M5/L5-1))</f>
        <v>0.9339946391963303</v>
      </c>
      <c r="N23" s="32">
        <f>M23*(1+$C$23*(N5/M5-1))</f>
        <v>0.88402784779899579</v>
      </c>
      <c r="O23" s="32">
        <f>N23*(1+$C$23*(O5/N5-1))</f>
        <v>0.9283874465711881</v>
      </c>
      <c r="P23" s="32">
        <f>N23*(1+$C$23*(P5/N5-1))</f>
        <v>1.3154008971320825</v>
      </c>
      <c r="Q23" s="32">
        <f>P23*(1+$C$23*(Q5/P5-1))</f>
        <v>1.7416285864452132</v>
      </c>
      <c r="R23" s="32">
        <f>Q23*(1+$C$23*(R5/Q5-1))</f>
        <v>2.1477728234583018</v>
      </c>
      <c r="S23" s="32">
        <f t="shared" si="14" ref="S23:T23">R23*(1+$C$23*(S5/R5-1))</f>
        <v>2.675752794978699</v>
      </c>
      <c r="T23" s="32">
        <f t="shared" si="14"/>
        <v>2.9261690197743095</v>
      </c>
      <c r="U23" s="32"/>
      <c r="V23" s="32"/>
      <c r="W23" s="32"/>
      <c r="X23" s="32"/>
      <c r="Y23" s="32"/>
      <c r="Z23" s="32"/>
      <c r="AA23" s="32"/>
      <c r="AB23" s="32"/>
      <c r="AC23" s="32"/>
      <c r="AD23" s="32"/>
      <c r="AE23" s="32"/>
      <c r="AF23" s="32"/>
      <c r="AG23" s="32"/>
      <c r="AH23" s="32"/>
      <c r="AI23" s="32"/>
    </row>
    <row r="24" spans="1:12" ht="15">
      <c r="A24" t="s">
        <v>16</v>
      </c>
      <c r="H24" s="12"/>
      <c r="I24" s="12"/>
      <c r="J24" s="12"/>
      <c r="K24" s="13"/>
      <c r="L24" s="13"/>
    </row>
    <row r="25" spans="1:9" ht="15">
      <c r="A25" t="s">
        <v>16</v>
      </c>
      <c r="H25" s="12"/>
      <c r="I25" s="12"/>
    </row>
    <row r="26" spans="1:5" ht="15">
      <c r="A26" t="s">
        <v>16</v>
      </c>
      <c r="C26" s="8" t="s">
        <v>86</v>
      </c>
      <c r="E26" t="s">
        <v>15</v>
      </c>
    </row>
    <row r="27" spans="1:43" ht="15">
      <c r="A27" t="s">
        <v>16</v>
      </c>
      <c r="B27" s="9" t="s">
        <v>586</v>
      </c>
      <c r="C27" s="9" t="s">
        <v>757</v>
      </c>
      <c r="D27" s="24" t="s">
        <v>30</v>
      </c>
      <c r="E27" s="157">
        <f>'BY-DMD'!I84</f>
        <v>68.938999999999993</v>
      </c>
      <c r="F27" s="9"/>
      <c r="J27" s="9">
        <f>E27</f>
        <v>68.938999999999993</v>
      </c>
      <c r="K27" s="9">
        <f>(K21*K14)</f>
        <v>74.41177777773558</v>
      </c>
      <c r="L27" s="231">
        <v>68.939278175231294</v>
      </c>
      <c r="M27" s="9">
        <f t="shared" si="15" ref="M27:R27">(M21*M14)</f>
        <v>78.331698821844057</v>
      </c>
      <c r="N27" s="9">
        <f t="shared" si="15"/>
        <v>74.141114111210427</v>
      </c>
      <c r="O27" s="9">
        <f t="shared" si="15"/>
        <v>77.86143817417414</v>
      </c>
      <c r="P27" s="9">
        <f t="shared" si="15"/>
        <v>110.3192487194509</v>
      </c>
      <c r="Q27" s="9">
        <f t="shared" si="15"/>
        <v>146.0658553782805</v>
      </c>
      <c r="R27" s="9">
        <f t="shared" si="15"/>
        <v>180.12811517809232</v>
      </c>
      <c r="S27" s="9">
        <f t="shared" si="16" ref="S27:T27">(S21*S14)</f>
        <v>224.40842084311015</v>
      </c>
      <c r="T27" s="9">
        <f t="shared" si="16"/>
        <v>245.41017768153424</v>
      </c>
      <c r="U27" s="9" t="s">
        <v>682</v>
      </c>
      <c r="V27" s="9"/>
      <c r="W27" s="9"/>
      <c r="X27" s="9"/>
      <c r="Y27" s="9"/>
      <c r="Z27" s="9"/>
      <c r="AA27" s="9"/>
      <c r="AB27" s="9"/>
      <c r="AC27" s="9"/>
      <c r="AD27" s="9"/>
      <c r="AE27" s="9"/>
      <c r="AF27" s="9"/>
      <c r="AG27" s="9"/>
      <c r="AH27" s="9"/>
      <c r="AI27" s="9"/>
      <c r="AJ27" s="9"/>
      <c r="AK27" s="9"/>
      <c r="AL27" s="9"/>
      <c r="AM27" s="9"/>
      <c r="AN27" s="9"/>
      <c r="AO27" s="9"/>
      <c r="AP27" s="9"/>
      <c r="AQ27" s="9"/>
    </row>
    <row r="28" spans="1:43" ht="15">
      <c r="A28" t="s">
        <v>16</v>
      </c>
      <c r="B28" s="9" t="s">
        <v>587</v>
      </c>
      <c r="C28" s="9" t="s">
        <v>758</v>
      </c>
      <c r="D28" s="24" t="s">
        <v>30</v>
      </c>
      <c r="E28" s="157">
        <f>'BY-DMD'!I85</f>
        <v>20.483000000000001</v>
      </c>
      <c r="F28" s="9"/>
      <c r="J28" s="9">
        <f>E28</f>
        <v>20.483000000000001</v>
      </c>
      <c r="K28" s="9">
        <f>(K22*K15)</f>
        <v>22.109059374539203</v>
      </c>
      <c r="L28" s="232">
        <v>20.465228059152793</v>
      </c>
      <c r="M28" s="9">
        <f t="shared" si="17" ref="M28">(M22*M15)</f>
        <v>23.273737463088121</v>
      </c>
      <c r="N28" s="9">
        <f t="shared" si="18" ref="N28">(N22*N15)</f>
        <v>22.028640397161595</v>
      </c>
      <c r="O28" s="9">
        <f t="shared" si="19" ref="O28">(O22*O15)</f>
        <v>23.134014681408328</v>
      </c>
      <c r="P28" s="9">
        <f t="shared" si="20" ref="P28:R29">(P22*P15)</f>
        <v>32.777806053474997</v>
      </c>
      <c r="Q28" s="9">
        <f t="shared" si="20"/>
        <v>43.398757099948064</v>
      </c>
      <c r="R28" s="9">
        <f t="shared" si="20"/>
        <v>53.519258811309491</v>
      </c>
      <c r="S28" s="9">
        <f t="shared" si="21" ref="S28:T28">(S22*S15)</f>
        <v>66.675723235460708</v>
      </c>
      <c r="T28" s="9">
        <f t="shared" si="21"/>
        <v>72.915717800531866</v>
      </c>
      <c r="U28" t="s">
        <v>681</v>
      </c>
      <c r="AF28" s="116"/>
      <c r="AG28" s="282">
        <v>2017</v>
      </c>
      <c r="AH28" s="282">
        <v>2018</v>
      </c>
      <c r="AI28" s="282">
        <v>2019</v>
      </c>
      <c r="AJ28" s="282">
        <v>2025</v>
      </c>
      <c r="AK28" s="282">
        <v>2030</v>
      </c>
      <c r="AN28" s="9"/>
      <c r="AO28" s="9"/>
      <c r="AP28" s="9"/>
      <c r="AQ28" s="9"/>
    </row>
    <row r="29" spans="1:43" ht="15">
      <c r="A29" t="s">
        <v>16</v>
      </c>
      <c r="B29" s="9" t="s">
        <v>365</v>
      </c>
      <c r="C29" s="9" t="s">
        <v>759</v>
      </c>
      <c r="D29" s="24" t="s">
        <v>30</v>
      </c>
      <c r="E29" s="157">
        <f>'BY-DMD'!I86</f>
        <v>0.82199999999999995</v>
      </c>
      <c r="F29" s="9"/>
      <c r="J29" s="9">
        <f t="shared" si="22" ref="J29">E29</f>
        <v>0.82199999999999995</v>
      </c>
      <c r="K29" s="9">
        <f>(K23*K16)</f>
        <v>0.88725512892990399</v>
      </c>
      <c r="L29" s="233">
        <f>(L23*L16)</f>
        <v>0.90926579192061818</v>
      </c>
      <c r="M29" s="9">
        <f>(M23*M16)</f>
        <v>0.9339946391963303</v>
      </c>
      <c r="N29" s="9">
        <f>(N23*N16)</f>
        <v>0.88402784779899579</v>
      </c>
      <c r="O29" s="9">
        <f>(O23*O16)</f>
        <v>0</v>
      </c>
      <c r="P29" s="9">
        <f t="shared" si="20"/>
        <v>1.3154008971320825</v>
      </c>
      <c r="Q29" s="9">
        <f t="shared" si="20"/>
        <v>1.7416285864452132</v>
      </c>
      <c r="R29" s="9">
        <f>(R23*R16)</f>
        <v>2.1477728234583018</v>
      </c>
      <c r="S29" s="9">
        <f t="shared" si="23" ref="S29:T29">(S23*S16)</f>
        <v>2.675752794978699</v>
      </c>
      <c r="T29" s="9">
        <f t="shared" si="23"/>
        <v>2.9261690197743095</v>
      </c>
      <c r="U29" t="s">
        <v>671</v>
      </c>
      <c r="V29" s="26"/>
      <c r="X29" t="s">
        <v>680</v>
      </c>
      <c r="Y29" s="9"/>
      <c r="Z29" s="9"/>
      <c r="AA29" s="9"/>
      <c r="AB29" s="9"/>
      <c r="AC29" s="9"/>
      <c r="AD29" s="9"/>
      <c r="AE29" s="9"/>
      <c r="AF29" s="283" t="s">
        <v>683</v>
      </c>
      <c r="AG29" s="116">
        <v>13</v>
      </c>
      <c r="AH29" s="116">
        <v>12.60</v>
      </c>
      <c r="AI29" s="116">
        <v>12.30</v>
      </c>
      <c r="AJ29" s="283">
        <v>9.60</v>
      </c>
      <c r="AK29" s="283">
        <v>8.6999999999999993</v>
      </c>
      <c r="AL29" s="9"/>
      <c r="AM29" s="9"/>
      <c r="AN29" s="9"/>
      <c r="AO29" s="9"/>
      <c r="AP29" s="9"/>
      <c r="AQ29" s="9"/>
    </row>
    <row r="30" spans="1:43" ht="15">
      <c r="A30" t="s">
        <v>16</v>
      </c>
      <c r="D30" s="24"/>
      <c r="E30" s="49"/>
      <c r="F30" s="9"/>
      <c r="J30" s="9"/>
      <c r="K30" s="9"/>
      <c r="L30" s="9"/>
      <c r="N30" s="9"/>
      <c r="P30" s="9"/>
      <c r="Q30" s="9"/>
      <c r="R30" s="9"/>
      <c r="S30" s="9"/>
      <c r="T30" s="9"/>
      <c r="U30" t="s">
        <v>672</v>
      </c>
      <c r="V30" s="9"/>
      <c r="W30" s="9"/>
      <c r="X30" t="s">
        <v>677</v>
      </c>
      <c r="Y30" s="9"/>
      <c r="Z30" s="9"/>
      <c r="AA30" s="9"/>
      <c r="AB30" s="9"/>
      <c r="AD30" s="9"/>
      <c r="AE30" s="9"/>
      <c r="AF30" s="283" t="s">
        <v>683</v>
      </c>
      <c r="AG30" s="283">
        <v>11.30</v>
      </c>
      <c r="AH30" s="283">
        <v>11</v>
      </c>
      <c r="AI30" s="283">
        <v>10.90</v>
      </c>
      <c r="AJ30" s="283">
        <v>7.20</v>
      </c>
      <c r="AK30" s="283">
        <v>6.10</v>
      </c>
      <c r="AL30" s="9"/>
      <c r="AM30" s="9"/>
      <c r="AN30" s="9"/>
      <c r="AO30" s="9"/>
      <c r="AP30" s="9"/>
      <c r="AQ30" s="9"/>
    </row>
    <row r="31" spans="1:9" ht="18" thickBot="1">
      <c r="A31" t="s">
        <v>16</v>
      </c>
      <c r="B31" s="54" t="s">
        <v>579</v>
      </c>
      <c r="C31" s="6"/>
      <c r="D31" s="15"/>
      <c r="E31" s="15"/>
      <c r="F31" s="15"/>
      <c r="G31" s="15"/>
      <c r="H31" s="15"/>
      <c r="I31" s="15"/>
    </row>
    <row r="32" spans="1:8" ht="15.75" thickTop="1">
      <c r="A32" t="s">
        <v>16</v>
      </c>
      <c r="E32">
        <v>2017</v>
      </c>
      <c r="F32">
        <v>2020</v>
      </c>
      <c r="G32">
        <v>2030</v>
      </c>
      <c r="H32">
        <v>2050</v>
      </c>
    </row>
    <row r="33" spans="1:43" ht="15">
      <c r="A33" t="s">
        <v>16</v>
      </c>
      <c r="B33" s="9" t="s">
        <v>801</v>
      </c>
      <c r="C33" s="9" t="s">
        <v>579</v>
      </c>
      <c r="D33">
        <f>MATCH(B33,Drivers!$A$7:$A$25,0)</f>
        <v>19</v>
      </c>
      <c r="E33" s="9"/>
      <c r="J33" s="9" cm="1">
        <f t="array" ref="J33">INDEX(Drivers!$C$7:$AG$25,$D33,J$3)</f>
        <v>6.4158612357306808</v>
      </c>
      <c r="K33" s="9" cm="1">
        <f t="array" ref="K33">INDEX(Drivers!$C$7:$AG$25,$D33,K$3)</f>
        <v>6.9251895229982949</v>
      </c>
      <c r="L33" s="9" cm="1">
        <f t="array" ref="L33">INDEX(Drivers!$C$7:$AG$25,$D33,L$3)</f>
        <v>7.0969867972742753</v>
      </c>
      <c r="M33" s="9" cm="1">
        <f t="array" ref="M33">INDEX(Drivers!$C$7:$AG$25,$D33,M$3)</f>
        <v>7.29</v>
      </c>
      <c r="N33" s="9" cm="1">
        <f t="array" ref="N33">INDEX(Drivers!$C$7:$AG$25,$D33,N$3)</f>
        <v>6.9000000000000004</v>
      </c>
      <c r="O33" s="9" cm="1">
        <f t="array" ref="O33">INDEX(Drivers!$C$7:$AG$25,$D33,O$3)</f>
        <v>7.2462348299210166</v>
      </c>
      <c r="P33" s="9" cm="1">
        <f t="array" ref="P33">INDEX(Drivers!$C$7:$AG$25,$D33,P$3)</f>
        <v>10.266946016247068</v>
      </c>
      <c r="Q33" s="9" cm="1">
        <f t="array" ref="Q33">INDEX(Drivers!$C$7:$AG$25,$D33,Q$3)</f>
        <v>13.593731550868938</v>
      </c>
      <c r="R33" s="9" cm="1">
        <f t="array" ref="R33">INDEX(Drivers!$C$7:$AG$25,$D33,R$3)</f>
        <v>16.763762045233523</v>
      </c>
      <c r="S33" s="9" cm="1">
        <f t="array" ref="S33">INDEX(Drivers!$C$7:$AK$25,$D33,S$3)</f>
        <v>20.884742863384261</v>
      </c>
      <c r="T33" s="9" cm="1">
        <f t="array" ref="T33">INDEX(Drivers!$C$7:$AK$25,$D33,T$3)</f>
        <v>22.839287570761606</v>
      </c>
      <c r="U33" s="9"/>
      <c r="V33" s="9"/>
      <c r="W33" s="9"/>
      <c r="X33" s="9"/>
      <c r="Y33" s="9"/>
      <c r="Z33" s="9"/>
      <c r="AA33" s="9"/>
      <c r="AB33" s="9"/>
      <c r="AC33" s="9"/>
      <c r="AD33" s="9"/>
      <c r="AE33" s="9"/>
      <c r="AF33" s="9"/>
      <c r="AG33" s="9"/>
      <c r="AH33" s="9"/>
      <c r="AI33" s="9"/>
      <c r="AJ33" s="9"/>
      <c r="AK33" s="9"/>
      <c r="AL33" s="9"/>
      <c r="AM33" s="9"/>
      <c r="AN33" s="9"/>
      <c r="AO33" s="9"/>
      <c r="AP33" s="9"/>
      <c r="AQ33" s="9"/>
    </row>
    <row r="34" spans="1:1" ht="15">
      <c r="A34" t="s">
        <v>16</v>
      </c>
    </row>
    <row r="35" spans="1:1" ht="15">
      <c r="A35" t="s">
        <v>16</v>
      </c>
    </row>
    <row r="36" spans="1:2" ht="15.75" thickBot="1">
      <c r="A36" t="s">
        <v>16</v>
      </c>
      <c r="B36" s="6" t="s">
        <v>143</v>
      </c>
    </row>
    <row r="37" spans="1:5" ht="15">
      <c r="A37" t="s">
        <v>16</v>
      </c>
      <c r="E37" t="s">
        <v>15</v>
      </c>
    </row>
    <row r="38" spans="1:20" ht="15">
      <c r="A38" t="s">
        <v>16</v>
      </c>
      <c r="B38" t="s">
        <v>122</v>
      </c>
      <c r="C38" t="s">
        <v>92</v>
      </c>
      <c r="D38" t="s">
        <v>30</v>
      </c>
      <c r="E38" s="49">
        <f>'[2]TS BYDem'!$J$33</f>
        <v>0.820564128</v>
      </c>
      <c r="J38" s="9">
        <f>E38</f>
        <v>0.820564128</v>
      </c>
      <c r="K38" s="9">
        <f>J38</f>
        <v>0.820564128</v>
      </c>
      <c r="L38" s="233">
        <f>K38</f>
        <v>0.820564128</v>
      </c>
      <c r="M38" s="9">
        <f>AVERAGE(L38,J38,K38)</f>
        <v>0.820564128</v>
      </c>
      <c r="N38" s="9">
        <f>M38</f>
        <v>0.820564128</v>
      </c>
      <c r="O38" s="9">
        <f t="shared" si="24" ref="O38:T38">N38</f>
        <v>0.820564128</v>
      </c>
      <c r="P38" s="9">
        <f t="shared" si="24"/>
        <v>0.820564128</v>
      </c>
      <c r="Q38" s="9">
        <f t="shared" si="24"/>
        <v>0.820564128</v>
      </c>
      <c r="R38" s="9">
        <f t="shared" si="24"/>
        <v>0.820564128</v>
      </c>
      <c r="S38" s="9">
        <f t="shared" si="24"/>
        <v>0.820564128</v>
      </c>
      <c r="T38" s="9">
        <f t="shared" si="24"/>
        <v>0.820564128</v>
      </c>
    </row>
    <row r="39" spans="1:1" ht="15">
      <c r="A39" t="s">
        <v>16</v>
      </c>
    </row>
    <row r="40" spans="1:3" ht="18" thickBot="1">
      <c r="A40" t="s">
        <v>16</v>
      </c>
      <c r="C40" s="54" t="s">
        <v>145</v>
      </c>
    </row>
    <row r="41" spans="1:43" ht="15.75" thickTop="1">
      <c r="A41" t="s">
        <v>16</v>
      </c>
      <c r="B41" t="s">
        <v>146</v>
      </c>
      <c r="C41" t="s">
        <v>147</v>
      </c>
      <c r="D41" s="24" t="s">
        <v>30</v>
      </c>
      <c r="E41" s="49">
        <f>'[2]TS BYDem'!$J$37</f>
        <v>4.5090000000000003</v>
      </c>
      <c r="J41" s="9">
        <f>E41</f>
        <v>4.5090000000000003</v>
      </c>
      <c r="K41" s="9">
        <f>K$33/J$33*J41</f>
        <v>4.8669505794950583</v>
      </c>
      <c r="L41" s="232">
        <f>0.001*(26455.61401-21947)</f>
        <v>4.5086140100000014</v>
      </c>
      <c r="M41" s="9">
        <f>M$33/J$33*J41</f>
        <v>5.123335557343375</v>
      </c>
      <c r="N41" s="9">
        <f>N$33/K$33*K41</f>
        <v>4.849247646868216</v>
      </c>
      <c r="O41" s="9">
        <f>O$33/L$33*L41</f>
        <v>4.6034291463638564</v>
      </c>
      <c r="P41" s="9">
        <f>P$33/N$33*N41</f>
        <v>7.2155020014216085</v>
      </c>
      <c r="Q41" s="9">
        <f>Q$33/P$33*P41</f>
        <v>9.5535319906100611</v>
      </c>
      <c r="R41" s="9">
        <f>R$33/Q$33*Q41</f>
        <v>11.781396181232953</v>
      </c>
      <c r="S41" s="9">
        <f t="shared" si="25" ref="S41:T41">S$33/R$33*R41</f>
        <v>14.677578287784621</v>
      </c>
      <c r="T41" s="9">
        <f t="shared" si="25"/>
        <v>16.051211812849594</v>
      </c>
      <c r="U41" s="9"/>
      <c r="V41" s="9"/>
      <c r="W41" s="9"/>
      <c r="X41" s="9"/>
      <c r="Y41" s="9"/>
      <c r="Z41" s="9"/>
      <c r="AA41" s="9"/>
      <c r="AB41" s="9"/>
      <c r="AC41" s="9"/>
      <c r="AD41" s="9"/>
      <c r="AE41" s="9"/>
      <c r="AF41" s="9"/>
      <c r="AG41" s="9"/>
      <c r="AH41" s="9"/>
      <c r="AI41" s="9"/>
      <c r="AJ41" s="9"/>
      <c r="AK41" s="9"/>
      <c r="AL41" s="9"/>
      <c r="AM41" s="9"/>
      <c r="AN41" s="9"/>
      <c r="AO41" s="9"/>
      <c r="AP41" s="9"/>
      <c r="AQ41" s="9"/>
    </row>
    <row r="42" spans="1:1" ht="15">
      <c r="A42" s="101" t="s">
        <v>16</v>
      </c>
    </row>
    <row r="43" spans="1:11" ht="15">
      <c r="A43" s="101" t="s">
        <v>16</v>
      </c>
      <c r="B43" s="102">
        <v>1</v>
      </c>
      <c r="C43" s="102">
        <v>2017</v>
      </c>
      <c r="D43">
        <v>2019</v>
      </c>
      <c r="E43" s="102">
        <v>2020</v>
      </c>
      <c r="F43" s="102">
        <v>2021</v>
      </c>
      <c r="G43" s="102">
        <v>2030</v>
      </c>
      <c r="H43" s="102">
        <v>2040</v>
      </c>
      <c r="I43" s="107">
        <v>2050</v>
      </c>
      <c r="J43" s="102">
        <v>2060</v>
      </c>
      <c r="K43" s="107">
        <v>2070</v>
      </c>
    </row>
    <row r="44" spans="1:11" ht="15">
      <c r="A44" s="36"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11" ht="15">
      <c r="A45" s="36" t="s">
        <v>16</v>
      </c>
      <c r="B45">
        <v>-1</v>
      </c>
      <c r="C45">
        <v>0</v>
      </c>
      <c r="D45">
        <v>1</v>
      </c>
      <c r="E45">
        <v>2</v>
      </c>
      <c r="F45">
        <v>3</v>
      </c>
      <c r="G45">
        <v>4</v>
      </c>
      <c r="H45">
        <v>5</v>
      </c>
      <c r="I45">
        <v>6</v>
      </c>
      <c r="J45">
        <v>7</v>
      </c>
      <c r="K45">
        <v>8</v>
      </c>
    </row>
    <row r="46" spans="1:9" ht="15">
      <c r="A46" s="103" t="s">
        <v>16</v>
      </c>
      <c r="B46" s="104"/>
      <c r="C46" s="104"/>
      <c r="D46" s="104"/>
      <c r="E46" s="104"/>
      <c r="F46" s="104"/>
      <c r="G46" s="104"/>
      <c r="H46" s="104"/>
      <c r="I46" s="109"/>
    </row>
    <row r="47" spans="1:41" ht="23.25">
      <c r="A47" s="36" t="s">
        <v>16</v>
      </c>
      <c r="B47" s="105" t="s">
        <v>19</v>
      </c>
      <c r="C47" s="105" t="s">
        <v>20</v>
      </c>
      <c r="D47" s="105" t="s">
        <v>21</v>
      </c>
      <c r="E47" s="105" t="s">
        <v>22</v>
      </c>
      <c r="F47" s="105" t="s">
        <v>23</v>
      </c>
      <c r="G47" s="105" t="s">
        <v>24</v>
      </c>
      <c r="H47" s="105" t="s">
        <v>594</v>
      </c>
      <c r="I47" s="106"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102" customFormat="1" ht="15">
      <c r="A48" s="102" t="s">
        <v>16</v>
      </c>
      <c r="J48" s="102">
        <f t="shared" si="26" ref="J48:AO48">MATCH(J$47,$C$43:$K$43,$B43)</f>
        <v>1</v>
      </c>
      <c r="K48" s="102">
        <f>MATCH(K$47,$C$43:$K$43,$B43)</f>
        <v>1</v>
      </c>
      <c r="L48" s="102">
        <f t="shared" si="26"/>
        <v>2</v>
      </c>
      <c r="M48" s="102">
        <f t="shared" si="26"/>
        <v>3</v>
      </c>
      <c r="N48" s="102">
        <f t="shared" si="26"/>
        <v>4</v>
      </c>
      <c r="O48" s="102">
        <f t="shared" si="26"/>
        <v>4</v>
      </c>
      <c r="P48" s="102">
        <f t="shared" si="26"/>
        <v>4</v>
      </c>
      <c r="Q48" s="102">
        <f t="shared" si="26"/>
        <v>4</v>
      </c>
      <c r="R48" s="102">
        <f t="shared" si="26"/>
        <v>4</v>
      </c>
      <c r="S48" s="102">
        <f t="shared" si="26"/>
        <v>4</v>
      </c>
      <c r="T48" s="102">
        <f t="shared" si="26"/>
        <v>4</v>
      </c>
      <c r="U48" s="102">
        <f t="shared" si="26"/>
        <v>4</v>
      </c>
      <c r="V48" s="102">
        <f t="shared" si="26"/>
        <v>4</v>
      </c>
      <c r="W48" s="102">
        <f t="shared" si="26"/>
        <v>5</v>
      </c>
      <c r="X48" s="102">
        <f t="shared" si="26"/>
        <v>5</v>
      </c>
      <c r="Y48" s="102">
        <f t="shared" si="26"/>
        <v>5</v>
      </c>
      <c r="Z48" s="102">
        <f t="shared" si="26"/>
        <v>5</v>
      </c>
      <c r="AA48" s="102">
        <f t="shared" si="26"/>
        <v>5</v>
      </c>
      <c r="AB48" s="102">
        <f t="shared" si="26"/>
        <v>5</v>
      </c>
      <c r="AC48" s="102">
        <f t="shared" si="26"/>
        <v>5</v>
      </c>
      <c r="AD48" s="102">
        <f t="shared" si="26"/>
        <v>5</v>
      </c>
      <c r="AE48" s="102">
        <f t="shared" si="26"/>
        <v>5</v>
      </c>
      <c r="AF48" s="102">
        <f t="shared" si="26"/>
        <v>5</v>
      </c>
      <c r="AG48" s="102">
        <f t="shared" si="26"/>
        <v>6</v>
      </c>
      <c r="AH48" s="102">
        <f t="shared" si="26"/>
        <v>6</v>
      </c>
      <c r="AI48" s="102">
        <f t="shared" si="26"/>
        <v>6</v>
      </c>
      <c r="AJ48" s="102">
        <f t="shared" si="26"/>
        <v>6</v>
      </c>
      <c r="AK48" s="102">
        <f t="shared" si="26"/>
        <v>6</v>
      </c>
      <c r="AL48" s="102">
        <f t="shared" si="26"/>
        <v>6</v>
      </c>
      <c r="AM48" s="102">
        <f t="shared" si="26"/>
        <v>7</v>
      </c>
      <c r="AN48" s="102">
        <f t="shared" si="26"/>
        <v>8</v>
      </c>
      <c r="AO48" s="102">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41" ht="15">
      <c r="A49" t="s">
        <v>16</v>
      </c>
      <c r="J49" s="36">
        <f t="shared" si="27" ref="J49:AO49">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41" ht="15">
      <c r="A50" t="s">
        <v>16</v>
      </c>
      <c r="J50" s="36">
        <f t="shared" si="28" ref="J50:AO50">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4" customFormat="1" ht="15">
      <c r="A51" s="104" t="s">
        <v>16</v>
      </c>
      <c r="J51" s="71">
        <f t="shared" si="29" ref="J51">IF(ISNA(J48),-1,IF(ISNA(J50),99,IF(ISNA(J49),J48,0)))</f>
        <v>0</v>
      </c>
      <c r="K51" s="71">
        <f>IF(ISNA(K48),-1,IF(ISNA(K50),99,IF(ISNA(K49),K48,0)))</f>
        <v>1</v>
      </c>
      <c r="L51" s="71">
        <f t="shared" si="30" ref="L51:AO51">IF(ISNA(L48),-1,IF(ISNA(L50),99,IF(ISNA(L49),L48,0)))</f>
        <v>0</v>
      </c>
      <c r="M51" s="71">
        <f t="shared" si="30"/>
        <v>0</v>
      </c>
      <c r="N51" s="71">
        <f t="shared" si="30"/>
        <v>0</v>
      </c>
      <c r="O51" s="71">
        <f t="shared" si="30"/>
        <v>4</v>
      </c>
      <c r="P51" s="71">
        <f t="shared" si="30"/>
        <v>4</v>
      </c>
      <c r="Q51" s="71">
        <f t="shared" si="30"/>
        <v>4</v>
      </c>
      <c r="R51" s="71">
        <f t="shared" si="30"/>
        <v>4</v>
      </c>
      <c r="S51" s="71">
        <f t="shared" si="30"/>
        <v>4</v>
      </c>
      <c r="T51" s="71">
        <f t="shared" si="30"/>
        <v>4</v>
      </c>
      <c r="U51" s="71">
        <f t="shared" si="30"/>
        <v>4</v>
      </c>
      <c r="V51" s="71">
        <f t="shared" si="30"/>
        <v>4</v>
      </c>
      <c r="W51" s="71">
        <f t="shared" si="30"/>
        <v>0</v>
      </c>
      <c r="X51" s="71">
        <f t="shared" si="30"/>
        <v>5</v>
      </c>
      <c r="Y51" s="71">
        <f t="shared" si="30"/>
        <v>5</v>
      </c>
      <c r="Z51" s="71">
        <f t="shared" si="30"/>
        <v>5</v>
      </c>
      <c r="AA51" s="71">
        <f t="shared" si="30"/>
        <v>5</v>
      </c>
      <c r="AB51" s="71">
        <f t="shared" si="30"/>
        <v>5</v>
      </c>
      <c r="AC51" s="71">
        <f t="shared" si="30"/>
        <v>5</v>
      </c>
      <c r="AD51" s="71">
        <f t="shared" si="30"/>
        <v>5</v>
      </c>
      <c r="AE51" s="71">
        <f t="shared" si="30"/>
        <v>5</v>
      </c>
      <c r="AF51" s="71">
        <f t="shared" si="30"/>
        <v>5</v>
      </c>
      <c r="AG51" s="71">
        <f t="shared" si="30"/>
        <v>0</v>
      </c>
      <c r="AH51" s="71">
        <f t="shared" si="30"/>
        <v>6</v>
      </c>
      <c r="AI51" s="71">
        <f t="shared" si="30"/>
        <v>6</v>
      </c>
      <c r="AJ51" s="71">
        <f t="shared" si="30"/>
        <v>6</v>
      </c>
      <c r="AK51" s="71">
        <f t="shared" si="30"/>
        <v>6</v>
      </c>
      <c r="AL51" s="71">
        <f t="shared" si="30"/>
        <v>6</v>
      </c>
      <c r="AM51" s="71">
        <f t="shared" si="30"/>
        <v>0</v>
      </c>
      <c r="AN51" s="71">
        <f t="shared" si="30"/>
        <v>0</v>
      </c>
      <c r="AO51" s="71">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41" ht="15">
      <c r="A52" s="36" t="s">
        <v>113</v>
      </c>
      <c r="B52" s="20" t="str">
        <f t="shared" si="31" ref="B52:B56">IF(A52="*","","COM_PROJ")</f>
        <v>COM_PROJ</v>
      </c>
      <c r="C52" s="21" t="str">
        <f t="shared" si="32" ref="C52:C56">IF($A52="*","","-")</f>
        <v>-</v>
      </c>
      <c r="D52" s="48" t="s">
        <v>122</v>
      </c>
      <c r="E52" s="21" t="str">
        <f t="shared" si="33" ref="E52:H56">IF($A52="*","","-")</f>
        <v>-</v>
      </c>
      <c r="F52" s="21" t="str">
        <f t="shared" si="33"/>
        <v>-</v>
      </c>
      <c r="G52" s="21" t="str">
        <f t="shared" si="33"/>
        <v>-</v>
      </c>
      <c r="H52" s="21" t="str">
        <f t="shared" si="33"/>
        <v>-</v>
      </c>
      <c r="I52" s="110">
        <f t="shared" si="34" ref="I52:I56">IF(A52="*","",0)</f>
        <v>0</v>
      </c>
      <c r="J52" s="9">
        <f>L38</f>
        <v>0.820564128</v>
      </c>
      <c r="K52" s="9" cm="1">
        <f t="array" ref="K52">IF(K$51=-1,L52,IF(K$51=99,J52,IF(K$51=0,INDEX($L38:$T38,0,K$49),(INDEX($L38:$T38,0,K$51+1)-INDEX($J38:$R38,0,K$51))/(INDEX($J$4:$R$4,0,K$51+1)-INDEX($J$4:$R$4,0,K$51))+J52)))</f>
        <v>0.820564128</v>
      </c>
      <c r="L52" s="9" cm="1">
        <f t="array" ref="L52">IF(L$51=-1,M52,IF(L$51=99,K52,IF(L$51=0,INDEX($L38:$T38,0,L$49),(INDEX($L38:$T38,0,L$51+1)-INDEX($J38:$R38,0,L$51))/(INDEX($J$4:$R$4,0,L$51+1)-INDEX($J$4:$R$4,0,L$51))+K52)))</f>
        <v>0.820564128</v>
      </c>
      <c r="M52" s="9" cm="1">
        <f t="array" ref="M52">IF(M$51=-1,N52,IF(M$51=99,L52,IF(M$51=0,INDEX($L38:$T38,0,M$49),(INDEX($L38:$T38,0,M$51+1)-INDEX($J38:$R38,0,M$51))/(INDEX($J$4:$R$4,0,M$51+1)-INDEX($J$4:$R$4,0,M$51))+L52)))</f>
        <v>0.820564128</v>
      </c>
      <c r="N52" s="9" cm="1">
        <f t="array" ref="N52">IF(N$51=-1,O52,IF(N$51=99,M52,IF(N$51=0,INDEX($L38:$T38,0,N$49),(INDEX($L38:$T38,0,N$51+1)-INDEX($J38:$R38,0,N$51))/(INDEX($J$4:$R$4,0,N$51+1)-INDEX($J$4:$R$4,0,N$51))+M52)))</f>
        <v>0.820564128</v>
      </c>
      <c r="O52" s="9" cm="1">
        <f t="array" ref="O52">IF(O$51=-1,P52,IF(O$51=99,N52,IF(O$51=0,INDEX($L38:$T38,0,O$49),(INDEX($L38:$T38,0,O$51+1)-INDEX($J38:$R38,0,O$51))/(INDEX($J$4:$R$4,0,O$51+1)-INDEX($J$4:$R$4,0,O$51))+N52)))</f>
        <v>0.820564128</v>
      </c>
      <c r="P52" s="9" cm="1">
        <f t="array" ref="P52">IF(P$51=-1,Q52,IF(P$51=99,O52,IF(P$51=0,INDEX($L38:$T38,0,P$49),(INDEX($L38:$T38,0,P$51+1)-INDEX($J38:$R38,0,P$51))/(INDEX($J$4:$R$4,0,P$51+1)-INDEX($J$4:$R$4,0,P$51))+O52)))</f>
        <v>0.820564128</v>
      </c>
      <c r="Q52" s="9" cm="1">
        <f t="array" ref="Q52">IF(Q$51=-1,R52,IF(Q$51=99,P52,IF(Q$51=0,INDEX($L38:$T38,0,Q$49),(INDEX($L38:$T38,0,Q$51+1)-INDEX($J38:$R38,0,Q$51))/(INDEX($J$4:$R$4,0,Q$51+1)-INDEX($J$4:$R$4,0,Q$51))+P52)))</f>
        <v>0.820564128</v>
      </c>
      <c r="R52" s="9" cm="1">
        <f t="array" ref="R52">IF(R$51=-1,S52,IF(R$51=99,Q52,IF(R$51=0,INDEX($L38:$T38,0,R$49),(INDEX($L38:$T38,0,R$51+1)-INDEX($J38:$R38,0,R$51))/(INDEX($J$4:$R$4,0,R$51+1)-INDEX($J$4:$R$4,0,R$51))+Q52)))</f>
        <v>0.820564128</v>
      </c>
      <c r="S52" s="9" cm="1">
        <f t="array" ref="S52">IF(S$51=-1,T52,IF(S$51=99,R52,IF(S$51=0,INDEX($L38:$T38,0,S$49),(INDEX($L38:$T38,0,S$51+1)-INDEX($J38:$R38,0,S$51))/(INDEX($J$4:$R$4,0,S$51+1)-INDEX($J$4:$R$4,0,S$51))+R52)))</f>
        <v>0.820564128</v>
      </c>
      <c r="T52" s="9" cm="1">
        <f t="array" ref="T52">IF(T$51=-1,U52,IF(T$51=99,S52,IF(T$51=0,INDEX($L38:$T38,0,T$49),(INDEX($L38:$T38,0,T$51+1)-INDEX($J38:$R38,0,T$51))/(INDEX($J$4:$R$4,0,T$51+1)-INDEX($J$4:$R$4,0,T$51))+S52)))</f>
        <v>0.820564128</v>
      </c>
      <c r="U52" s="9" cm="1">
        <f t="array" ref="U52">IF(U$51=-1,V52,IF(U$51=99,T52,IF(U$51=0,INDEX($L38:$T38,0,U$49),(INDEX($L38:$T38,0,U$51+1)-INDEX($J38:$R38,0,U$51))/(INDEX($J$4:$R$4,0,U$51+1)-INDEX($J$4:$R$4,0,U$51))+T52)))</f>
        <v>0.820564128</v>
      </c>
      <c r="V52" s="9" cm="1">
        <f t="array" ref="V52">IF(V$51=-1,W52,IF(V$51=99,U52,IF(V$51=0,INDEX($L38:$T38,0,V$49),(INDEX($L38:$T38,0,V$51+1)-INDEX($J38:$R38,0,V$51))/(INDEX($J$4:$R$4,0,V$51+1)-INDEX($J$4:$R$4,0,V$51))+U52)))</f>
        <v>0.820564128</v>
      </c>
      <c r="W52" s="9" cm="1">
        <f t="array" ref="W52">IF(W$51=-1,X52,IF(W$51=99,V52,IF(W$51=0,INDEX($L38:$T38,0,W$49),(INDEX($L38:$T38,0,W$51+1)-INDEX($J38:$R38,0,W$51))/(INDEX($J$4:$R$4,0,W$51+1)-INDEX($J$4:$R$4,0,W$51))+V52)))</f>
        <v>0.820564128</v>
      </c>
      <c r="X52" s="9" cm="1">
        <f t="array" ref="X52">IF(X$51=-1,Y52,IF(X$51=99,W52,IF(X$51=0,INDEX($L38:$T38,0,X$49),(INDEX($L38:$T38,0,X$51+1)-INDEX($J38:$R38,0,X$51))/(INDEX($J$4:$R$4,0,X$51+1)-INDEX($J$4:$R$4,0,X$51))+W52)))</f>
        <v>0.820564128</v>
      </c>
      <c r="Y52" s="9" cm="1">
        <f t="array" ref="Y52">IF(Y$51=-1,Z52,IF(Y$51=99,X52,IF(Y$51=0,INDEX($L38:$T38,0,Y$49),(INDEX($L38:$T38,0,Y$51+1)-INDEX($J38:$R38,0,Y$51))/(INDEX($J$4:$R$4,0,Y$51+1)-INDEX($J$4:$R$4,0,Y$51))+X52)))</f>
        <v>0.820564128</v>
      </c>
      <c r="Z52" s="9" cm="1">
        <f t="array" ref="Z52">IF(Z$51=-1,AA52,IF(Z$51=99,Y52,IF(Z$51=0,INDEX($L38:$T38,0,Z$49),(INDEX($L38:$T38,0,Z$51+1)-INDEX($J38:$R38,0,Z$51))/(INDEX($J$4:$R$4,0,Z$51+1)-INDEX($J$4:$R$4,0,Z$51))+Y52)))</f>
        <v>0.820564128</v>
      </c>
      <c r="AA52" s="9" cm="1">
        <f t="array" ref="AA52">IF(AA$51=-1,AB52,IF(AA$51=99,Z52,IF(AA$51=0,INDEX($L38:$T38,0,AA$49),(INDEX($L38:$T38,0,AA$51+1)-INDEX($J38:$R38,0,AA$51))/(INDEX($J$4:$R$4,0,AA$51+1)-INDEX($J$4:$R$4,0,AA$51))+Z52)))</f>
        <v>0.820564128</v>
      </c>
      <c r="AB52" s="9" cm="1">
        <f t="array" ref="AB52">IF(AB$51=-1,AC52,IF(AB$51=99,AA52,IF(AB$51=0,INDEX($L38:$T38,0,AB$49),(INDEX($L38:$T38,0,AB$51+1)-INDEX($J38:$R38,0,AB$51))/(INDEX($J$4:$R$4,0,AB$51+1)-INDEX($J$4:$R$4,0,AB$51))+AA52)))</f>
        <v>0.820564128</v>
      </c>
      <c r="AC52" s="9" cm="1">
        <f t="array" ref="AC52">IF(AC$51=-1,AD52,IF(AC$51=99,AB52,IF(AC$51=0,INDEX($L38:$T38,0,AC$49),(INDEX($L38:$T38,0,AC$51+1)-INDEX($J38:$R38,0,AC$51))/(INDEX($J$4:$R$4,0,AC$51+1)-INDEX($J$4:$R$4,0,AC$51))+AB52)))</f>
        <v>0.820564128</v>
      </c>
      <c r="AD52" s="9" cm="1">
        <f t="array" ref="AD52">IF(AD$51=-1,AE52,IF(AD$51=99,AC52,IF(AD$51=0,INDEX($L38:$T38,0,AD$49),(INDEX($L38:$T38,0,AD$51+1)-INDEX($J38:$R38,0,AD$51))/(INDEX($J$4:$R$4,0,AD$51+1)-INDEX($J$4:$R$4,0,AD$51))+AC52)))</f>
        <v>0.820564128</v>
      </c>
      <c r="AE52" s="9" cm="1">
        <f t="array" ref="AE52">IF(AE$51=-1,AF52,IF(AE$51=99,AD52,IF(AE$51=0,INDEX($L38:$T38,0,AE$49),(INDEX($L38:$T38,0,AE$51+1)-INDEX($J38:$R38,0,AE$51))/(INDEX($J$4:$R$4,0,AE$51+1)-INDEX($J$4:$R$4,0,AE$51))+AD52)))</f>
        <v>0.820564128</v>
      </c>
      <c r="AF52" s="9" cm="1">
        <f t="array" ref="AF52">IF(AF$51=-1,AG52,IF(AF$51=99,AE52,IF(AF$51=0,INDEX($L38:$T38,0,AF$49),(INDEX($L38:$T38,0,AF$51+1)-INDEX($J38:$R38,0,AF$51))/(INDEX($J$4:$R$4,0,AF$51+1)-INDEX($J$4:$R$4,0,AF$51))+AE52)))</f>
        <v>0.820564128</v>
      </c>
      <c r="AG52" s="9" cm="1">
        <f t="array" ref="AG52">IF(AG$51=-1,AH52,IF(AG$51=99,AF52,IF(AG$51=0,INDEX($L38:$T38,0,AG$49),(INDEX($L38:$T38,0,AG$51+1)-INDEX($J38:$R38,0,AG$51))/(INDEX($J$4:$R$4,0,AG$51+1)-INDEX($J$4:$R$4,0,AG$51))+AF52)))</f>
        <v>0.820564128</v>
      </c>
      <c r="AH52" s="9" cm="1">
        <f t="array" ref="AH52">IF(AH$51=-1,AI52,IF(AH$51=99,AG52,IF(AH$51=0,INDEX($L38:$T38,0,AH$49),(INDEX($L38:$T38,0,AH$51+1)-INDEX($J38:$R38,0,AH$51))/(INDEX($J$4:$R$4,0,AH$51+1)-INDEX($J$4:$R$4,0,AH$51))+AG52)))</f>
        <v>0.820564128</v>
      </c>
      <c r="AI52" s="9" cm="1">
        <f t="array" ref="AI52">IF(AI$51=-1,AJ52,IF(AI$51=99,AH52,IF(AI$51=0,INDEX($L38:$T38,0,AI$49),(INDEX($L38:$T38,0,AI$51+1)-INDEX($J38:$R38,0,AI$51))/(INDEX($J$4:$R$4,0,AI$51+1)-INDEX($J$4:$R$4,0,AI$51))+AH52)))</f>
        <v>0.820564128</v>
      </c>
      <c r="AJ52" s="9" cm="1">
        <f t="array" ref="AJ52">IF(AJ$51=-1,AK52,IF(AJ$51=99,AI52,IF(AJ$51=0,INDEX($L38:$T38,0,AJ$49),(INDEX($L38:$T38,0,AJ$51+1)-INDEX($J38:$R38,0,AJ$51))/(INDEX($J$4:$R$4,0,AJ$51+1)-INDEX($J$4:$R$4,0,AJ$51))+AI52)))</f>
        <v>0.820564128</v>
      </c>
      <c r="AK52" s="9" cm="1">
        <f t="array" ref="AK52">IF(AK$51=-1,AL52,IF(AK$51=99,AJ52,IF(AK$51=0,INDEX($L38:$T38,0,AK$49),(INDEX($L38:$T38,0,AK$51+1)-INDEX($J38:$R38,0,AK$51))/(INDEX($J$4:$R$4,0,AK$51+1)-INDEX($J$4:$R$4,0,AK$51))+AJ52)))</f>
        <v>0.820564128</v>
      </c>
      <c r="AL52" s="9" cm="1">
        <f t="array" ref="AL52">IF(AL$51=-1,AM52,IF(AL$51=99,AK52,IF(AL$51=0,INDEX($L38:$T38,0,AL$49),(INDEX($L38:$T38,0,AL$51+1)-INDEX($J38:$R38,0,AL$51))/(INDEX($J$4:$R$4,0,AL$51+1)-INDEX($J$4:$R$4,0,AL$51))+AK52)))</f>
        <v>0.820564128</v>
      </c>
      <c r="AM52" s="9" cm="1">
        <f t="array" ref="AM52">IF(AM$51=-1,AN52,IF(AM$51=99,AL52,IF(AM$51=0,INDEX($L38:$T38,0,AM$49),(INDEX($L38:$T38,0,AM$51+1)-INDEX($J38:$R38,0,AM$51))/(INDEX($J$4:$R$4,0,AM$51+1)-INDEX($J$4:$R$4,0,AM$51))+AL52)))</f>
        <v>0.820564128</v>
      </c>
      <c r="AN52" s="9" cm="1">
        <f t="array" ref="AN52">IF(AN$51=-1,AO52,IF(AN$51=99,AM52,IF(AN$51=0,INDEX($L38:$T38,0,AN$49),(INDEX($L38:$T38,0,AN$51+1)-INDEX($J38:$R38,0,AN$51))/(INDEX($J$4:$R$4,0,AN$51+1)-INDEX($J$4:$R$4,0,AN$51))+AM52)))</f>
        <v>0.820564128</v>
      </c>
      <c r="AO52" s="9" cm="1">
        <f t="array" ref="AO52">IF(AO$51=-1,AP52,IF(AO$51=99,AN52,IF(AO$51=0,INDEX($L38:$T38,0,AO$49),(INDEX($L38:$T38,0,AO$51+1)-INDEX($J38:$R38,0,AO$51))/(INDEX($J$4:$R$4,0,AO$51+1)-INDEX($J$4:$R$4,0,AO$51))+AN52)))</f>
        <v>0.820564128</v>
      </c>
    </row>
    <row r="53" spans="1:41" ht="15">
      <c r="A53" s="36"/>
      <c r="B53" s="20" t="str">
        <f t="shared" si="31"/>
        <v>COM_PROJ</v>
      </c>
      <c r="C53" s="21" t="str">
        <f t="shared" si="32"/>
        <v>-</v>
      </c>
      <c r="D53" s="48" t="str">
        <f>B27</f>
        <v>TAIJET</v>
      </c>
      <c r="E53" s="21" t="str">
        <f t="shared" si="33"/>
        <v>-</v>
      </c>
      <c r="F53" s="21" t="str">
        <f t="shared" si="33"/>
        <v>-</v>
      </c>
      <c r="G53" s="21" t="str">
        <f t="shared" si="33"/>
        <v>-</v>
      </c>
      <c r="H53" s="21" t="str">
        <f t="shared" si="33"/>
        <v>-</v>
      </c>
      <c r="I53" s="110">
        <f t="shared" si="34"/>
        <v>0</v>
      </c>
      <c r="J53" s="9">
        <f>L27</f>
        <v>68.939278175231294</v>
      </c>
      <c r="K53" s="9" cm="1">
        <f t="array" ref="K53">IF(K$51=-1,L53,IF(K$51=99,J53,IF(K$51=0,INDEX($L27:$T27,0,K$49),(INDEX($L27:$T27,0,K$51+1)-INDEX($L27:$T27,0,K$51))/(INDEX($L$4:$T$4,0,K$51+1)-INDEX($L$4:$T$4,0,K$51))+J53)))</f>
        <v>73.635488498537683</v>
      </c>
      <c r="L53" s="9" cm="1">
        <f t="array" ref="L53">IF(L$51=-1,M53,IF(L$51=99,K53,IF(L$51=0,INDEX($L27:$T27,0,L$49),(INDEX($L27:$T27,0,L$51+1)-INDEX($L27:$T27,0,L$51))/(INDEX($L$4:$T$4,0,L$51+1)-INDEX($L$4:$T$4,0,L$51))+K53)))</f>
        <v>78.331698821844057</v>
      </c>
      <c r="M53" s="9" cm="1">
        <f t="array" ref="M53">IF(M$51=-1,N53,IF(M$51=99,L53,IF(M$51=0,INDEX($L27:$T27,0,M$49),(INDEX($L27:$T27,0,M$51+1)-INDEX($L27:$T27,0,M$51))/(INDEX($L$4:$T$4,0,M$51+1)-INDEX($L$4:$T$4,0,M$51))+L53)))</f>
        <v>74.141114111210427</v>
      </c>
      <c r="N53" s="9" cm="1">
        <f t="array" ref="N53">IF(N$51=-1,O53,IF(N$51=99,M53,IF(N$51=0,INDEX($L27:$T27,0,N$49),(INDEX($L27:$T27,0,N$51+1)-INDEX($L27:$T27,0,N$51))/(INDEX($L$4:$T$4,0,N$51+1)-INDEX($L$4:$T$4,0,N$51))+M53)))</f>
        <v>77.86143817417414</v>
      </c>
      <c r="O53" s="9" cm="1">
        <f t="array" ref="O53">IF(O$51=-1,P53,IF(O$51=99,N53,IF(O$51=0,INDEX($L27:$T27,0,O$49),(INDEX($L27:$T27,0,O$51+1)-INDEX($L27:$T27,0,O$51))/(INDEX($L$4:$T$4,0,O$51+1)-INDEX($L$4:$T$4,0,O$51))+N53)))</f>
        <v>81.467861568093781</v>
      </c>
      <c r="P53" s="9" cm="1">
        <f t="array" ref="P53">IF(P$51=-1,Q53,IF(P$51=99,O53,IF(P$51=0,INDEX($L27:$T27,0,P$49),(INDEX($L27:$T27,0,P$51+1)-INDEX($L27:$T27,0,P$51))/(INDEX($L$4:$T$4,0,P$51+1)-INDEX($L$4:$T$4,0,P$51))+O53)))</f>
        <v>85.074284962013422</v>
      </c>
      <c r="Q53" s="9" cm="1">
        <f t="array" ref="Q53">IF(Q$51=-1,R53,IF(Q$51=99,P53,IF(Q$51=0,INDEX($L27:$T27,0,Q$49),(INDEX($L27:$T27,0,Q$51+1)-INDEX($L27:$T27,0,Q$51))/(INDEX($L$4:$T$4,0,Q$51+1)-INDEX($L$4:$T$4,0,Q$51))+P53)))</f>
        <v>88.680708355933064</v>
      </c>
      <c r="R53" s="9" cm="1">
        <f t="array" ref="R53">IF(R$51=-1,S53,IF(R$51=99,Q53,IF(R$51=0,INDEX($L27:$T27,0,R$49),(INDEX($L27:$T27,0,R$51+1)-INDEX($L27:$T27,0,R$51))/(INDEX($L$4:$T$4,0,R$51+1)-INDEX($L$4:$T$4,0,R$51))+Q53)))</f>
        <v>92.287131749852705</v>
      </c>
      <c r="S53" s="9" cm="1">
        <f t="array" ref="S53">IF(S$51=-1,T53,IF(S$51=99,R53,IF(S$51=0,INDEX($L27:$T27,0,S$49),(INDEX($L27:$T27,0,S$51+1)-INDEX($L27:$T27,0,S$51))/(INDEX($L$4:$T$4,0,S$51+1)-INDEX($L$4:$T$4,0,S$51))+R53)))</f>
        <v>95.893555143772346</v>
      </c>
      <c r="T53" s="9" cm="1">
        <f t="array" ref="T53">IF(T$51=-1,U53,IF(T$51=99,S53,IF(T$51=0,INDEX($L27:$T27,0,T$49),(INDEX($L27:$T27,0,T$51+1)-INDEX($L27:$T27,0,T$51))/(INDEX($L$4:$T$4,0,T$51+1)-INDEX($L$4:$T$4,0,T$51))+S53)))</f>
        <v>99.499978537691987</v>
      </c>
      <c r="U53" s="9" cm="1">
        <f t="array" ref="U53">IF(U$51=-1,V53,IF(U$51=99,T53,IF(U$51=0,INDEX($L27:$T27,0,U$49),(INDEX($L27:$T27,0,U$51+1)-INDEX($L27:$T27,0,U$51))/(INDEX($L$4:$T$4,0,U$51+1)-INDEX($L$4:$T$4,0,U$51))+T53)))</f>
        <v>103.10640193161163</v>
      </c>
      <c r="V53" s="9" cm="1">
        <f t="array" ref="V53">IF(V$51=-1,W53,IF(V$51=99,U53,IF(V$51=0,INDEX($L27:$T27,0,V$49),(INDEX($L27:$T27,0,V$51+1)-INDEX($L27:$T27,0,V$51))/(INDEX($L$4:$T$4,0,V$51+1)-INDEX($L$4:$T$4,0,V$51))+U53)))</f>
        <v>106.71282532553127</v>
      </c>
      <c r="W53" s="9" cm="1">
        <f t="array" ref="W53">IF(W$51=-1,X53,IF(W$51=99,V53,IF(W$51=0,INDEX($L27:$T27,0,W$49),(INDEX($L27:$T27,0,W$51+1)-INDEX($L27:$T27,0,W$51))/(INDEX($L$4:$T$4,0,W$51+1)-INDEX($L$4:$T$4,0,W$51))+V53)))</f>
        <v>110.3192487194509</v>
      </c>
      <c r="X53" s="9" cm="1">
        <f t="array" ref="X53">IF(X$51=-1,Y53,IF(X$51=99,W53,IF(X$51=0,INDEX($L27:$T27,0,X$49),(INDEX($L27:$T27,0,X$51+1)-INDEX($L27:$T27,0,X$51))/(INDEX($L$4:$T$4,0,X$51+1)-INDEX($L$4:$T$4,0,X$51))+W53)))</f>
        <v>113.89390938533386</v>
      </c>
      <c r="Y53" s="9" cm="1">
        <f t="array" ref="Y53">IF(Y$51=-1,Z53,IF(Y$51=99,X53,IF(Y$51=0,INDEX($L27:$T27,0,Y$49),(INDEX($L27:$T27,0,Y$51+1)-INDEX($L27:$T27,0,Y$51))/(INDEX($L$4:$T$4,0,Y$51+1)-INDEX($L$4:$T$4,0,Y$51))+X53)))</f>
        <v>117.46857005121682</v>
      </c>
      <c r="Z53" s="9" cm="1">
        <f t="array" ref="Z53">IF(Z$51=-1,AA53,IF(Z$51=99,Y53,IF(Z$51=0,INDEX($L27:$T27,0,Z$49),(INDEX($L27:$T27,0,Z$51+1)-INDEX($L27:$T27,0,Z$51))/(INDEX($L$4:$T$4,0,Z$51+1)-INDEX($L$4:$T$4,0,Z$51))+Y53)))</f>
        <v>121.04323071709977</v>
      </c>
      <c r="AA53" s="9" cm="1">
        <f t="array" ref="AA53">IF(AA$51=-1,AB53,IF(AA$51=99,Z53,IF(AA$51=0,INDEX($L27:$T27,0,AA$49),(INDEX($L27:$T27,0,AA$51+1)-INDEX($L27:$T27,0,AA$51))/(INDEX($L$4:$T$4,0,AA$51+1)-INDEX($L$4:$T$4,0,AA$51))+Z53)))</f>
        <v>124.61789138298273</v>
      </c>
      <c r="AB53" s="9" cm="1">
        <f t="array" ref="AB53">IF(AB$51=-1,AC53,IF(AB$51=99,AA53,IF(AB$51=0,INDEX($L27:$T27,0,AB$49),(INDEX($L27:$T27,0,AB$51+1)-INDEX($L27:$T27,0,AB$51))/(INDEX($L$4:$T$4,0,AB$51+1)-INDEX($L$4:$T$4,0,AB$51))+AA53)))</f>
        <v>128.19255204886571</v>
      </c>
      <c r="AC53" s="9" cm="1">
        <f t="array" ref="AC53">IF(AC$51=-1,AD53,IF(AC$51=99,AB53,IF(AC$51=0,INDEX($L27:$T27,0,AC$49),(INDEX($L27:$T27,0,AC$51+1)-INDEX($L27:$T27,0,AC$51))/(INDEX($L$4:$T$4,0,AC$51+1)-INDEX($L$4:$T$4,0,AC$51))+AB53)))</f>
        <v>131.76721271474867</v>
      </c>
      <c r="AD53" s="9" cm="1">
        <f t="array" ref="AD53">IF(AD$51=-1,AE53,IF(AD$51=99,AC53,IF(AD$51=0,INDEX($L27:$T27,0,AD$49),(INDEX($L27:$T27,0,AD$51+1)-INDEX($L27:$T27,0,AD$51))/(INDEX($L$4:$T$4,0,AD$51+1)-INDEX($L$4:$T$4,0,AD$51))+AC53)))</f>
        <v>135.34187338063163</v>
      </c>
      <c r="AE53" s="9" cm="1">
        <f t="array" ref="AE53">IF(AE$51=-1,AF53,IF(AE$51=99,AD53,IF(AE$51=0,INDEX($L27:$T27,0,AE$49),(INDEX($L27:$T27,0,AE$51+1)-INDEX($L27:$T27,0,AE$51))/(INDEX($L$4:$T$4,0,AE$51+1)-INDEX($L$4:$T$4,0,AE$51))+AD53)))</f>
        <v>138.91653404651458</v>
      </c>
      <c r="AF53" s="9" cm="1">
        <f t="array" ref="AF53">IF(AF$51=-1,AG53,IF(AF$51=99,AE53,IF(AF$51=0,INDEX($L27:$T27,0,AF$49),(INDEX($L27:$T27,0,AF$51+1)-INDEX($L27:$T27,0,AF$51))/(INDEX($L$4:$T$4,0,AF$51+1)-INDEX($L$4:$T$4,0,AF$51))+AE53)))</f>
        <v>142.49119471239754</v>
      </c>
      <c r="AG53" s="9" cm="1">
        <f t="array" ref="AG53">IF(AG$51=-1,AH53,IF(AG$51=99,AF53,IF(AG$51=0,INDEX($L27:$T27,0,AG$49),(INDEX($L27:$T27,0,AG$51+1)-INDEX($L27:$T27,0,AG$51))/(INDEX($L$4:$T$4,0,AG$51+1)-INDEX($L$4:$T$4,0,AG$51))+AF53)))</f>
        <v>146.0658553782805</v>
      </c>
      <c r="AH53" s="9" cm="1">
        <f t="array" ref="AH53">IF(AH$51=-1,AI53,IF(AH$51=99,AG53,IF(AH$51=0,INDEX($L27:$T27,0,AH$49),(INDEX($L27:$T27,0,AH$51+1)-INDEX($L27:$T27,0,AH$51))/(INDEX($L$4:$T$4,0,AH$51+1)-INDEX($L$4:$T$4,0,AH$51))+AG53)))</f>
        <v>149.47208135826168</v>
      </c>
      <c r="AI53" s="9" cm="1">
        <f t="array" ref="AI53">IF(AI$51=-1,AJ53,IF(AI$51=99,AH53,IF(AI$51=0,INDEX($L27:$T27,0,AI$49),(INDEX($L27:$T27,0,AI$51+1)-INDEX($L27:$T27,0,AI$51))/(INDEX($L$4:$T$4,0,AI$51+1)-INDEX($L$4:$T$4,0,AI$51))+AH53)))</f>
        <v>152.87830733824285</v>
      </c>
      <c r="AJ53" s="9" cm="1">
        <f t="array" ref="AJ53">IF(AJ$51=-1,AK53,IF(AJ$51=99,AI53,IF(AJ$51=0,INDEX($L27:$T27,0,AJ$49),(INDEX($L27:$T27,0,AJ$51+1)-INDEX($L27:$T27,0,AJ$51))/(INDEX($L$4:$T$4,0,AJ$51+1)-INDEX($L$4:$T$4,0,AJ$51))+AI53)))</f>
        <v>156.28453331822402</v>
      </c>
      <c r="AK53" s="9" cm="1">
        <f t="array" ref="AK53">IF(AK$51=-1,AL53,IF(AK$51=99,AJ53,IF(AK$51=0,INDEX($L27:$T27,0,AK$49),(INDEX($L27:$T27,0,AK$51+1)-INDEX($L27:$T27,0,AK$51))/(INDEX($L$4:$T$4,0,AK$51+1)-INDEX($L$4:$T$4,0,AK$51))+AJ53)))</f>
        <v>159.69075929820519</v>
      </c>
      <c r="AL53" s="9" cm="1">
        <f t="array" ref="AL53">IF(AL$51=-1,AM53,IF(AL$51=99,AK53,IF(AL$51=0,INDEX($L27:$T27,0,AL$49),(INDEX($L27:$T27,0,AL$51+1)-INDEX($L27:$T27,0,AL$51))/(INDEX($L$4:$T$4,0,AL$51+1)-INDEX($L$4:$T$4,0,AL$51))+AK53)))</f>
        <v>163.09698527818637</v>
      </c>
      <c r="AM53" s="9" cm="1">
        <f t="array" ref="AM53">IF(AM$51=-1,AN53,IF(AM$51=99,AL53,IF(AM$51=0,INDEX($L27:$T27,0,AM$49),(INDEX($L27:$T27,0,AM$51+1)-INDEX($L27:$T27,0,AM$51))/(INDEX($L$4:$T$4,0,AM$51+1)-INDEX($L$4:$T$4,0,AM$51))+AL53)))</f>
        <v>180.12811517809232</v>
      </c>
      <c r="AN53" s="9" cm="1">
        <f t="array" ref="AN53">IF(AN$51=-1,AO53,IF(AN$51=99,AM53,IF(AN$51=0,INDEX($L27:$T27,0,AN$49),(INDEX($L27:$T27,0,AN$51+1)-INDEX($L27:$T27,0,AN$51))/(INDEX($L$4:$T$4,0,AN$51+1)-INDEX($L$4:$T$4,0,AN$51))+AM53)))</f>
        <v>224.40842084311015</v>
      </c>
      <c r="AO53" s="9" cm="1">
        <f t="array" ref="AO53">IF(AO$51=-1,AP53,IF(AO$51=99,AN53,IF(AO$51=0,INDEX($L27:$T27,0,AO$49),(INDEX($L27:$T27,0,AO$51+1)-INDEX($L27:$T27,0,AO$51))/(INDEX($L$4:$T$4,0,AO$51+1)-INDEX($L$4:$T$4,0,AO$51))+AN53)))</f>
        <v>245.41017768153424</v>
      </c>
    </row>
    <row r="54" spans="1:41" ht="15">
      <c r="A54" s="36"/>
      <c r="B54" s="20" t="str">
        <f t="shared" si="35" ref="B54:B55">IF(A54="*","","COM_PROJ")</f>
        <v>COM_PROJ</v>
      </c>
      <c r="C54" s="21" t="str">
        <f t="shared" si="32"/>
        <v>-</v>
      </c>
      <c r="D54" s="48" t="str">
        <f t="shared" si="36" ref="D54:D55">B28</f>
        <v>TADJET</v>
      </c>
      <c r="E54" s="21" t="str">
        <f t="shared" si="33"/>
        <v>-</v>
      </c>
      <c r="F54" s="21" t="str">
        <f t="shared" si="33"/>
        <v>-</v>
      </c>
      <c r="G54" s="21" t="str">
        <f t="shared" si="33"/>
        <v>-</v>
      </c>
      <c r="H54" s="21" t="str">
        <f t="shared" si="33"/>
        <v>-</v>
      </c>
      <c r="I54" s="110">
        <f t="shared" si="37" ref="I54:I55">IF(A54="*","",0)</f>
        <v>0</v>
      </c>
      <c r="J54" s="9">
        <f>L28</f>
        <v>20.465228059152793</v>
      </c>
      <c r="K54" s="9" cm="1">
        <f t="array" ref="K54">IF(K$51=-1,L54,IF(K$51=99,J54,IF(K$51=0,INDEX($L28:$T28,0,K$49),(INDEX($L28:$T28,0,K$51+1)-INDEX($L28:$T28,0,K$51))/(INDEX($L$4:$T$4,0,K$51+1)-INDEX($L$4:$T$4,0,K$51))+J54)))</f>
        <v>21.869482761120459</v>
      </c>
      <c r="L54" s="9" cm="1">
        <f t="array" ref="L54">IF(L$51=-1,M54,IF(L$51=99,K54,IF(L$51=0,INDEX($L28:$T28,0,L$49),(INDEX($L28:$T28,0,L$51+1)-INDEX($L28:$T28,0,L$51))/(INDEX($L$4:$T$4,0,L$51+1)-INDEX($L$4:$T$4,0,L$51))+K54)))</f>
        <v>23.273737463088121</v>
      </c>
      <c r="M54" s="9" cm="1">
        <f t="array" ref="M54">IF(M$51=-1,N54,IF(M$51=99,L54,IF(M$51=0,INDEX($L28:$T28,0,M$49),(INDEX($L28:$T28,0,M$51+1)-INDEX($L28:$T28,0,M$51))/(INDEX($L$4:$T$4,0,M$51+1)-INDEX($L$4:$T$4,0,M$51))+L54)))</f>
        <v>22.028640397161595</v>
      </c>
      <c r="N54" s="9" cm="1">
        <f t="array" ref="N54">IF(N$51=-1,O54,IF(N$51=99,M54,IF(N$51=0,INDEX($L28:$T28,0,N$49),(INDEX($L28:$T28,0,N$51+1)-INDEX($L28:$T28,0,N$51))/(INDEX($L$4:$T$4,0,N$51+1)-INDEX($L$4:$T$4,0,N$51))+M54)))</f>
        <v>23.134014681408328</v>
      </c>
      <c r="O54" s="9" cm="1">
        <f t="array" ref="O54">IF(O$51=-1,P54,IF(O$51=99,N54,IF(O$51=0,INDEX($L28:$T28,0,O$49),(INDEX($L28:$T28,0,O$51+1)-INDEX($L28:$T28,0,O$51))/(INDEX($L$4:$T$4,0,O$51+1)-INDEX($L$4:$T$4,0,O$51))+N54)))</f>
        <v>24.205547056082402</v>
      </c>
      <c r="P54" s="9" cm="1">
        <f t="array" ref="P54">IF(P$51=-1,Q54,IF(P$51=99,O54,IF(P$51=0,INDEX($L28:$T28,0,P$49),(INDEX($L28:$T28,0,P$51+1)-INDEX($L28:$T28,0,P$51))/(INDEX($L$4:$T$4,0,P$51+1)-INDEX($L$4:$T$4,0,P$51))+O54)))</f>
        <v>25.277079430756476</v>
      </c>
      <c r="Q54" s="9" cm="1">
        <f t="array" ref="Q54">IF(Q$51=-1,R54,IF(Q$51=99,P54,IF(Q$51=0,INDEX($L28:$T28,0,Q$49),(INDEX($L28:$T28,0,Q$51+1)-INDEX($L28:$T28,0,Q$51))/(INDEX($L$4:$T$4,0,Q$51+1)-INDEX($L$4:$T$4,0,Q$51))+P54)))</f>
        <v>26.348611805430551</v>
      </c>
      <c r="R54" s="9" cm="1">
        <f t="array" ref="R54">IF(R$51=-1,S54,IF(R$51=99,Q54,IF(R$51=0,INDEX($L28:$T28,0,R$49),(INDEX($L28:$T28,0,R$51+1)-INDEX($L28:$T28,0,R$51))/(INDEX($L$4:$T$4,0,R$51+1)-INDEX($L$4:$T$4,0,R$51))+Q54)))</f>
        <v>27.420144180104625</v>
      </c>
      <c r="S54" s="9" cm="1">
        <f t="array" ref="S54">IF(S$51=-1,T54,IF(S$51=99,R54,IF(S$51=0,INDEX($L28:$T28,0,S$49),(INDEX($L28:$T28,0,S$51+1)-INDEX($L28:$T28,0,S$51))/(INDEX($L$4:$T$4,0,S$51+1)-INDEX($L$4:$T$4,0,S$51))+R54)))</f>
        <v>28.491676554778699</v>
      </c>
      <c r="T54" s="9" cm="1">
        <f t="array" ref="T54">IF(T$51=-1,U54,IF(T$51=99,S54,IF(T$51=0,INDEX($L28:$T28,0,T$49),(INDEX($L28:$T28,0,T$51+1)-INDEX($L28:$T28,0,T$51))/(INDEX($L$4:$T$4,0,T$51+1)-INDEX($L$4:$T$4,0,T$51))+S54)))</f>
        <v>29.563208929452774</v>
      </c>
      <c r="U54" s="9" cm="1">
        <f t="array" ref="U54">IF(U$51=-1,V54,IF(U$51=99,T54,IF(U$51=0,INDEX($L28:$T28,0,U$49),(INDEX($L28:$T28,0,U$51+1)-INDEX($L28:$T28,0,U$51))/(INDEX($L$4:$T$4,0,U$51+1)-INDEX($L$4:$T$4,0,U$51))+T54)))</f>
        <v>30.634741304126848</v>
      </c>
      <c r="V54" s="9" cm="1">
        <f t="array" ref="V54">IF(V$51=-1,W54,IF(V$51=99,U54,IF(V$51=0,INDEX($L28:$T28,0,V$49),(INDEX($L28:$T28,0,V$51+1)-INDEX($L28:$T28,0,V$51))/(INDEX($L$4:$T$4,0,V$51+1)-INDEX($L$4:$T$4,0,V$51))+U54)))</f>
        <v>31.706273678800923</v>
      </c>
      <c r="W54" s="9" cm="1">
        <f t="array" ref="W54">IF(W$51=-1,X54,IF(W$51=99,V54,IF(W$51=0,INDEX($L28:$T28,0,W$49),(INDEX($L28:$T28,0,W$51+1)-INDEX($L28:$T28,0,W$51))/(INDEX($L$4:$T$4,0,W$51+1)-INDEX($L$4:$T$4,0,W$51))+V54)))</f>
        <v>32.777806053474997</v>
      </c>
      <c r="X54" s="9" cm="1">
        <f t="array" ref="X54">IF(X$51=-1,Y54,IF(X$51=99,W54,IF(X$51=0,INDEX($L28:$T28,0,X$49),(INDEX($L28:$T28,0,X$51+1)-INDEX($L28:$T28,0,X$51))/(INDEX($L$4:$T$4,0,X$51+1)-INDEX($L$4:$T$4,0,X$51))+W54)))</f>
        <v>33.839901158122302</v>
      </c>
      <c r="Y54" s="9" cm="1">
        <f t="array" ref="Y54">IF(Y$51=-1,Z54,IF(Y$51=99,X54,IF(Y$51=0,INDEX($L28:$T28,0,Y$49),(INDEX($L28:$T28,0,Y$51+1)-INDEX($L28:$T28,0,Y$51))/(INDEX($L$4:$T$4,0,Y$51+1)-INDEX($L$4:$T$4,0,Y$51))+X54)))</f>
        <v>34.901996262769607</v>
      </c>
      <c r="Z54" s="9" cm="1">
        <f t="array" ref="Z54">IF(Z$51=-1,AA54,IF(Z$51=99,Y54,IF(Z$51=0,INDEX($L28:$T28,0,Z$49),(INDEX($L28:$T28,0,Z$51+1)-INDEX($L28:$T28,0,Z$51))/(INDEX($L$4:$T$4,0,Z$51+1)-INDEX($L$4:$T$4,0,Z$51))+Y54)))</f>
        <v>35.964091367416913</v>
      </c>
      <c r="AA54" s="9" cm="1">
        <f t="array" ref="AA54">IF(AA$51=-1,AB54,IF(AA$51=99,Z54,IF(AA$51=0,INDEX($L28:$T28,0,AA$49),(INDEX($L28:$T28,0,AA$51+1)-INDEX($L28:$T28,0,AA$51))/(INDEX($L$4:$T$4,0,AA$51+1)-INDEX($L$4:$T$4,0,AA$51))+Z54)))</f>
        <v>37.026186472064218</v>
      </c>
      <c r="AB54" s="9" cm="1">
        <f t="array" ref="AB54">IF(AB$51=-1,AC54,IF(AB$51=99,AA54,IF(AB$51=0,INDEX($L28:$T28,0,AB$49),(INDEX($L28:$T28,0,AB$51+1)-INDEX($L28:$T28,0,AB$51))/(INDEX($L$4:$T$4,0,AB$51+1)-INDEX($L$4:$T$4,0,AB$51))+AA54)))</f>
        <v>38.088281576711523</v>
      </c>
      <c r="AC54" s="9" cm="1">
        <f t="array" ref="AC54">IF(AC$51=-1,AD54,IF(AC$51=99,AB54,IF(AC$51=0,INDEX($L28:$T28,0,AC$49),(INDEX($L28:$T28,0,AC$51+1)-INDEX($L28:$T28,0,AC$51))/(INDEX($L$4:$T$4,0,AC$51+1)-INDEX($L$4:$T$4,0,AC$51))+AB54)))</f>
        <v>39.150376681358829</v>
      </c>
      <c r="AD54" s="9" cm="1">
        <f t="array" ref="AD54">IF(AD$51=-1,AE54,IF(AD$51=99,AC54,IF(AD$51=0,INDEX($L28:$T28,0,AD$49),(INDEX($L28:$T28,0,AD$51+1)-INDEX($L28:$T28,0,AD$51))/(INDEX($L$4:$T$4,0,AD$51+1)-INDEX($L$4:$T$4,0,AD$51))+AC54)))</f>
        <v>40.212471786006134</v>
      </c>
      <c r="AE54" s="9" cm="1">
        <f t="array" ref="AE54">IF(AE$51=-1,AF54,IF(AE$51=99,AD54,IF(AE$51=0,INDEX($L28:$T28,0,AE$49),(INDEX($L28:$T28,0,AE$51+1)-INDEX($L28:$T28,0,AE$51))/(INDEX($L$4:$T$4,0,AE$51+1)-INDEX($L$4:$T$4,0,AE$51))+AD54)))</f>
        <v>41.274566890653439</v>
      </c>
      <c r="AF54" s="9" cm="1">
        <f t="array" ref="AF54">IF(AF$51=-1,AG54,IF(AF$51=99,AE54,IF(AF$51=0,INDEX($L28:$T28,0,AF$49),(INDEX($L28:$T28,0,AF$51+1)-INDEX($L28:$T28,0,AF$51))/(INDEX($L$4:$T$4,0,AF$51+1)-INDEX($L$4:$T$4,0,AF$51))+AE54)))</f>
        <v>42.336661995300744</v>
      </c>
      <c r="AG54" s="9" cm="1">
        <f t="array" ref="AG54">IF(AG$51=-1,AH54,IF(AG$51=99,AF54,IF(AG$51=0,INDEX($L28:$T28,0,AG$49),(INDEX($L28:$T28,0,AG$51+1)-INDEX($L28:$T28,0,AG$51))/(INDEX($L$4:$T$4,0,AG$51+1)-INDEX($L$4:$T$4,0,AG$51))+AF54)))</f>
        <v>43.398757099948064</v>
      </c>
      <c r="AH54" s="9" cm="1">
        <f t="array" ref="AH54">IF(AH$51=-1,AI54,IF(AH$51=99,AG54,IF(AH$51=0,INDEX($L28:$T28,0,AH$49),(INDEX($L28:$T28,0,AH$51+1)-INDEX($L28:$T28,0,AH$51))/(INDEX($L$4:$T$4,0,AH$51+1)-INDEX($L$4:$T$4,0,AH$51))+AG54)))</f>
        <v>44.410807271084209</v>
      </c>
      <c r="AI54" s="9" cm="1">
        <f t="array" ref="AI54">IF(AI$51=-1,AJ54,IF(AI$51=99,AH54,IF(AI$51=0,INDEX($L28:$T28,0,AI$49),(INDEX($L28:$T28,0,AI$51+1)-INDEX($L28:$T28,0,AI$51))/(INDEX($L$4:$T$4,0,AI$51+1)-INDEX($L$4:$T$4,0,AI$51))+AH54)))</f>
        <v>45.422857442220355</v>
      </c>
      <c r="AJ54" s="9" cm="1">
        <f t="array" ref="AJ54">IF(AJ$51=-1,AK54,IF(AJ$51=99,AI54,IF(AJ$51=0,INDEX($L28:$T28,0,AJ$49),(INDEX($L28:$T28,0,AJ$51+1)-INDEX($L28:$T28,0,AJ$51))/(INDEX($L$4:$T$4,0,AJ$51+1)-INDEX($L$4:$T$4,0,AJ$51))+AI54)))</f>
        <v>46.434907613356501</v>
      </c>
      <c r="AK54" s="9" cm="1">
        <f t="array" ref="AK54">IF(AK$51=-1,AL54,IF(AK$51=99,AJ54,IF(AK$51=0,INDEX($L28:$T28,0,AK$49),(INDEX($L28:$T28,0,AK$51+1)-INDEX($L28:$T28,0,AK$51))/(INDEX($L$4:$T$4,0,AK$51+1)-INDEX($L$4:$T$4,0,AK$51))+AJ54)))</f>
        <v>47.446957784492646</v>
      </c>
      <c r="AL54" s="9" cm="1">
        <f t="array" ref="AL54">IF(AL$51=-1,AM54,IF(AL$51=99,AK54,IF(AL$51=0,INDEX($L28:$T28,0,AL$49),(INDEX($L28:$T28,0,AL$51+1)-INDEX($L28:$T28,0,AL$51))/(INDEX($L$4:$T$4,0,AL$51+1)-INDEX($L$4:$T$4,0,AL$51))+AK54)))</f>
        <v>48.459007955628792</v>
      </c>
      <c r="AM54" s="9" cm="1">
        <f t="array" ref="AM54">IF(AM$51=-1,AN54,IF(AM$51=99,AL54,IF(AM$51=0,INDEX($L28:$T28,0,AM$49),(INDEX($L28:$T28,0,AM$51+1)-INDEX($L28:$T28,0,AM$51))/(INDEX($L$4:$T$4,0,AM$51+1)-INDEX($L$4:$T$4,0,AM$51))+AL54)))</f>
        <v>53.519258811309491</v>
      </c>
      <c r="AN54" s="9" cm="1">
        <f t="array" ref="AN54">IF(AN$51=-1,AO54,IF(AN$51=99,AM54,IF(AN$51=0,INDEX($L28:$T28,0,AN$49),(INDEX($L28:$T28,0,AN$51+1)-INDEX($L28:$T28,0,AN$51))/(INDEX($L$4:$T$4,0,AN$51+1)-INDEX($L$4:$T$4,0,AN$51))+AM54)))</f>
        <v>66.675723235460708</v>
      </c>
      <c r="AO54" s="9" cm="1">
        <f t="array" ref="AO54">IF(AO$51=-1,AP54,IF(AO$51=99,AN54,IF(AO$51=0,INDEX($L28:$T28,0,AO$49),(INDEX($L28:$T28,0,AO$51+1)-INDEX($L28:$T28,0,AO$51))/(INDEX($L$4:$T$4,0,AO$51+1)-INDEX($L$4:$T$4,0,AO$51))+AN54)))</f>
        <v>72.915717800531866</v>
      </c>
    </row>
    <row r="55" spans="1:41" ht="15">
      <c r="A55" s="36"/>
      <c r="B55" s="20" t="str">
        <f t="shared" si="35"/>
        <v>COM_PROJ</v>
      </c>
      <c r="C55" s="21" t="str">
        <f t="shared" si="32"/>
        <v>-</v>
      </c>
      <c r="D55" s="48" t="str">
        <f t="shared" si="36"/>
        <v>TAOAG</v>
      </c>
      <c r="E55" s="21" t="str">
        <f t="shared" si="33"/>
        <v>-</v>
      </c>
      <c r="F55" s="21" t="str">
        <f t="shared" si="33"/>
        <v>-</v>
      </c>
      <c r="G55" s="21" t="str">
        <f t="shared" si="33"/>
        <v>-</v>
      </c>
      <c r="H55" s="21" t="str">
        <f t="shared" si="33"/>
        <v>-</v>
      </c>
      <c r="I55" s="110">
        <f t="shared" si="37"/>
        <v>0</v>
      </c>
      <c r="J55" s="9">
        <f>L29</f>
        <v>0.90926579192061818</v>
      </c>
      <c r="K55" s="9" cm="1">
        <f t="array" ref="K55">IF(K$51=-1,L55,IF(K$51=99,J55,IF(K$51=0,INDEX($L29:$T29,0,K$49),(INDEX($L29:$T29,0,K$51+1)-INDEX($L29:$T29,0,K$51))/(INDEX($L$4:$T$4,0,K$51+1)-INDEX($L$4:$T$4,0,K$51))+J55)))</f>
        <v>0.92163021555847424</v>
      </c>
      <c r="L55" s="9" cm="1">
        <f t="array" ref="L55">IF(L$51=-1,M55,IF(L$51=99,K55,IF(L$51=0,INDEX($L29:$T29,0,L$49),(INDEX($L29:$T29,0,L$51+1)-INDEX($L29:$T29,0,L$51))/(INDEX($L$4:$T$4,0,L$51+1)-INDEX($L$4:$T$4,0,L$51))+K55)))</f>
        <v>0.9339946391963303</v>
      </c>
      <c r="M55" s="9" cm="1">
        <f t="array" ref="M55">IF(M$51=-1,N55,IF(M$51=99,L55,IF(M$51=0,INDEX($L29:$T29,0,M$49),(INDEX($L29:$T29,0,M$51+1)-INDEX($L29:$T29,0,M$51))/(INDEX($L$4:$T$4,0,M$51+1)-INDEX($L$4:$T$4,0,M$51))+L55)))</f>
        <v>0.88402784779899579</v>
      </c>
      <c r="N55" s="9" cm="1">
        <f t="array" ref="N55">IF(N$51=-1,O55,IF(N$51=99,M55,IF(N$51=0,INDEX($L29:$T29,0,N$49),(INDEX($L29:$T29,0,N$51+1)-INDEX($L29:$T29,0,N$51))/(INDEX($L$4:$T$4,0,N$51+1)-INDEX($L$4:$T$4,0,N$51))+M55)))</f>
        <v>0</v>
      </c>
      <c r="O55" s="9" cm="1">
        <f t="array" ref="O55">IF(O$51=-1,P55,IF(O$51=99,N55,IF(O$51=0,INDEX($L29:$T29,0,O$49),(INDEX($L29:$T29,0,O$51+1)-INDEX($L29:$T29,0,O$51))/(INDEX($L$4:$T$4,0,O$51+1)-INDEX($L$4:$T$4,0,O$51))+N55)))</f>
        <v>0.14615565523689805</v>
      </c>
      <c r="P55" s="9" cm="1">
        <f t="array" ref="P55">IF(P$51=-1,Q55,IF(P$51=99,O55,IF(P$51=0,INDEX($L29:$T29,0,P$49),(INDEX($L29:$T29,0,P$51+1)-INDEX($L29:$T29,0,P$51))/(INDEX($L$4:$T$4,0,P$51+1)-INDEX($L$4:$T$4,0,P$51))+O55)))</f>
        <v>0.2923113104737961</v>
      </c>
      <c r="Q55" s="9" cm="1">
        <f t="array" ref="Q55">IF(Q$51=-1,R55,IF(Q$51=99,P55,IF(Q$51=0,INDEX($L29:$T29,0,Q$49),(INDEX($L29:$T29,0,Q$51+1)-INDEX($L29:$T29,0,Q$51))/(INDEX($L$4:$T$4,0,Q$51+1)-INDEX($L$4:$T$4,0,Q$51))+P55)))</f>
        <v>0.43846696571069416</v>
      </c>
      <c r="R55" s="9" cm="1">
        <f t="array" ref="R55">IF(R$51=-1,S55,IF(R$51=99,Q55,IF(R$51=0,INDEX($L29:$T29,0,R$49),(INDEX($L29:$T29,0,R$51+1)-INDEX($L29:$T29,0,R$51))/(INDEX($L$4:$T$4,0,R$51+1)-INDEX($L$4:$T$4,0,R$51))+Q55)))</f>
        <v>0.58462262094759221</v>
      </c>
      <c r="S55" s="9" cm="1">
        <f t="array" ref="S55">IF(S$51=-1,T55,IF(S$51=99,R55,IF(S$51=0,INDEX($L29:$T29,0,S$49),(INDEX($L29:$T29,0,S$51+1)-INDEX($L29:$T29,0,S$51))/(INDEX($L$4:$T$4,0,S$51+1)-INDEX($L$4:$T$4,0,S$51))+R55)))</f>
        <v>0.73077827618449032</v>
      </c>
      <c r="T55" s="9" cm="1">
        <f t="array" ref="T55">IF(T$51=-1,U55,IF(T$51=99,S55,IF(T$51=0,INDEX($L29:$T29,0,T$49),(INDEX($L29:$T29,0,T$51+1)-INDEX($L29:$T29,0,T$51))/(INDEX($L$4:$T$4,0,T$51+1)-INDEX($L$4:$T$4,0,T$51))+S55)))</f>
        <v>0.87693393142138842</v>
      </c>
      <c r="U55" s="9" cm="1">
        <f t="array" ref="U55">IF(U$51=-1,V55,IF(U$51=99,T55,IF(U$51=0,INDEX($L29:$T29,0,U$49),(INDEX($L29:$T29,0,U$51+1)-INDEX($L29:$T29,0,U$51))/(INDEX($L$4:$T$4,0,U$51+1)-INDEX($L$4:$T$4,0,U$51))+T55)))</f>
        <v>1.0230895866582865</v>
      </c>
      <c r="V55" s="9" cm="1">
        <f t="array" ref="V55">IF(V$51=-1,W55,IF(V$51=99,U55,IF(V$51=0,INDEX($L29:$T29,0,V$49),(INDEX($L29:$T29,0,V$51+1)-INDEX($L29:$T29,0,V$51))/(INDEX($L$4:$T$4,0,V$51+1)-INDEX($L$4:$T$4,0,V$51))+U55)))</f>
        <v>1.1692452418951846</v>
      </c>
      <c r="W55" s="9" cm="1">
        <f t="array" ref="W55">IF(W$51=-1,X55,IF(W$51=99,V55,IF(W$51=0,INDEX($L29:$T29,0,W$49),(INDEX($L29:$T29,0,W$51+1)-INDEX($L29:$T29,0,W$51))/(INDEX($L$4:$T$4,0,W$51+1)-INDEX($L$4:$T$4,0,W$51))+V55)))</f>
        <v>1.3154008971320825</v>
      </c>
      <c r="X55" s="9" cm="1">
        <f t="array" ref="X55">IF(X$51=-1,Y55,IF(X$51=99,W55,IF(X$51=0,INDEX($L29:$T29,0,X$49),(INDEX($L29:$T29,0,X$51+1)-INDEX($L29:$T29,0,X$51))/(INDEX($L$4:$T$4,0,X$51+1)-INDEX($L$4:$T$4,0,X$51))+W55)))</f>
        <v>1.3580236660633955</v>
      </c>
      <c r="Y55" s="9" cm="1">
        <f t="array" ref="Y55">IF(Y$51=-1,Z55,IF(Y$51=99,X55,IF(Y$51=0,INDEX($L29:$T29,0,Y$49),(INDEX($L29:$T29,0,Y$51+1)-INDEX($L29:$T29,0,Y$51))/(INDEX($L$4:$T$4,0,Y$51+1)-INDEX($L$4:$T$4,0,Y$51))+X55)))</f>
        <v>1.4006464349947085</v>
      </c>
      <c r="Z55" s="9" cm="1">
        <f t="array" ref="Z55">IF(Z$51=-1,AA55,IF(Z$51=99,Y55,IF(Z$51=0,INDEX($L29:$T29,0,Z$49),(INDEX($L29:$T29,0,Z$51+1)-INDEX($L29:$T29,0,Z$51))/(INDEX($L$4:$T$4,0,Z$51+1)-INDEX($L$4:$T$4,0,Z$51))+Y55)))</f>
        <v>1.4432692039260215</v>
      </c>
      <c r="AA55" s="9" cm="1">
        <f t="array" ref="AA55">IF(AA$51=-1,AB55,IF(AA$51=99,Z55,IF(AA$51=0,INDEX($L29:$T29,0,AA$49),(INDEX($L29:$T29,0,AA$51+1)-INDEX($L29:$T29,0,AA$51))/(INDEX($L$4:$T$4,0,AA$51+1)-INDEX($L$4:$T$4,0,AA$51))+Z55)))</f>
        <v>1.4858919728573345</v>
      </c>
      <c r="AB55" s="9" cm="1">
        <f t="array" ref="AB55">IF(AB$51=-1,AC55,IF(AB$51=99,AA55,IF(AB$51=0,INDEX($L29:$T29,0,AB$49),(INDEX($L29:$T29,0,AB$51+1)-INDEX($L29:$T29,0,AB$51))/(INDEX($L$4:$T$4,0,AB$51+1)-INDEX($L$4:$T$4,0,AB$51))+AA55)))</f>
        <v>1.5285147417886475</v>
      </c>
      <c r="AC55" s="9" cm="1">
        <f t="array" ref="AC55">IF(AC$51=-1,AD55,IF(AC$51=99,AB55,IF(AC$51=0,INDEX($L29:$T29,0,AC$49),(INDEX($L29:$T29,0,AC$51+1)-INDEX($L29:$T29,0,AC$51))/(INDEX($L$4:$T$4,0,AC$51+1)-INDEX($L$4:$T$4,0,AC$51))+AB55)))</f>
        <v>1.5711375107199606</v>
      </c>
      <c r="AD55" s="9" cm="1">
        <f t="array" ref="AD55">IF(AD$51=-1,AE55,IF(AD$51=99,AC55,IF(AD$51=0,INDEX($L29:$T29,0,AD$49),(INDEX($L29:$T29,0,AD$51+1)-INDEX($L29:$T29,0,AD$51))/(INDEX($L$4:$T$4,0,AD$51+1)-INDEX($L$4:$T$4,0,AD$51))+AC55)))</f>
        <v>1.6137602796512736</v>
      </c>
      <c r="AE55" s="9" cm="1">
        <f t="array" ref="AE55">IF(AE$51=-1,AF55,IF(AE$51=99,AD55,IF(AE$51=0,INDEX($L29:$T29,0,AE$49),(INDEX($L29:$T29,0,AE$51+1)-INDEX($L29:$T29,0,AE$51))/(INDEX($L$4:$T$4,0,AE$51+1)-INDEX($L$4:$T$4,0,AE$51))+AD55)))</f>
        <v>1.6563830485825866</v>
      </c>
      <c r="AF55" s="9" cm="1">
        <f t="array" ref="AF55">IF(AF$51=-1,AG55,IF(AF$51=99,AE55,IF(AF$51=0,INDEX($L29:$T29,0,AF$49),(INDEX($L29:$T29,0,AF$51+1)-INDEX($L29:$T29,0,AF$51))/(INDEX($L$4:$T$4,0,AF$51+1)-INDEX($L$4:$T$4,0,AF$51))+AE55)))</f>
        <v>1.6990058175138996</v>
      </c>
      <c r="AG55" s="9" cm="1">
        <f t="array" ref="AG55">IF(AG$51=-1,AH55,IF(AG$51=99,AF55,IF(AG$51=0,INDEX($L29:$T29,0,AG$49),(INDEX($L29:$T29,0,AG$51+1)-INDEX($L29:$T29,0,AG$51))/(INDEX($L$4:$T$4,0,AG$51+1)-INDEX($L$4:$T$4,0,AG$51))+AF55)))</f>
        <v>1.7416285864452132</v>
      </c>
      <c r="AH55" s="9" cm="1">
        <f t="array" ref="AH55">IF(AH$51=-1,AI55,IF(AH$51=99,AG55,IF(AH$51=0,INDEX($L29:$T29,0,AH$49),(INDEX($L29:$T29,0,AH$51+1)-INDEX($L29:$T29,0,AH$51))/(INDEX($L$4:$T$4,0,AH$51+1)-INDEX($L$4:$T$4,0,AH$51))+AG55)))</f>
        <v>1.7822430101465221</v>
      </c>
      <c r="AI55" s="9" cm="1">
        <f t="array" ref="AI55">IF(AI$51=-1,AJ55,IF(AI$51=99,AH55,IF(AI$51=0,INDEX($L29:$T29,0,AI$49),(INDEX($L29:$T29,0,AI$51+1)-INDEX($L29:$T29,0,AI$51))/(INDEX($L$4:$T$4,0,AI$51+1)-INDEX($L$4:$T$4,0,AI$51))+AH55)))</f>
        <v>1.8228574338478309</v>
      </c>
      <c r="AJ55" s="9" cm="1">
        <f t="array" ref="AJ55">IF(AJ$51=-1,AK55,IF(AJ$51=99,AI55,IF(AJ$51=0,INDEX($L29:$T29,0,AJ$49),(INDEX($L29:$T29,0,AJ$51+1)-INDEX($L29:$T29,0,AJ$51))/(INDEX($L$4:$T$4,0,AJ$51+1)-INDEX($L$4:$T$4,0,AJ$51))+AI55)))</f>
        <v>1.8634718575491398</v>
      </c>
      <c r="AK55" s="9" cm="1">
        <f t="array" ref="AK55">IF(AK$51=-1,AL55,IF(AK$51=99,AJ55,IF(AK$51=0,INDEX($L29:$T29,0,AK$49),(INDEX($L29:$T29,0,AK$51+1)-INDEX($L29:$T29,0,AK$51))/(INDEX($L$4:$T$4,0,AK$51+1)-INDEX($L$4:$T$4,0,AK$51))+AJ55)))</f>
        <v>1.9040862812504487</v>
      </c>
      <c r="AL55" s="9" cm="1">
        <f t="array" ref="AL55">IF(AL$51=-1,AM55,IF(AL$51=99,AK55,IF(AL$51=0,INDEX($L29:$T29,0,AL$49),(INDEX($L29:$T29,0,AL$51+1)-INDEX($L29:$T29,0,AL$51))/(INDEX($L$4:$T$4,0,AL$51+1)-INDEX($L$4:$T$4,0,AL$51))+AK55)))</f>
        <v>1.9447007049517575</v>
      </c>
      <c r="AM55" s="9" cm="1">
        <f t="array" ref="AM55">IF(AM$51=-1,AN55,IF(AM$51=99,AL55,IF(AM$51=0,INDEX($L29:$T29,0,AM$49),(INDEX($L29:$T29,0,AM$51+1)-INDEX($L29:$T29,0,AM$51))/(INDEX($L$4:$T$4,0,AM$51+1)-INDEX($L$4:$T$4,0,AM$51))+AL55)))</f>
        <v>2.1477728234583018</v>
      </c>
      <c r="AN55" s="9" cm="1">
        <f t="array" ref="AN55">IF(AN$51=-1,AO55,IF(AN$51=99,AM55,IF(AN$51=0,INDEX($L29:$T29,0,AN$49),(INDEX($L29:$T29,0,AN$51+1)-INDEX($L29:$T29,0,AN$51))/(INDEX($L$4:$T$4,0,AN$51+1)-INDEX($L$4:$T$4,0,AN$51))+AM55)))</f>
        <v>2.675752794978699</v>
      </c>
      <c r="AO55" s="9" cm="1">
        <f t="array" ref="AO55">IF(AO$51=-1,AP55,IF(AO$51=99,AN55,IF(AO$51=0,INDEX($L29:$T29,0,AO$49),(INDEX($L29:$T29,0,AO$51+1)-INDEX($L29:$T29,0,AO$51))/(INDEX($L$4:$T$4,0,AO$51+1)-INDEX($L$4:$T$4,0,AO$51))+AN55)))</f>
        <v>2.9261690197743095</v>
      </c>
    </row>
    <row r="56" spans="1:41" ht="15">
      <c r="A56" s="36"/>
      <c r="B56" s="20" t="str">
        <f t="shared" si="31"/>
        <v>COM_PROJ</v>
      </c>
      <c r="C56" s="21" t="str">
        <f t="shared" si="32"/>
        <v>-</v>
      </c>
      <c r="D56" s="48" t="s">
        <v>146</v>
      </c>
      <c r="E56" s="21" t="str">
        <f t="shared" si="33"/>
        <v>-</v>
      </c>
      <c r="F56" s="21" t="str">
        <f t="shared" si="33"/>
        <v>-</v>
      </c>
      <c r="G56" s="21" t="str">
        <f t="shared" si="33"/>
        <v>-</v>
      </c>
      <c r="H56" s="21" t="str">
        <f t="shared" si="33"/>
        <v>-</v>
      </c>
      <c r="I56" s="110">
        <f t="shared" si="34"/>
        <v>0</v>
      </c>
      <c r="J56" s="9">
        <f>L41</f>
        <v>4.5086140100000014</v>
      </c>
      <c r="K56" s="9" cm="1">
        <f t="array" ref="K56">IF(K$51=-1,L56,IF(K$51=99,J56,IF(K$51=0,INDEX($L41:$T41,0,K$49),(INDEX($L41:$T41,0,K$51+1)-INDEX($L41:$T41,0,K$51))/(INDEX($L$4:$T$4,0,K$51+1)-INDEX($L$4:$T$4,0,K$51))+J56)))</f>
        <v>4.8159747836716882</v>
      </c>
      <c r="L56" s="9" cm="1">
        <f t="array" ref="L56">IF(L$51=-1,M56,IF(L$51=99,K56,IF(L$51=0,INDEX($L41:$T41,0,L$49),(INDEX($L41:$T41,0,L$51+1)-INDEX($L41:$T41,0,L$51))/(INDEX($L$4:$T$4,0,L$51+1)-INDEX($L$4:$T$4,0,L$51))+K56)))</f>
        <v>5.123335557343375</v>
      </c>
      <c r="M56" s="9" cm="1">
        <f t="array" ref="M56">IF(M$51=-1,N56,IF(M$51=99,L56,IF(M$51=0,INDEX($L41:$T41,0,M$49),(INDEX($L41:$T41,0,M$51+1)-INDEX($L41:$T41,0,M$51))/(INDEX($L$4:$T$4,0,M$51+1)-INDEX($L$4:$T$4,0,M$51))+L56)))</f>
        <v>4.849247646868216</v>
      </c>
      <c r="N56" s="9" cm="1">
        <f t="array" ref="N56">IF(N$51=-1,O56,IF(N$51=99,M56,IF(N$51=0,INDEX($L41:$T41,0,N$49),(INDEX($L41:$T41,0,N$51+1)-INDEX($L41:$T41,0,N$51))/(INDEX($L$4:$T$4,0,N$51+1)-INDEX($L$4:$T$4,0,N$51))+M56)))</f>
        <v>4.6034291463638564</v>
      </c>
      <c r="O56" s="9" cm="1">
        <f t="array" ref="O56">IF(O$51=-1,P56,IF(O$51=99,N56,IF(O$51=0,INDEX($L41:$T41,0,O$49),(INDEX($L41:$T41,0,O$51+1)-INDEX($L41:$T41,0,O$51))/(INDEX($L$4:$T$4,0,O$51+1)-INDEX($L$4:$T$4,0,O$51))+N56)))</f>
        <v>4.8936594635924955</v>
      </c>
      <c r="P56" s="9" cm="1">
        <f t="array" ref="P56">IF(P$51=-1,Q56,IF(P$51=99,O56,IF(P$51=0,INDEX($L41:$T41,0,P$49),(INDEX($L41:$T41,0,P$51+1)-INDEX($L41:$T41,0,P$51))/(INDEX($L$4:$T$4,0,P$51+1)-INDEX($L$4:$T$4,0,P$51))+O56)))</f>
        <v>5.1838897808211346</v>
      </c>
      <c r="Q56" s="9" cm="1">
        <f t="array" ref="Q56">IF(Q$51=-1,R56,IF(Q$51=99,P56,IF(Q$51=0,INDEX($L41:$T41,0,Q$49),(INDEX($L41:$T41,0,Q$51+1)-INDEX($L41:$T41,0,Q$51))/(INDEX($L$4:$T$4,0,Q$51+1)-INDEX($L$4:$T$4,0,Q$51))+P56)))</f>
        <v>5.4741200980497737</v>
      </c>
      <c r="R56" s="9" cm="1">
        <f t="array" ref="R56">IF(R$51=-1,S56,IF(R$51=99,Q56,IF(R$51=0,INDEX($L41:$T41,0,R$49),(INDEX($L41:$T41,0,R$51+1)-INDEX($L41:$T41,0,R$51))/(INDEX($L$4:$T$4,0,R$51+1)-INDEX($L$4:$T$4,0,R$51))+Q56)))</f>
        <v>5.7643504152784129</v>
      </c>
      <c r="S56" s="9" cm="1">
        <f t="array" ref="S56">IF(S$51=-1,T56,IF(S$51=99,R56,IF(S$51=0,INDEX($L41:$T41,0,S$49),(INDEX($L41:$T41,0,S$51+1)-INDEX($L41:$T41,0,S$51))/(INDEX($L$4:$T$4,0,S$51+1)-INDEX($L$4:$T$4,0,S$51))+R56)))</f>
        <v>6.054580732507052</v>
      </c>
      <c r="T56" s="9" cm="1">
        <f t="array" ref="T56">IF(T$51=-1,U56,IF(T$51=99,S56,IF(T$51=0,INDEX($L41:$T41,0,T$49),(INDEX($L41:$T41,0,T$51+1)-INDEX($L41:$T41,0,T$51))/(INDEX($L$4:$T$4,0,T$51+1)-INDEX($L$4:$T$4,0,T$51))+S56)))</f>
        <v>6.3448110497356911</v>
      </c>
      <c r="U56" s="9" cm="1">
        <f t="array" ref="U56">IF(U$51=-1,V56,IF(U$51=99,T56,IF(U$51=0,INDEX($L41:$T41,0,U$49),(INDEX($L41:$T41,0,U$51+1)-INDEX($L41:$T41,0,U$51))/(INDEX($L$4:$T$4,0,U$51+1)-INDEX($L$4:$T$4,0,U$51))+T56)))</f>
        <v>6.6350413669643302</v>
      </c>
      <c r="V56" s="9" cm="1">
        <f t="array" ref="V56">IF(V$51=-1,W56,IF(V$51=99,U56,IF(V$51=0,INDEX($L41:$T41,0,V$49),(INDEX($L41:$T41,0,V$51+1)-INDEX($L41:$T41,0,V$51))/(INDEX($L$4:$T$4,0,V$51+1)-INDEX($L$4:$T$4,0,V$51))+U56)))</f>
        <v>6.9252716841929693</v>
      </c>
      <c r="W56" s="9" cm="1">
        <f t="array" ref="W56">IF(W$51=-1,X56,IF(W$51=99,V56,IF(W$51=0,INDEX($L41:$T41,0,W$49),(INDEX($L41:$T41,0,W$51+1)-INDEX($L41:$T41,0,W$51))/(INDEX($L$4:$T$4,0,W$51+1)-INDEX($L$4:$T$4,0,W$51))+V56)))</f>
        <v>7.2155020014216085</v>
      </c>
      <c r="X56" s="9" cm="1">
        <f t="array" ref="X56">IF(X$51=-1,Y56,IF(X$51=99,W56,IF(X$51=0,INDEX($L41:$T41,0,X$49),(INDEX($L41:$T41,0,X$51+1)-INDEX($L41:$T41,0,X$51))/(INDEX($L$4:$T$4,0,X$51+1)-INDEX($L$4:$T$4,0,X$51))+W56)))</f>
        <v>7.4493050003404537</v>
      </c>
      <c r="Y56" s="9" cm="1">
        <f t="array" ref="Y56">IF(Y$51=-1,Z56,IF(Y$51=99,X56,IF(Y$51=0,INDEX($L41:$T41,0,Y$49),(INDEX($L41:$T41,0,Y$51+1)-INDEX($L41:$T41,0,Y$51))/(INDEX($L$4:$T$4,0,Y$51+1)-INDEX($L$4:$T$4,0,Y$51))+X56)))</f>
        <v>7.683107999259299</v>
      </c>
      <c r="Z56" s="9" cm="1">
        <f t="array" ref="Z56">IF(Z$51=-1,AA56,IF(Z$51=99,Y56,IF(Z$51=0,INDEX($L41:$T41,0,Z$49),(INDEX($L41:$T41,0,Z$51+1)-INDEX($L41:$T41,0,Z$51))/(INDEX($L$4:$T$4,0,Z$51+1)-INDEX($L$4:$T$4,0,Z$51))+Y56)))</f>
        <v>7.9169109981781443</v>
      </c>
      <c r="AA56" s="9" cm="1">
        <f t="array" ref="AA56">IF(AA$51=-1,AB56,IF(AA$51=99,Z56,IF(AA$51=0,INDEX($L41:$T41,0,AA$49),(INDEX($L41:$T41,0,AA$51+1)-INDEX($L41:$T41,0,AA$51))/(INDEX($L$4:$T$4,0,AA$51+1)-INDEX($L$4:$T$4,0,AA$51))+Z56)))</f>
        <v>8.1507139970969895</v>
      </c>
      <c r="AB56" s="9" cm="1">
        <f t="array" ref="AB56">IF(AB$51=-1,AC56,IF(AB$51=99,AA56,IF(AB$51=0,INDEX($L41:$T41,0,AB$49),(INDEX($L41:$T41,0,AB$51+1)-INDEX($L41:$T41,0,AB$51))/(INDEX($L$4:$T$4,0,AB$51+1)-INDEX($L$4:$T$4,0,AB$51))+AA56)))</f>
        <v>8.3845169960158348</v>
      </c>
      <c r="AC56" s="9" cm="1">
        <f t="array" ref="AC56">IF(AC$51=-1,AD56,IF(AC$51=99,AB56,IF(AC$51=0,INDEX($L41:$T41,0,AC$49),(INDEX($L41:$T41,0,AC$51+1)-INDEX($L41:$T41,0,AC$51))/(INDEX($L$4:$T$4,0,AC$51+1)-INDEX($L$4:$T$4,0,AC$51))+AB56)))</f>
        <v>8.61831999493468</v>
      </c>
      <c r="AD56" s="9" cm="1">
        <f t="array" ref="AD56">IF(AD$51=-1,AE56,IF(AD$51=99,AC56,IF(AD$51=0,INDEX($L41:$T41,0,AD$49),(INDEX($L41:$T41,0,AD$51+1)-INDEX($L41:$T41,0,AD$51))/(INDEX($L$4:$T$4,0,AD$51+1)-INDEX($L$4:$T$4,0,AD$51))+AC56)))</f>
        <v>8.8521229938535253</v>
      </c>
      <c r="AE56" s="9" cm="1">
        <f t="array" ref="AE56">IF(AE$51=-1,AF56,IF(AE$51=99,AD56,IF(AE$51=0,INDEX($L41:$T41,0,AE$49),(INDEX($L41:$T41,0,AE$51+1)-INDEX($L41:$T41,0,AE$51))/(INDEX($L$4:$T$4,0,AE$51+1)-INDEX($L$4:$T$4,0,AE$51))+AD56)))</f>
        <v>9.0859259927723706</v>
      </c>
      <c r="AF56" s="9" cm="1">
        <f t="array" ref="AF56">IF(AF$51=-1,AG56,IF(AF$51=99,AE56,IF(AF$51=0,INDEX($L41:$T41,0,AF$49),(INDEX($L41:$T41,0,AF$51+1)-INDEX($L41:$T41,0,AF$51))/(INDEX($L$4:$T$4,0,AF$51+1)-INDEX($L$4:$T$4,0,AF$51))+AE56)))</f>
        <v>9.3197289916912158</v>
      </c>
      <c r="AG56" s="9" cm="1">
        <f t="array" ref="AG56">IF(AG$51=-1,AH56,IF(AG$51=99,AF56,IF(AG$51=0,INDEX($L41:$T41,0,AG$49),(INDEX($L41:$T41,0,AG$51+1)-INDEX($L41:$T41,0,AG$51))/(INDEX($L$4:$T$4,0,AG$51+1)-INDEX($L$4:$T$4,0,AG$51))+AF56)))</f>
        <v>9.5535319906100611</v>
      </c>
      <c r="AH56" s="9" cm="1">
        <f t="array" ref="AH56">IF(AH$51=-1,AI56,IF(AH$51=99,AG56,IF(AH$51=0,INDEX($L41:$T41,0,AH$49),(INDEX($L41:$T41,0,AH$51+1)-INDEX($L41:$T41,0,AH$51))/(INDEX($L$4:$T$4,0,AH$51+1)-INDEX($L$4:$T$4,0,AH$51))+AG56)))</f>
        <v>9.776318409672351</v>
      </c>
      <c r="AI56" s="9" cm="1">
        <f t="array" ref="AI56">IF(AI$51=-1,AJ56,IF(AI$51=99,AH56,IF(AI$51=0,INDEX($L41:$T41,0,AI$49),(INDEX($L41:$T41,0,AI$51+1)-INDEX($L41:$T41,0,AI$51))/(INDEX($L$4:$T$4,0,AI$51+1)-INDEX($L$4:$T$4,0,AI$51))+AH56)))</f>
        <v>9.9991048287346409</v>
      </c>
      <c r="AJ56" s="9" cm="1">
        <f t="array" ref="AJ56">IF(AJ$51=-1,AK56,IF(AJ$51=99,AI56,IF(AJ$51=0,INDEX($L41:$T41,0,AJ$49),(INDEX($L41:$T41,0,AJ$51+1)-INDEX($L41:$T41,0,AJ$51))/(INDEX($L$4:$T$4,0,AJ$51+1)-INDEX($L$4:$T$4,0,AJ$51))+AI56)))</f>
        <v>10.221891247796931</v>
      </c>
      <c r="AK56" s="9" cm="1">
        <f t="array" ref="AK56">IF(AK$51=-1,AL56,IF(AK$51=99,AJ56,IF(AK$51=0,INDEX($L41:$T41,0,AK$49),(INDEX($L41:$T41,0,AK$51+1)-INDEX($L41:$T41,0,AK$51))/(INDEX($L$4:$T$4,0,AK$51+1)-INDEX($L$4:$T$4,0,AK$51))+AJ56)))</f>
        <v>10.444677666859221</v>
      </c>
      <c r="AL56" s="9" cm="1">
        <f t="array" ref="AL56">IF(AL$51=-1,AM56,IF(AL$51=99,AK56,IF(AL$51=0,INDEX($L41:$T41,0,AL$49),(INDEX($L41:$T41,0,AL$51+1)-INDEX($L41:$T41,0,AL$51))/(INDEX($L$4:$T$4,0,AL$51+1)-INDEX($L$4:$T$4,0,AL$51))+AK56)))</f>
        <v>10.667464085921511</v>
      </c>
      <c r="AM56" s="9" cm="1">
        <f t="array" ref="AM56">IF(AM$51=-1,AN56,IF(AM$51=99,AL56,IF(AM$51=0,INDEX($L41:$T41,0,AM$49),(INDEX($L41:$T41,0,AM$51+1)-INDEX($L41:$T41,0,AM$51))/(INDEX($L$4:$T$4,0,AM$51+1)-INDEX($L$4:$T$4,0,AM$51))+AL56)))</f>
        <v>11.781396181232953</v>
      </c>
      <c r="AN56" s="9" cm="1">
        <f t="array" ref="AN56">IF(AN$51=-1,AO56,IF(AN$51=99,AM56,IF(AN$51=0,INDEX($L41:$T41,0,AN$49),(INDEX($L41:$T41,0,AN$51+1)-INDEX($L41:$T41,0,AN$51))/(INDEX($L$4:$T$4,0,AN$51+1)-INDEX($L$4:$T$4,0,AN$51))+AM56)))</f>
        <v>14.677578287784621</v>
      </c>
      <c r="AO56" s="9" cm="1">
        <f t="array" ref="AO56">IF(AO$51=-1,AP56,IF(AO$51=99,AN56,IF(AO$51=0,INDEX($L41:$T41,0,AO$49),(INDEX($L41:$T41,0,AO$51+1)-INDEX($L41:$T41,0,AO$51))/(INDEX($L$4:$T$4,0,AO$51+1)-INDEX($L$4:$T$4,0,AO$51))+AN56)))</f>
        <v>16.051211812849594</v>
      </c>
    </row>
  </sheetData>
  <mergeCells count="1">
    <mergeCell ref="B2:C2"/>
  </mergeCells>
  <hyperlinks>
    <hyperlink ref="B3" r:id="rId1" display="https://dataportal.opendataforafrica.org/nbyenxf/afdb-socio-economic-database-1960-2021"/>
  </hyperlinks>
  <pageMargins left="0.7" right="0.7" top="0.75" bottom="0.75" header="0.3" footer="0.3"/>
  <drawing r:id="rId3"/>
  <legacyDrawing r:id="rId4"/>
</worksheet>
</file>

<file path=docProps/app.xml><?xml version="1.0" encoding="utf-8"?>
<Properties xmlns="http://schemas.openxmlformats.org/officeDocument/2006/extended-properties" xmlns:vt="http://schemas.openxmlformats.org/officeDocument/2006/docPropsVTypes">
  <Application>Microsoft Excel</Application>
  <AppVersion>16.0300</AppVersion>
  <DocSecurity>0</DocSecurity>
  <ScaleCrop>false</ScaleCrop>
  <HeadingPairs>
    <vt:vector size="2" baseType="variant">
      <vt:variant>
        <vt:lpstr>Worksheets</vt:lpstr>
      </vt:variant>
      <vt:variant>
        <vt:i4>17</vt:i4>
      </vt:variant>
    </vt:vector>
  </HeadingPairs>
  <TitlesOfParts>
    <vt:vector size="17"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vector>
  </TitlesOfParts>
  <Template/>
  <Manager/>
  <Company/>
  <LinksUpToDate>false</LinksUpToDate>
  <SharedDoc>false</SharedDoc>
  <HyperlinksChanged>false</HyperlinksChanged>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Luis</dc:creator>
  <cp:keywords/>
  <dc:description>+ PAMS scenarios</dc:description>
  <cp:lastModifiedBy>Bruno Merven</cp:lastModifiedBy>
  <dcterms:created xsi:type="dcterms:W3CDTF">2011-09-16T10:01:44Z</dcterms:created>
  <dcterms:modified xsi:type="dcterms:W3CDTF">2024-03-15T13:51:26Z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