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13_ncr:1_{8C38C3A4-A964-4B77-9B63-D4E7A72057E5}" xr6:coauthVersionLast="47" xr6:coauthVersionMax="47" xr10:uidLastSave="{00000000-0000-0000-0000-000000000000}"/>
  <bookViews>
    <workbookView xWindow="-5220" yWindow="-21600" windowWidth="19200" windowHeight="21000" activeTab="2" xr2:uid="{671607C8-68C0-4A87-A5B4-32E28DB1AABF}"/>
    <workbookView xWindow="13980" yWindow="-21600" windowWidth="19200" windowHeight="21000" xr2:uid="{18CA13B4-ACC4-4061-97D6-B78A60FFEB89}"/>
  </bookViews>
  <sheets>
    <sheet name="SUP" sheetId="1" r:id="rId1"/>
    <sheet name="Liq Fuel Prices" sheetId="2" r:id="rId2"/>
    <sheet name="IEA_WE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" l="1"/>
  <c r="I16" i="1"/>
  <c r="G16" i="1"/>
  <c r="Q16" i="1"/>
  <c r="Q17" i="1"/>
  <c r="Q18" i="1"/>
  <c r="P18" i="1"/>
  <c r="P17" i="1"/>
  <c r="P16" i="1"/>
  <c r="O16" i="1"/>
  <c r="I59" i="1"/>
  <c r="J59" i="1"/>
  <c r="K59" i="1"/>
  <c r="H59" i="1" l="1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42" i="3" s="1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42" i="3" s="1"/>
  <c r="BC33" i="3"/>
  <c r="T35" i="3"/>
  <c r="U35" i="3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H45" i="3" s="1"/>
  <c r="AI35" i="3"/>
  <c r="AJ35" i="3"/>
  <c r="AM35" i="3"/>
  <c r="AN35" i="3"/>
  <c r="AO35" i="3"/>
  <c r="AP35" i="3"/>
  <c r="AP45" i="3" s="1"/>
  <c r="AQ35" i="3"/>
  <c r="AR35" i="3"/>
  <c r="AS35" i="3"/>
  <c r="AT35" i="3"/>
  <c r="AU45" i="3" s="1"/>
  <c r="AU35" i="3"/>
  <c r="AV35" i="3"/>
  <c r="AV45" i="3" s="1"/>
  <c r="AW35" i="3"/>
  <c r="AW45" i="3" s="1"/>
  <c r="AX35" i="3"/>
  <c r="AY35" i="3"/>
  <c r="AZ45" i="3" s="1"/>
  <c r="AZ35" i="3"/>
  <c r="BA35" i="3"/>
  <c r="BA45" i="3" s="1"/>
  <c r="BB35" i="3"/>
  <c r="BC35" i="3"/>
  <c r="T36" i="3"/>
  <c r="U36" i="3"/>
  <c r="V36" i="3"/>
  <c r="W46" i="3" s="1"/>
  <c r="W36" i="3"/>
  <c r="X36" i="3"/>
  <c r="X46" i="3" s="1"/>
  <c r="Y36" i="3"/>
  <c r="Y46" i="3" s="1"/>
  <c r="Z36" i="3"/>
  <c r="AA36" i="3"/>
  <c r="AA46" i="3" s="1"/>
  <c r="AB36" i="3"/>
  <c r="AC36" i="3"/>
  <c r="AC46" i="3" s="1"/>
  <c r="AD36" i="3"/>
  <c r="AE36" i="3"/>
  <c r="AF36" i="3"/>
  <c r="AF46" i="3" s="1"/>
  <c r="AG36" i="3"/>
  <c r="AH36" i="3"/>
  <c r="AI46" i="3" s="1"/>
  <c r="AI36" i="3"/>
  <c r="AJ36" i="3"/>
  <c r="AJ46" i="3" s="1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46" i="3" s="1"/>
  <c r="AW36" i="3"/>
  <c r="AX36" i="3"/>
  <c r="AX46" i="3" s="1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Z37" i="3"/>
  <c r="Z47" i="3" s="1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Y47" i="3" s="1"/>
  <c r="AO37" i="3"/>
  <c r="AO47" i="3" s="1"/>
  <c r="AP37" i="3"/>
  <c r="AQ37" i="3"/>
  <c r="AQ47" i="3" s="1"/>
  <c r="AR37" i="3"/>
  <c r="AS37" i="3"/>
  <c r="AS47" i="3" s="1"/>
  <c r="AT37" i="3"/>
  <c r="AU37" i="3"/>
  <c r="AU47" i="3" s="1"/>
  <c r="AV37" i="3"/>
  <c r="AW47" i="3" s="1"/>
  <c r="AW37" i="3"/>
  <c r="AX37" i="3"/>
  <c r="AY37" i="3"/>
  <c r="AZ37" i="3"/>
  <c r="AZ47" i="3" s="1"/>
  <c r="BA37" i="3"/>
  <c r="BA47" i="3" s="1"/>
  <c r="BB37" i="3"/>
  <c r="BC37" i="3"/>
  <c r="BC47" i="3" s="1"/>
  <c r="T38" i="3"/>
  <c r="U38" i="3"/>
  <c r="AA48" i="3" s="1"/>
  <c r="V38" i="3"/>
  <c r="W38" i="3"/>
  <c r="W48" i="3" s="1"/>
  <c r="X38" i="3"/>
  <c r="Y48" i="3" s="1"/>
  <c r="Y38" i="3"/>
  <c r="Z38" i="3"/>
  <c r="Z48" i="3" s="1"/>
  <c r="AA38" i="3"/>
  <c r="AB38" i="3"/>
  <c r="AB48" i="3" s="1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P48" i="3" s="1"/>
  <c r="AQ38" i="3"/>
  <c r="AQ48" i="3" s="1"/>
  <c r="AR38" i="3"/>
  <c r="AS38" i="3"/>
  <c r="AS48" i="3" s="1"/>
  <c r="AT38" i="3"/>
  <c r="AT48" i="3" s="1"/>
  <c r="AU38" i="3"/>
  <c r="AU48" i="3" s="1"/>
  <c r="AV38" i="3"/>
  <c r="AW38" i="3"/>
  <c r="AW48" i="3" s="1"/>
  <c r="AX38" i="3"/>
  <c r="AY38" i="3"/>
  <c r="AZ38" i="3"/>
  <c r="AZ48" i="3" s="1"/>
  <c r="BA38" i="3"/>
  <c r="BB38" i="3"/>
  <c r="BB48" i="3" s="1"/>
  <c r="BC38" i="3"/>
  <c r="BC48" i="3" s="1"/>
  <c r="D41" i="3"/>
  <c r="E41" i="3"/>
  <c r="F41" i="3"/>
  <c r="W42" i="3"/>
  <c r="X42" i="3"/>
  <c r="AC42" i="3"/>
  <c r="AI42" i="3"/>
  <c r="AJ42" i="3"/>
  <c r="AF45" i="3"/>
  <c r="AT45" i="3"/>
  <c r="AY45" i="3"/>
  <c r="V46" i="3"/>
  <c r="AP46" i="3"/>
  <c r="D47" i="3"/>
  <c r="E47" i="3"/>
  <c r="D48" i="3" s="1"/>
  <c r="F47" i="3"/>
  <c r="G47" i="3"/>
  <c r="H47" i="3"/>
  <c r="I47" i="3"/>
  <c r="Y47" i="3"/>
  <c r="AX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4" i="1"/>
  <c r="G15" i="1"/>
  <c r="H15" i="1" s="1"/>
  <c r="F16" i="1"/>
  <c r="F21" i="1" s="1"/>
  <c r="F22" i="1" s="1"/>
  <c r="F34" i="1" s="1"/>
  <c r="O17" i="1"/>
  <c r="O18" i="1" s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G37" i="1" s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AI31" i="1" l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F43" i="3" s="1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U39" i="1" s="1"/>
  <c r="T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J58" i="1" s="1"/>
  <c r="K58" i="1" s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CR96" i="3"/>
  <c r="CM102" i="3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A43" i="3" s="1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Y43" i="3" s="1"/>
  <c r="AP42" i="3"/>
  <c r="AF48" i="3"/>
  <c r="I12" i="2" a="1"/>
  <c r="G77" i="3"/>
  <c r="I91" i="1" l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U41" i="1"/>
  <c r="U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U42" i="1" l="1"/>
  <c r="U37" i="1"/>
  <c r="S37" i="1" s="1"/>
  <c r="U40" i="1"/>
  <c r="T40" i="1" s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R37" i="1"/>
  <c r="E37" i="1" s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S40" i="1" l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I37" i="1"/>
  <c r="K62" i="1" s="1"/>
  <c r="F37" i="1"/>
  <c r="H62" i="1" s="1"/>
  <c r="G37" i="1"/>
  <c r="I62" i="1" s="1"/>
  <c r="H37" i="1"/>
  <c r="J62" i="1" s="1"/>
  <c r="H64" i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K64" i="1" l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U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U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V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<sst xmlns="http://schemas.openxmlformats.org/spreadsheetml/2006/main" count="747" uniqueCount="414">
  <si>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</si>
  <si>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</si>
  <si>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</si>
  <si>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</si>
  <si>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</si>
  <si>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</si>
  <si>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</si>
  <si>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</si>
  <si>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</si>
  <si>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</si>
  <si>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</si>
  <si>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</si>
  <si>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</si>
  <si>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</si>
  <si>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</si>
  <si>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</si>
  <si>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</si>
  <si>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</si>
  <si>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</si>
  <si>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</si>
  <si>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</si>
  <si>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</si>
  <si>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</si>
  <si>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</si>
  <si>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</si>
  <si>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</si>
  <si>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</si>
  <si>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</si>
  <si>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</si>
  <si>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</si>
  <si>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</si>
  <si>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</si>
  <si>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</si>
  <si>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</si>
  <si>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</si>
  <si>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</si>
  <si>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</si>
  <si>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</si>
  <si>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</si>
  <si>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</si>
  <si>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</si>
  <si>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</si>
  <si>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</si>
  <si>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</si>
  <si>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</si>
  <si>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</si>
  <si>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</si>
  <si>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</si>
  <si>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</si>
  <si>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</si>
  <si>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</si>
  <si>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</si>
  <si>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</si>
  <si>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</si>
  <si>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</si>
  <si>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</si>
  <si>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</si>
  <si>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</si>
  <si>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</si>
  <si>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</si>
  <si>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</si>
  <si>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</si>
  <si>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</si>
  <si>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</si>
  <si>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</si>
  <si>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</si>
  <si>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</si>
  <si>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</si>
  <si>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</si>
  <si>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</si>
  <si>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</si>
  <si>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</si>
  <si>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</si>
  <si>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</si>
  <si>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</si>
  <si>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</si>
  <si>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</si>
  <si>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</si>
  <si>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</si>
  <si>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</si>
  <si>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</si>
  <si>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</si>
  <si>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</si>
  <si>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</si>
  <si>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</si>
  <si>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</si>
  <si>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</si>
  <si>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</si>
  <si>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</si>
  <si>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</si>
  <si>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</si>
  <si>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</si>
  <si>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</si>
  <si>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</si>
  <si>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</si>
  <si>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</si>
  <si>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</si>
  <si>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</si>
  <si>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</si>
  <si>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</si>
  <si>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</si>
  <si>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</si>
  <si>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</si>
  <si>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</si>
  <si>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</si>
  <si>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</si>
  <si>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</si>
  <si>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</si>
  <si>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</si>
  <si>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</si>
  <si>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</si>
  <si>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</si>
  <si>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</si>
  <si>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</si>
  <si>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</si>
  <si>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</si>
  <si>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</si>
  <si>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</si>
  <si>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</si>
  <si>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</si>
  <si>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</si>
  <si>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</si>
  <si>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</si>
  <si>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</si>
  <si>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</si>
  <si>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</si>
  <si>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</si>
  <si>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</si>
  <si>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</si>
  <si>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</si>
  <si>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</si>
  <si>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</si>
  <si>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</si>
  <si>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</si>
  <si>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</si>
  <si>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</si>
  <si>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</si>
  <si>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</si>
  <si>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</si>
  <si>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</si>
  <si>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</si>
  <si>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</si>
  <si>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</si>
  <si>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</si>
  <si>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</si>
  <si>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</si>
  <si>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</si>
  <si>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</si>
  <si>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</si>
  <si>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</si>
  <si>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</si>
  <si>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</si>
  <si>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</si>
  <si>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</si>
  <si>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</si>
  <si>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</si>
  <si>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</si>
  <si>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</si>
  <si>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</si>
  <si>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</si>
  <si>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</si>
  <si>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</si>
  <si>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</si>
  <si>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</si>
  <si>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</si>
  <si>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</si>
  <si>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</si>
  <si>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</si>
  <si>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</si>
  <si>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</si>
  <si>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</si>
  <si>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</si>
  <si>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</si>
  <si>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</si>
  <si>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</si>
  <si>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</si>
  <si>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</si>
  <si>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</si>
  <si>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</si>
  <si>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</si>
  <si>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</si>
  <si>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</si>
  <si>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</si>
  <si>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</si>
  <si>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</si>
  <si>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</si>
  <si>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</si>
  <si>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</si>
  <si>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</si>
  <si>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</si>
  <si>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</si>
  <si>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</si>
  <si>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</si>
  <si>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</si>
  <si>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</si>
  <si>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</si>
  <si>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</si>
  <si>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</si>
  <si>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</si>
  <si>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</si>
  <si>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</si>
  <si>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</si>
  <si>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</si>
  <si>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</si>
  <si>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</si>
  <si>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</si>
  <si>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</si>
  <si>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</si>
  <si>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</si>
  <si>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</si>
  <si>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</si>
  <si>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</si>
  <si>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</si>
  <si>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</si>
  <si>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</si>
  <si>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</si>
  <si>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</si>
  <si>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</si>
  <si>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</si>
  <si>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</si>
  <si>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</si>
  <si>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</si>
  <si>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</si>
  <si>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</si>
  <si>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</si>
  <si>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</si>
  <si>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</si>
  <si>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</si>
  <si>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</si>
  <si>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</si>
  <si>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</si>
  <si>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</si>
  <si>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</si>
  <si>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</si>
  <si>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</si>
  <si>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</si>
  <si>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</si>
  <si>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</si>
  <si>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</si>
  <si>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</si>
  <si>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</si>
  <si>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</si>
  <si>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</si>
  <si>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</si>
  <si>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</si>
  <si>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</si>
  <si>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</si>
  <si>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</si>
  <si>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</si>
  <si>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</si>
  <si>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</si>
  <si>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</si>
  <si>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</si>
  <si>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</si>
  <si>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</si>
  <si>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</si>
  <si>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</si>
  <si>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</si>
  <si>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</si>
  <si>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</si>
  <si>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</si>
  <si>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</si>
  <si>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</si>
  <si>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</si>
  <si>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</si>
  <si>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</si>
  <si>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</si>
  <si>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</si>
  <si>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</si>
  <si>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</si>
  <si>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</si>
  <si>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</si>
  <si>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</si>
  <si>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</si>
  <si>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</si>
  <si>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</si>
  <si>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</si>
  <si>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</si>
  <si>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</si>
  <si>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</si>
  <si>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</si>
  <si>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</si>
  <si>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</si>
  <si>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</si>
  <si>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</si>
  <si>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</si>
  <si>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</si>
  <si>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</si>
  <si>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</si>
  <si>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</si>
  <si>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</si>
  <si>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</si>
  <si>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</si>
  <si>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</si>
  <si>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</si>
  <si>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</si>
  <si>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</si>
  <si>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</si>
  <si>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</si>
  <si>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</si>
  <si>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</si>
  <si>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</si>
  <si>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</si>
  <si>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</si>
  <si>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</si>
  <si>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</si>
  <si>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</si>
  <si>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</si>
  <si>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</si>
  <si>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</si>
  <si>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</si>
  <si>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</si>
  <si>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</si>
  <si>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</si>
  <si>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</si>
  <si>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</si>
  <si>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</si>
  <si>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</si>
  <si>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</si>
  <si>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</si>
  <si>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</si>
  <si>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</si>
  <si>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</si>
  <si>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</si>
  <si>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</si>
  <si>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</si>
  <si>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</si>
  <si>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</si>
  <si>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</si>
  <si>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</si>
  <si>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</si>
  <si>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</si>
  <si>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</si>
  <si>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</si>
  <si>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</si>
  <si>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</si>
  <si>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</si>
  <si>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</si>
  <si>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</si>
  <si>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</si>
  <si>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</si>
  <si>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</si>
  <si>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</si>
  <si>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</si>
  <si>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</si>
  <si>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</si>
  <si>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</si>
  <si>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</si>
  <si>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</si>
  <si>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</si>
  <si>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</si>
  <si>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</si>
  <si>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</si>
  <si>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</si>
  <si>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</si>
  <si>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</si>
  <si>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</si>
  <si>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</si>
  <si>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</si>
  <si>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</si>
  <si>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</si>
  <si>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</si>
  <si>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</si>
  <si>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</si>
  <si>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</si>
  <si>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</si>
  <si>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</si>
  <si>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</si>
  <si>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</si>
  <si>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</si>
  <si>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</si>
  <si>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</si>
  <si>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</si>
  <si>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</si>
  <si>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</si>
  <si>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</si>
  <si>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</si>
  <si>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</si>
  <si>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</si>
  <si>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</si>
  <si>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</si>
  <si>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</si>
  <si>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</si>
  <si>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</si>
  <si>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</si>
  <si>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</si>
  <si>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</si>
  <si>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</si>
  <si>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</si>
  <si>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</si>
  <si>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</si>
  <si>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</si>
  <si>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</si>
  <si>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</si>
  <si>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</si>
  <si>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</si>
  <si>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</si>
  <si>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</si>
  <si>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</si>
  <si>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</si>
  <si>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</si>
  <si>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</si>
  <si>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</si>
  <si>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</si>
  <si>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</si>
  <si>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</si>
  <si>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</si>
  <si>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</si>
  <si>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</si>
  <si>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</si>
  <si>
    <t>STEPS</t>
  </si>
  <si>
    <t>APS</t>
  </si>
  <si>
    <t>NZE</t>
  </si>
  <si>
    <t>WEO 2023 Alternative Oil Price Scenarios (2022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</si>
</sst>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1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1" fontId="8" fillId="0" borderId="21" xfId="8" applyNumberFormat="1" applyBorder="1"/>
    <xf numFmtId="1" fontId="8" fillId="0" borderId="0" xfId="8" applyNumberFormat="1"/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5.xml"/><Relationship Id="rId6" Type="http://schemas.openxmlformats.org/officeDocument/2006/relationships/image" Target="../media/image10.emf"/><Relationship Id="rId11" Type="http://schemas.openxmlformats.org/officeDocument/2006/relationships/chart" Target="../charts/chart8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6.xml"/><Relationship Id="rId9" Type="http://schemas.openxmlformats.org/officeDocument/2006/relationships/chart" Target="../charts/chart7.xml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  <xdr:twoCellAnchor editAs="oneCell">
    <xdr:from>
      <xdr:col>121</xdr:col>
      <xdr:colOff>238125</xdr:colOff>
      <xdr:row>66</xdr:row>
      <xdr:rowOff>47625</xdr:rowOff>
    </xdr:from>
    <xdr:to>
      <xdr:col>130</xdr:col>
      <xdr:colOff>466725</xdr:colOff>
      <xdr:row>91</xdr:row>
      <xdr:rowOff>169034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3FA65-FD9E-B7FA-AD4B-A82C6E70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219675" y="12696825"/>
          <a:ext cx="7086600" cy="58173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HFO for material use</v>
          </cell>
          <cell r="C41" t="str">
            <v>OMU</v>
          </cell>
        </row>
        <row r="42">
          <cell r="B42" t="str">
            <v>Oil Kerosene</v>
          </cell>
          <cell r="C42" t="str">
            <v>OKE</v>
          </cell>
        </row>
        <row r="43">
          <cell r="B43" t="str">
            <v>Oil LPG</v>
          </cell>
          <cell r="C43" t="str">
            <v>OLP</v>
          </cell>
        </row>
        <row r="44">
          <cell r="B44" t="str">
            <v>Oil Other</v>
          </cell>
          <cell r="C44" t="str">
            <v>OTH</v>
          </cell>
        </row>
        <row r="45">
          <cell r="B45" t="str">
            <v>Solar</v>
          </cell>
          <cell r="C45" t="str">
            <v>SOL</v>
          </cell>
        </row>
        <row r="46">
          <cell r="B46" t="str">
            <v>Wind</v>
          </cell>
          <cell r="C46" t="str">
            <v>WND</v>
          </cell>
        </row>
        <row r="52">
          <cell r="B52" t="str">
            <v>Sector Short</v>
          </cell>
          <cell r="C52" t="str">
            <v>Sector Long</v>
          </cell>
        </row>
        <row r="53">
          <cell r="B53" t="str">
            <v>AGR</v>
          </cell>
          <cell r="C53" t="str">
            <v>Agriculture</v>
          </cell>
        </row>
        <row r="54">
          <cell r="B54" t="str">
            <v>COM</v>
          </cell>
          <cell r="C54" t="str">
            <v>Commerce</v>
          </cell>
        </row>
        <row r="55">
          <cell r="B55" t="str">
            <v>IND</v>
          </cell>
          <cell r="C55" t="str">
            <v>Industry</v>
          </cell>
        </row>
        <row r="56">
          <cell r="B56" t="str">
            <v>PWR</v>
          </cell>
          <cell r="C56" t="str">
            <v>Power</v>
          </cell>
        </row>
        <row r="57">
          <cell r="B57" t="str">
            <v>RES</v>
          </cell>
          <cell r="C57" t="str">
            <v>Residential</v>
          </cell>
        </row>
        <row r="58">
          <cell r="B58" t="str">
            <v>TRA</v>
          </cell>
          <cell r="C58" t="str">
            <v>Transport</v>
          </cell>
        </row>
        <row r="59">
          <cell r="B59" t="str">
            <v>UPS</v>
          </cell>
          <cell r="C59" t="str">
            <v>Upstream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workbookViewId="0">
      <selection activeCell="P17" sqref="P17"/>
    </sheetView>
    <sheetView tabSelected="1" topLeftCell="D1" workbookViewId="1">
      <selection activeCell="G16" sqref="G16:I16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40" t="s">
        <v>127</v>
      </c>
      <c r="C1" s="140"/>
      <c r="D1" s="140"/>
      <c r="E1" s="140"/>
    </row>
    <row r="2" spans="1:53" ht="13.5" thickTop="1" x14ac:dyDescent="0.2"/>
    <row r="3" spans="1:53" ht="15.75" x14ac:dyDescent="0.25">
      <c r="A3" s="138" t="s">
        <v>9</v>
      </c>
      <c r="B3" s="208" t="s">
        <v>126</v>
      </c>
      <c r="C3" s="208"/>
      <c r="D3" s="208"/>
      <c r="E3" s="139" t="s">
        <v>125</v>
      </c>
      <c r="F3" s="139"/>
      <c r="G3" s="44"/>
      <c r="H3" s="138"/>
      <c r="I3" s="44"/>
      <c r="J3" s="138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124</v>
      </c>
      <c r="D5" s="33"/>
    </row>
    <row r="6" spans="1:53" x14ac:dyDescent="0.2">
      <c r="A6" s="44" t="s">
        <v>123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7" t="s">
        <v>122</v>
      </c>
      <c r="B7" s="136"/>
      <c r="C7" s="23" t="s">
        <v>374</v>
      </c>
      <c r="D7" s="23" t="s">
        <v>375</v>
      </c>
      <c r="E7" s="23" t="s">
        <v>376</v>
      </c>
      <c r="F7" s="23" t="s">
        <v>377</v>
      </c>
      <c r="G7" s="23" t="s">
        <v>378</v>
      </c>
      <c r="H7" s="23" t="s">
        <v>379</v>
      </c>
      <c r="I7" s="23" t="s">
        <v>108</v>
      </c>
      <c r="J7" s="23" t="s">
        <v>380</v>
      </c>
      <c r="K7" s="23" t="s">
        <v>327</v>
      </c>
      <c r="L7" s="23" t="s">
        <v>381</v>
      </c>
      <c r="M7" s="23" t="s">
        <v>382</v>
      </c>
      <c r="O7" s="136"/>
      <c r="P7" s="136"/>
      <c r="Q7" s="136" t="s">
        <v>383</v>
      </c>
      <c r="R7" s="136" t="s">
        <v>384</v>
      </c>
      <c r="U7" s="136" t="s">
        <v>385</v>
      </c>
      <c r="V7" s="136" t="s">
        <v>386</v>
      </c>
      <c r="W7" s="23" t="s">
        <v>387</v>
      </c>
      <c r="X7" s="135" t="s">
        <v>342</v>
      </c>
      <c r="Y7" s="135" t="s">
        <v>343</v>
      </c>
      <c r="AA7" s="135" t="s">
        <v>341</v>
      </c>
      <c r="AC7" s="134" t="s">
        <v>339</v>
      </c>
      <c r="AE7" s="134" t="s">
        <v>340</v>
      </c>
      <c r="AH7" s="23" t="s">
        <v>388</v>
      </c>
      <c r="AJ7" s="23" t="s">
        <v>389</v>
      </c>
      <c r="AK7" s="23" t="s">
        <v>390</v>
      </c>
      <c r="AL7" s="23" t="s">
        <v>391</v>
      </c>
      <c r="AM7" s="23" t="s">
        <v>392</v>
      </c>
      <c r="AN7" s="23" t="s">
        <v>393</v>
      </c>
      <c r="AO7" s="23" t="s">
        <v>324</v>
      </c>
      <c r="AP7" s="23" t="s">
        <v>394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395</v>
      </c>
      <c r="AX7" s="23" t="s">
        <v>396</v>
      </c>
      <c r="AY7" s="23" t="s">
        <v>397</v>
      </c>
    </row>
    <row r="8" spans="1:53" x14ac:dyDescent="0.2">
      <c r="A8" s="44" t="s">
        <v>121</v>
      </c>
      <c r="B8" s="12"/>
      <c r="C8" s="15" t="s">
        <v>351</v>
      </c>
      <c r="D8" s="15" t="s">
        <v>370</v>
      </c>
      <c r="E8" s="15" t="s">
        <v>369</v>
      </c>
      <c r="F8" s="15" t="s">
        <v>352</v>
      </c>
      <c r="G8" s="15" t="s">
        <v>353</v>
      </c>
      <c r="H8" s="15" t="s">
        <v>354</v>
      </c>
      <c r="I8" s="15" t="s">
        <v>344</v>
      </c>
      <c r="J8" s="15" t="s">
        <v>359</v>
      </c>
      <c r="K8" s="15" t="s">
        <v>346</v>
      </c>
      <c r="L8" s="15" t="s">
        <v>345</v>
      </c>
      <c r="M8" s="15" t="s">
        <v>398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348</v>
      </c>
      <c r="V8" s="15" t="s">
        <v>371</v>
      </c>
      <c r="W8" s="15" t="s">
        <v>399</v>
      </c>
      <c r="X8" s="15" t="s">
        <v>360</v>
      </c>
      <c r="Y8" s="15" t="s">
        <v>361</v>
      </c>
      <c r="Z8" s="15"/>
      <c r="AA8" s="15" t="s">
        <v>372</v>
      </c>
      <c r="AB8" s="15"/>
      <c r="AC8" s="15" t="s">
        <v>349</v>
      </c>
      <c r="AD8" s="15"/>
      <c r="AE8" s="15" t="s">
        <v>350</v>
      </c>
      <c r="AF8" s="15"/>
      <c r="AG8" s="15"/>
      <c r="AH8" s="15" t="s">
        <v>400</v>
      </c>
      <c r="AI8" s="15"/>
      <c r="AJ8" s="15" t="s">
        <v>401</v>
      </c>
      <c r="AK8" s="15" t="s">
        <v>402</v>
      </c>
      <c r="AL8" s="15" t="s">
        <v>403</v>
      </c>
      <c r="AM8" s="15" t="s">
        <v>356</v>
      </c>
      <c r="AN8" s="15" t="s">
        <v>404</v>
      </c>
      <c r="AO8" s="15" t="s">
        <v>362</v>
      </c>
      <c r="AP8" s="15" t="s">
        <v>363</v>
      </c>
      <c r="AQ8" s="15" t="s">
        <v>347</v>
      </c>
      <c r="AR8" s="15" t="s">
        <v>364</v>
      </c>
      <c r="AS8" s="15" t="s">
        <v>365</v>
      </c>
      <c r="AT8" s="15" t="s">
        <v>366</v>
      </c>
      <c r="AU8" s="15" t="s">
        <v>368</v>
      </c>
      <c r="AV8" s="15" t="s">
        <v>367</v>
      </c>
      <c r="AW8" s="15" t="s">
        <v>405</v>
      </c>
      <c r="AX8" s="15" t="s">
        <v>357</v>
      </c>
      <c r="AY8" s="15" t="s">
        <v>358</v>
      </c>
      <c r="AZ8" s="15"/>
      <c r="BA8" s="15"/>
    </row>
    <row r="9" spans="1:53" x14ac:dyDescent="0.2">
      <c r="A9" s="44" t="s">
        <v>120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3">
        <v>0</v>
      </c>
      <c r="D10" s="133">
        <v>0</v>
      </c>
      <c r="E10" s="133">
        <v>0</v>
      </c>
      <c r="F10" s="133">
        <v>0</v>
      </c>
      <c r="G10" s="133">
        <v>0</v>
      </c>
      <c r="H10" s="133">
        <v>0</v>
      </c>
      <c r="I10" s="133">
        <v>6136.3929900000003</v>
      </c>
      <c r="J10" s="133">
        <v>49.117144000000003</v>
      </c>
      <c r="K10" s="133">
        <v>0</v>
      </c>
      <c r="L10" s="133">
        <v>0</v>
      </c>
      <c r="M10" s="133">
        <v>0</v>
      </c>
      <c r="N10" s="133"/>
      <c r="O10" s="133"/>
      <c r="P10" s="133"/>
      <c r="Q10" s="133">
        <v>830.00738649024674</v>
      </c>
      <c r="R10" s="133">
        <v>0</v>
      </c>
      <c r="S10" s="133"/>
      <c r="T10" s="133"/>
      <c r="U10" s="133">
        <v>42.534198286413705</v>
      </c>
      <c r="V10" s="133">
        <v>0</v>
      </c>
      <c r="W10" s="133">
        <v>0</v>
      </c>
      <c r="X10" s="133">
        <v>0</v>
      </c>
      <c r="Y10" s="133">
        <v>0</v>
      </c>
      <c r="Z10" s="133"/>
      <c r="AA10" s="133">
        <v>0</v>
      </c>
      <c r="AB10" s="133"/>
      <c r="AC10" s="133">
        <v>0</v>
      </c>
      <c r="AD10" s="133"/>
      <c r="AE10" s="133">
        <v>0</v>
      </c>
      <c r="AF10" s="133">
        <v>0</v>
      </c>
      <c r="AG10" s="133"/>
      <c r="AH10" s="133">
        <v>0</v>
      </c>
      <c r="AI10" s="133"/>
      <c r="AJ10" s="133">
        <v>0</v>
      </c>
      <c r="AK10" s="133">
        <v>0</v>
      </c>
      <c r="AL10" s="133">
        <v>0</v>
      </c>
      <c r="AM10" s="133">
        <v>0</v>
      </c>
      <c r="AN10" s="133">
        <v>0</v>
      </c>
      <c r="AO10" s="133">
        <v>0</v>
      </c>
      <c r="AP10" s="133">
        <v>0</v>
      </c>
      <c r="AQ10" s="133">
        <v>0</v>
      </c>
      <c r="AR10" s="133">
        <v>0</v>
      </c>
      <c r="AS10" s="133">
        <v>0</v>
      </c>
      <c r="AT10" s="133">
        <v>0</v>
      </c>
      <c r="AU10" s="133">
        <v>0</v>
      </c>
      <c r="AV10" s="133">
        <v>0</v>
      </c>
      <c r="AW10" s="133">
        <v>0</v>
      </c>
      <c r="AX10" s="133">
        <v>0</v>
      </c>
      <c r="AY10" s="133">
        <v>0</v>
      </c>
      <c r="AZ10" s="133"/>
      <c r="BA10" s="133"/>
    </row>
    <row r="11" spans="1:53" x14ac:dyDescent="0.2">
      <c r="A11" s="1" t="s">
        <v>31</v>
      </c>
      <c r="B11" s="39" t="s">
        <v>4</v>
      </c>
      <c r="C11" s="133">
        <v>0</v>
      </c>
      <c r="D11" s="133">
        <v>0</v>
      </c>
      <c r="E11" s="133">
        <v>0</v>
      </c>
      <c r="F11" s="133">
        <v>0</v>
      </c>
      <c r="G11" s="133">
        <v>0</v>
      </c>
      <c r="H11" s="133">
        <v>0</v>
      </c>
      <c r="I11" s="133">
        <v>3.1614299999999997</v>
      </c>
      <c r="J11" s="133">
        <v>57.42812</v>
      </c>
      <c r="K11" s="133">
        <v>0</v>
      </c>
      <c r="L11" s="133">
        <v>0</v>
      </c>
      <c r="M11" s="133">
        <v>0</v>
      </c>
      <c r="N11" s="133"/>
      <c r="O11" s="133"/>
      <c r="P11" s="133"/>
      <c r="Q11" s="133">
        <v>36.021597656250002</v>
      </c>
      <c r="R11" s="133">
        <v>0</v>
      </c>
      <c r="S11" s="133"/>
      <c r="T11" s="133"/>
      <c r="U11" s="133">
        <v>121.2211171875</v>
      </c>
      <c r="V11" s="133">
        <v>0</v>
      </c>
      <c r="W11" s="133">
        <v>0</v>
      </c>
      <c r="X11" s="133">
        <v>0</v>
      </c>
      <c r="Y11" s="133">
        <v>0</v>
      </c>
      <c r="Z11" s="133"/>
      <c r="AA11" s="133">
        <v>0</v>
      </c>
      <c r="AB11" s="133"/>
      <c r="AC11" s="133">
        <v>0</v>
      </c>
      <c r="AD11" s="133"/>
      <c r="AE11" s="133">
        <v>0</v>
      </c>
      <c r="AF11" s="133">
        <v>0</v>
      </c>
      <c r="AG11" s="133"/>
      <c r="AH11" s="133">
        <v>0</v>
      </c>
      <c r="AI11" s="133"/>
      <c r="AJ11" s="133">
        <v>0</v>
      </c>
      <c r="AK11" s="133">
        <v>0</v>
      </c>
      <c r="AL11" s="133">
        <v>0</v>
      </c>
      <c r="AM11" s="133">
        <v>0</v>
      </c>
      <c r="AN11" s="133">
        <v>0</v>
      </c>
      <c r="AO11" s="133">
        <v>170.374545454545</v>
      </c>
      <c r="AP11" s="133">
        <v>1.394321535205479</v>
      </c>
      <c r="AQ11" s="133">
        <v>941.22622485351599</v>
      </c>
      <c r="AR11" s="133">
        <v>140.06492</v>
      </c>
      <c r="AS11" s="133">
        <v>63.331960000000002</v>
      </c>
      <c r="AT11" s="133">
        <v>4.206396917894736</v>
      </c>
      <c r="AU11" s="133">
        <v>9.3231960462962959</v>
      </c>
      <c r="AV11" s="133">
        <v>0.405131744444444</v>
      </c>
      <c r="AW11" s="133">
        <v>0</v>
      </c>
      <c r="AX11" s="133">
        <v>0</v>
      </c>
      <c r="AY11" s="133">
        <v>0</v>
      </c>
      <c r="AZ11" s="133"/>
      <c r="BA11" s="133"/>
    </row>
    <row r="12" spans="1:53" ht="13.5" thickBot="1" x14ac:dyDescent="0.25">
      <c r="A12" s="1" t="s">
        <v>28</v>
      </c>
      <c r="B12" s="39" t="s">
        <v>4</v>
      </c>
      <c r="C12" s="133">
        <v>0</v>
      </c>
      <c r="D12" s="133">
        <v>0</v>
      </c>
      <c r="E12" s="133">
        <v>0</v>
      </c>
      <c r="F12" s="133">
        <v>0</v>
      </c>
      <c r="G12" s="133">
        <v>0</v>
      </c>
      <c r="H12" s="133">
        <v>0</v>
      </c>
      <c r="I12" s="133">
        <v>2129.9962500000001</v>
      </c>
      <c r="J12" s="133">
        <v>20.834015000000001</v>
      </c>
      <c r="K12" s="133">
        <v>0</v>
      </c>
      <c r="L12" s="133">
        <v>0</v>
      </c>
      <c r="M12" s="133">
        <v>0</v>
      </c>
      <c r="N12" s="133"/>
      <c r="O12" s="133"/>
      <c r="P12" s="133"/>
      <c r="Q12" s="133">
        <v>54.125999999999998</v>
      </c>
      <c r="R12" s="133">
        <v>0</v>
      </c>
      <c r="S12" s="133"/>
      <c r="T12" s="133"/>
      <c r="U12" s="133">
        <v>0</v>
      </c>
      <c r="V12" s="133">
        <v>0</v>
      </c>
      <c r="W12" s="133">
        <v>0</v>
      </c>
      <c r="X12" s="133">
        <v>0</v>
      </c>
      <c r="Y12" s="133">
        <v>0</v>
      </c>
      <c r="Z12" s="133"/>
      <c r="AA12" s="133">
        <v>0</v>
      </c>
      <c r="AB12" s="133"/>
      <c r="AC12" s="133">
        <v>0</v>
      </c>
      <c r="AD12" s="133"/>
      <c r="AE12" s="133">
        <v>0</v>
      </c>
      <c r="AF12" s="133">
        <v>0</v>
      </c>
      <c r="AG12" s="133"/>
      <c r="AH12" s="133">
        <v>0</v>
      </c>
      <c r="AI12" s="133"/>
      <c r="AJ12" s="133">
        <v>0</v>
      </c>
      <c r="AK12" s="133">
        <v>0</v>
      </c>
      <c r="AL12" s="133">
        <v>0</v>
      </c>
      <c r="AM12" s="133">
        <v>0</v>
      </c>
      <c r="AN12" s="133">
        <v>0</v>
      </c>
      <c r="AO12" s="133">
        <v>0</v>
      </c>
      <c r="AP12" s="133">
        <v>0.22564281164383562</v>
      </c>
      <c r="AQ12" s="133">
        <v>20.83803412968</v>
      </c>
      <c r="AR12" s="133">
        <v>28.73659252275862</v>
      </c>
      <c r="AS12" s="133">
        <v>3.5488458656756761</v>
      </c>
      <c r="AT12" s="133">
        <v>61.88735509894736</v>
      </c>
      <c r="AU12" s="133">
        <v>5.0273560461728382</v>
      </c>
      <c r="AV12" s="133">
        <v>0.54993525222222217</v>
      </c>
      <c r="AW12" s="133">
        <v>0</v>
      </c>
      <c r="AX12" s="133">
        <v>0</v>
      </c>
      <c r="AY12" s="133">
        <v>0</v>
      </c>
      <c r="AZ12" s="133"/>
      <c r="BA12" s="133"/>
    </row>
    <row r="13" spans="1:53" ht="15.75" thickBot="1" x14ac:dyDescent="0.3">
      <c r="A13" s="44"/>
      <c r="B13" s="39"/>
      <c r="C13" s="112"/>
      <c r="D13" s="112"/>
      <c r="M13" s="132" t="s">
        <v>413</v>
      </c>
      <c r="N13" s="131"/>
      <c r="O13" s="131"/>
      <c r="P13" s="130"/>
      <c r="Q13" s="129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28" t="s">
        <v>119</v>
      </c>
      <c r="B14" s="76"/>
      <c r="C14" s="76"/>
      <c r="D14" s="76"/>
      <c r="E14" s="76"/>
      <c r="F14" s="127">
        <v>2017</v>
      </c>
      <c r="G14" s="127">
        <v>2021</v>
      </c>
      <c r="H14" s="127">
        <v>2030</v>
      </c>
      <c r="I14" s="127">
        <v>2050</v>
      </c>
      <c r="M14" s="126"/>
      <c r="O14" s="15">
        <v>2021</v>
      </c>
      <c r="P14" s="15">
        <v>2030</v>
      </c>
      <c r="Q14" s="125">
        <f>I14</f>
        <v>2050</v>
      </c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24"/>
      <c r="P15" s="124"/>
      <c r="Q15" s="123"/>
      <c r="S15" s="122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1" t="s">
        <v>113</v>
      </c>
      <c r="D16" s="79" t="s">
        <v>112</v>
      </c>
      <c r="F16" s="120">
        <f>IEA_WEO!BZ94*1.165</f>
        <v>72.23</v>
      </c>
      <c r="G16" s="119">
        <f>SUMIF($M$15:$M$24,$D$16,O$15:O$24)</f>
        <v>74.52000000000001</v>
      </c>
      <c r="H16" s="119">
        <f t="shared" ref="H16:I16" si="2">SUMIF($M$15:$M$24,$D$16,P$15:P$24)</f>
        <v>42</v>
      </c>
      <c r="I16" s="119">
        <f t="shared" si="2"/>
        <v>25</v>
      </c>
      <c r="M16" s="118" t="s">
        <v>112</v>
      </c>
      <c r="O16" s="117">
        <f>IEA_WEO!DK96*(1+S15)</f>
        <v>74.52000000000001</v>
      </c>
      <c r="P16" s="117">
        <f>IEA_WEO!DZ97</f>
        <v>42</v>
      </c>
      <c r="Q16" s="117">
        <f>IEA_WEO!EA97</f>
        <v>25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7">
        <f>O16</f>
        <v>74.52000000000001</v>
      </c>
      <c r="P17" s="117">
        <f>IEA_WEO!DX97</f>
        <v>74</v>
      </c>
      <c r="Q17" s="117">
        <f>IEA_WEO!DY97</f>
        <v>60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6" t="s">
        <v>106</v>
      </c>
      <c r="N18" s="21"/>
      <c r="O18" s="115">
        <f>O17</f>
        <v>74.52000000000001</v>
      </c>
      <c r="P18" s="115">
        <f>IEA_WEO!DV97</f>
        <v>85</v>
      </c>
      <c r="Q18" s="115">
        <f>IEA_WEO!DW97</f>
        <v>83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O20" s="72"/>
      <c r="P20" s="72"/>
      <c r="Q20" s="72"/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1225.854</v>
      </c>
      <c r="H21" s="93">
        <f>H15*H16</f>
        <v>690.9</v>
      </c>
      <c r="I21" s="92">
        <f>I15*I16</f>
        <v>411.25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202.68138113207547</v>
      </c>
      <c r="H22" s="93">
        <f>H21*'Liq Fuel Prices'!$V$7</f>
        <v>114.23266247379455</v>
      </c>
      <c r="I22" s="92">
        <f>I21*'Liq Fuel Prices'!$V$7</f>
        <v>67.995632424877712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9.3213201007950115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244.65407088700817</v>
      </c>
      <c r="H24" s="93">
        <f>H21*'Liq Fuel Prices'!$X$7+'Liq Fuel Prices'!$X$8</f>
        <v>137.13407806700951</v>
      </c>
      <c r="I24" s="92">
        <f>I21*'Liq Fuel Prices'!$X$7+'Liq Fuel Prices'!$X$8</f>
        <v>80.927439753972109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250.76740309449676</v>
      </c>
      <c r="H25" s="93">
        <f>H21*'Liq Fuel Prices'!$Y$7+'Liq Fuel Prices'!$Y$8</f>
        <v>146.92268520690891</v>
      </c>
      <c r="I25" s="92">
        <f>I21*'Liq Fuel Prices'!$Y$7+'Liq Fuel Prices'!$Y$8</f>
        <v>92.637316077481046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253.06623635843414</v>
      </c>
      <c r="H26" s="93">
        <f>H21*'Liq Fuel Prices'!$W$7+'Liq Fuel Prices'!$W$8</f>
        <v>144.93182664069047</v>
      </c>
      <c r="I26" s="92">
        <f>I21*'Liq Fuel Prices'!$W$7+'Liq Fuel Prices'!$W$8</f>
        <v>88.403998682460426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382.94989907290471</v>
      </c>
      <c r="H27" s="93">
        <f>H21*'Liq Fuel Prices'!$Z$7+'Liq Fuel Prices'!$Z$8</f>
        <v>293.09163441779225</v>
      </c>
      <c r="I27" s="92">
        <f>I21*'Liq Fuel Prices'!$Z$7+'Liq Fuel Prices'!$Z$8</f>
        <v>246.11775683055632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202.68138113207547</v>
      </c>
      <c r="H28" s="93">
        <f>H22</f>
        <v>114.23266247379455</v>
      </c>
      <c r="I28" s="92">
        <f>I22</f>
        <v>67.995632424877712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3">AA28/AA21</f>
        <v>9.6153846153846145E-2</v>
      </c>
      <c r="AG28" s="29">
        <f t="shared" si="3"/>
        <v>0.15981047876022006</v>
      </c>
      <c r="AH28" s="29">
        <f t="shared" si="3"/>
        <v>0.11379097232597682</v>
      </c>
      <c r="AI28" s="29">
        <f t="shared" si="3"/>
        <v>9.9394482043787827E-2</v>
      </c>
      <c r="AJ28" s="29">
        <f t="shared" si="3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18.277098236852964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3"/>
        <v>9.6153846153846145E-2</v>
      </c>
      <c r="AG29" s="29">
        <f t="shared" si="3"/>
        <v>0.15981047876022006</v>
      </c>
      <c r="AH29" s="29">
        <f t="shared" si="3"/>
        <v>0.1137263423000448</v>
      </c>
      <c r="AI29" s="29">
        <f t="shared" si="3"/>
        <v>9.9232696130074072E-2</v>
      </c>
      <c r="AJ29" s="29">
        <f t="shared" si="3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479.71386448432975</v>
      </c>
      <c r="H30" s="93">
        <f>H24/0.51</f>
        <v>268.89034915099904</v>
      </c>
      <c r="I30" s="93">
        <f>I24/0.51</f>
        <v>158.68125441955314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3"/>
        <v>9.6153846153846145E-2</v>
      </c>
      <c r="AG30" s="29">
        <f t="shared" si="3"/>
        <v>0.15981047876022006</v>
      </c>
      <c r="AH30" s="29">
        <f t="shared" si="3"/>
        <v>0.11465386191133345</v>
      </c>
      <c r="AI30" s="29">
        <f t="shared" si="3"/>
        <v>0.10200838325509576</v>
      </c>
      <c r="AJ30" s="29">
        <f t="shared" si="3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282.80673850172928</v>
      </c>
      <c r="H31" s="93">
        <f>H25*'Liq Fuel Prices'!$Y$15+'Liq Fuel Prices'!$Y$16</f>
        <v>171.80210198166145</v>
      </c>
      <c r="I31" s="92">
        <f>I25*'Liq Fuel Prices'!$Y$15+'Liq Fuel Prices'!$Y$16</f>
        <v>113.77384795825571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3"/>
        <v>9.6153846153846145E-2</v>
      </c>
      <c r="AG31" s="29">
        <f t="shared" si="3"/>
        <v>0.15981047876022006</v>
      </c>
      <c r="AH31" s="29">
        <f t="shared" si="3"/>
        <v>0.1202921790128221</v>
      </c>
      <c r="AI31" s="29">
        <f t="shared" si="3"/>
        <v>0.104157730127599</v>
      </c>
      <c r="AJ31" s="29">
        <f t="shared" si="3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496.20830658516496</v>
      </c>
      <c r="H32" s="93">
        <f>H26/0.51</f>
        <v>284.18005223664801</v>
      </c>
      <c r="I32" s="93">
        <f>I26/0.51</f>
        <v>173.34117388717729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3"/>
        <v>9.6153846153846145E-2</v>
      </c>
      <c r="AG32" s="29">
        <f t="shared" si="3"/>
        <v>0.15981047876022006</v>
      </c>
      <c r="AH32" s="29">
        <f t="shared" si="3"/>
        <v>0.11983904286718636</v>
      </c>
      <c r="AI32" s="29">
        <f t="shared" si="3"/>
        <v>0.10136808938146609</v>
      </c>
      <c r="AJ32" s="29">
        <f t="shared" si="3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552.13883380512175</v>
      </c>
      <c r="H33" s="93">
        <f>H27*'Liq Fuel Prices'!$Z$15+'Liq Fuel Prices'!$Z$16</f>
        <v>434.38011752213202</v>
      </c>
      <c r="I33" s="92">
        <f>I27*'Liq Fuel Prices'!$Z$15+'Liq Fuel Prices'!$Z$16</f>
        <v>372.82113299535382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202.68138113207547</v>
      </c>
      <c r="H34" s="85">
        <f>H22</f>
        <v>114.23266247379455</v>
      </c>
      <c r="I34" s="84">
        <f>I22</f>
        <v>67.995632424877712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V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4">AA35/AA21</f>
        <v>9.5406013246429139E-2</v>
      </c>
      <c r="AG35" s="71">
        <f t="shared" si="4"/>
        <v>0.13146920923977218</v>
      </c>
      <c r="AH35" s="71">
        <f t="shared" si="4"/>
        <v>6.5050347931462568E-2</v>
      </c>
      <c r="AI35" s="71">
        <f t="shared" si="4"/>
        <v>5.0315644582475838E-2</v>
      </c>
      <c r="AJ35" s="71">
        <f t="shared" si="4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Net Zero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47</v>
      </c>
      <c r="V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4"/>
        <v>9.6108999210750529E-2</v>
      </c>
      <c r="AG36" s="71">
        <f t="shared" si="4"/>
        <v>0.16083517389514879</v>
      </c>
      <c r="AH36" s="71">
        <f t="shared" si="4"/>
        <v>9.6884356011299161E-2</v>
      </c>
      <c r="AI36" s="71">
        <f t="shared" si="4"/>
        <v>7.8255284545722933E-2</v>
      </c>
      <c r="AJ36" s="71">
        <f t="shared" si="4"/>
        <v>6.3572804569502081E-2</v>
      </c>
    </row>
    <row r="37" spans="1:43" ht="13.5" customHeight="1" x14ac:dyDescent="0.25">
      <c r="A37" s="75" t="s">
        <v>339</v>
      </c>
      <c r="C37" s="12" t="str">
        <f>F62</f>
        <v>MINGIB</v>
      </c>
      <c r="D37" s="12" t="str">
        <f>VLOOKUP(A37,FuelNames,2,FALSE)</f>
        <v>GIB</v>
      </c>
      <c r="E37" s="62">
        <f t="shared" ref="E37:E42" si="5">SUMIF($O$36:$U$36,$D$36,O37:U37)</f>
        <v>0.10454194041570421</v>
      </c>
      <c r="F37" s="39">
        <f t="shared" ref="F37:F42" si="6">($E37*F$16+$V37)*F$15/1.055</f>
        <v>117.73934470134871</v>
      </c>
      <c r="G37" s="39">
        <f t="shared" ref="G37:I42" si="7">IF($J37,($E37*G$16+$V37)*G$15/1.055,F37)</f>
        <v>121.47218561739591</v>
      </c>
      <c r="H37" s="39">
        <f t="shared" si="7"/>
        <v>68.462584486455015</v>
      </c>
      <c r="I37" s="39">
        <f t="shared" si="7"/>
        <v>40.751538384794657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8">$U37</f>
        <v>0.10454194041570421</v>
      </c>
      <c r="S37" s="65">
        <f t="shared" si="8"/>
        <v>0.10454194041570421</v>
      </c>
      <c r="T37" s="65">
        <f t="shared" si="8"/>
        <v>0.10454194041570421</v>
      </c>
      <c r="U37" s="29">
        <f>$U$41-1%</f>
        <v>0.10454194041570421</v>
      </c>
      <c r="V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4"/>
        <v>9.659983449437741E-2</v>
      </c>
      <c r="AG37" s="71">
        <f t="shared" si="4"/>
        <v>0.1841718519193106</v>
      </c>
      <c r="AH37" s="71">
        <f t="shared" si="4"/>
        <v>0.13703360826541466</v>
      </c>
      <c r="AI37" s="29">
        <f t="shared" si="4"/>
        <v>0.10068731146567374</v>
      </c>
      <c r="AJ37" s="71">
        <f t="shared" si="4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5"/>
        <v>9.4541940415704198E-2</v>
      </c>
      <c r="F38" s="39">
        <f t="shared" si="6"/>
        <v>106.47694185774681</v>
      </c>
      <c r="G38" s="39">
        <f t="shared" si="7"/>
        <v>106.47694185774681</v>
      </c>
      <c r="H38" s="39">
        <f t="shared" si="7"/>
        <v>106.47694185774681</v>
      </c>
      <c r="I38" s="39">
        <f t="shared" si="7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8"/>
        <v>9.4541940415704198E-2</v>
      </c>
      <c r="S38" s="65">
        <f t="shared" si="8"/>
        <v>9.4541940415704198E-2</v>
      </c>
      <c r="T38" s="65">
        <f t="shared" si="8"/>
        <v>9.4541940415704198E-2</v>
      </c>
      <c r="U38" s="29">
        <f>U41-2%</f>
        <v>9.4541940415704198E-2</v>
      </c>
      <c r="V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4"/>
        <v>9.7095268290607814E-2</v>
      </c>
      <c r="AG38" s="71">
        <f t="shared" si="4"/>
        <v>0.2060274671225642</v>
      </c>
      <c r="AH38" s="71">
        <f t="shared" si="4"/>
        <v>0.17733688995837979</v>
      </c>
      <c r="AI38" s="71">
        <f t="shared" si="4"/>
        <v>0.11681928384917907</v>
      </c>
      <c r="AJ38" s="71">
        <f t="shared" si="4"/>
        <v>0.10575096226952878</v>
      </c>
    </row>
    <row r="39" spans="1:43" ht="13.5" customHeight="1" x14ac:dyDescent="0.25">
      <c r="A39" t="s">
        <v>340</v>
      </c>
      <c r="C39" s="12" t="str">
        <f>F64</f>
        <v>MINGIH</v>
      </c>
      <c r="D39" s="12" t="str">
        <f>VLOOKUP(A39,FuelNames,2,FALSE)</f>
        <v>GIH</v>
      </c>
      <c r="E39" s="62">
        <f t="shared" si="5"/>
        <v>0.10068731146567374</v>
      </c>
      <c r="F39" s="39">
        <f t="shared" si="6"/>
        <v>113.39810629656337</v>
      </c>
      <c r="G39" s="39">
        <f t="shared" si="7"/>
        <v>113.39810629656337</v>
      </c>
      <c r="H39" s="39">
        <f t="shared" si="7"/>
        <v>113.39810629656337</v>
      </c>
      <c r="I39" s="39">
        <f t="shared" si="7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8"/>
        <v>0.10068731146567374</v>
      </c>
      <c r="S39" s="65">
        <f t="shared" si="8"/>
        <v>0.10068731146567374</v>
      </c>
      <c r="T39" s="65">
        <f t="shared" si="8"/>
        <v>0.10068731146567374</v>
      </c>
      <c r="U39" s="55">
        <f>AI37</f>
        <v>0.10068731146567374</v>
      </c>
      <c r="V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4"/>
        <v>9.770483349555481E-2</v>
      </c>
      <c r="AG39" s="71">
        <f t="shared" si="4"/>
        <v>0.23564202939936529</v>
      </c>
      <c r="AH39" s="71">
        <f t="shared" si="4"/>
        <v>0.20085327645787579</v>
      </c>
      <c r="AI39" s="71">
        <f t="shared" si="4"/>
        <v>0.13046207754179073</v>
      </c>
      <c r="AJ39" s="71">
        <f t="shared" si="4"/>
        <v>0.11902978755317412</v>
      </c>
    </row>
    <row r="40" spans="1:43" ht="13.5" customHeight="1" x14ac:dyDescent="0.25">
      <c r="A40" s="70" t="s">
        <v>341</v>
      </c>
      <c r="C40" s="1" t="str">
        <f>F87</f>
        <v>MIRGRM</v>
      </c>
      <c r="D40" s="12" t="str">
        <f>VLOOKUP(A40,FuelNames,2,FALSE)</f>
        <v>GRM</v>
      </c>
      <c r="E40" s="62">
        <f t="shared" si="5"/>
        <v>0.10454194041570421</v>
      </c>
      <c r="F40" s="39">
        <f t="shared" si="6"/>
        <v>117.73934470134871</v>
      </c>
      <c r="G40" s="39">
        <f t="shared" si="7"/>
        <v>117.73934470134871</v>
      </c>
      <c r="H40" s="39">
        <f t="shared" si="7"/>
        <v>117.73934470134871</v>
      </c>
      <c r="I40" s="39">
        <f t="shared" si="7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8"/>
        <v>0.10454194041570421</v>
      </c>
      <c r="S40" s="65">
        <f t="shared" si="8"/>
        <v>0.10454194041570421</v>
      </c>
      <c r="T40" s="65">
        <f t="shared" si="8"/>
        <v>0.10454194041570421</v>
      </c>
      <c r="U40" s="29">
        <f>$U$41-1%</f>
        <v>0.10454194041570421</v>
      </c>
      <c r="V40" s="69"/>
    </row>
    <row r="41" spans="1:43" ht="13.5" customHeight="1" x14ac:dyDescent="0.25">
      <c r="A41" t="s">
        <v>342</v>
      </c>
      <c r="C41" s="12" t="str">
        <f>F74</f>
        <v>IMPGRL</v>
      </c>
      <c r="D41" s="12" t="str">
        <f>VLOOKUP(A41,FuelNames,2,FALSE)</f>
        <v>GRL</v>
      </c>
      <c r="E41" s="62">
        <f t="shared" si="5"/>
        <v>0.1919642857142857</v>
      </c>
      <c r="F41" s="39">
        <f t="shared" si="6"/>
        <v>222.43487855450238</v>
      </c>
      <c r="G41" s="39">
        <f t="shared" si="7"/>
        <v>229.28927725118484</v>
      </c>
      <c r="H41" s="39">
        <f t="shared" si="7"/>
        <v>131.95082938388626</v>
      </c>
      <c r="I41" s="39">
        <f t="shared" si="7"/>
        <v>81.066646919431278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55">
        <f>AVERAGE(AF30:AJ30)</f>
        <v>0.1145419404157042</v>
      </c>
      <c r="V41" s="63">
        <v>0.4</v>
      </c>
    </row>
    <row r="42" spans="1:43" ht="13.5" customHeight="1" thickBot="1" x14ac:dyDescent="0.3">
      <c r="A42" t="s">
        <v>343</v>
      </c>
      <c r="C42" s="12" t="str">
        <f>F75</f>
        <v>IMPGWL</v>
      </c>
      <c r="D42" s="12" t="str">
        <f>VLOOKUP(A42,FuelNames,2,FALSE)</f>
        <v>GWL</v>
      </c>
      <c r="E42" s="62">
        <f t="shared" si="5"/>
        <v>0.1919642857142857</v>
      </c>
      <c r="F42" s="39">
        <f t="shared" si="6"/>
        <v>228.67184537914693</v>
      </c>
      <c r="G42" s="39">
        <f t="shared" si="7"/>
        <v>235.5262440758294</v>
      </c>
      <c r="H42" s="39">
        <f t="shared" si="7"/>
        <v>138.18779620853081</v>
      </c>
      <c r="I42" s="39">
        <f t="shared" si="7"/>
        <v>87.303613744075818</v>
      </c>
      <c r="J42" s="61">
        <v>1</v>
      </c>
      <c r="O42" s="60">
        <f>O41</f>
        <v>0.1</v>
      </c>
      <c r="P42" s="59"/>
      <c r="Q42" s="58">
        <v>0.16</v>
      </c>
      <c r="R42" s="57">
        <f>R41</f>
        <v>0.1919642857142857</v>
      </c>
      <c r="S42" s="56">
        <f>S41</f>
        <v>0.13276041666666666</v>
      </c>
      <c r="T42" s="56">
        <f>T41</f>
        <v>0.12225288831835687</v>
      </c>
      <c r="U42" s="55">
        <f>U41</f>
        <v>0.1145419404157042</v>
      </c>
      <c r="V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9">AB43</f>
        <v>2010</v>
      </c>
      <c r="AK43" s="1">
        <f t="shared" si="9"/>
        <v>2020</v>
      </c>
      <c r="AL43" s="1">
        <f t="shared" si="9"/>
        <v>2025</v>
      </c>
      <c r="AM43" s="1">
        <f t="shared" si="9"/>
        <v>2030</v>
      </c>
      <c r="AN43" s="1">
        <f t="shared" si="9"/>
        <v>2035</v>
      </c>
      <c r="AO43" s="1">
        <f t="shared" si="9"/>
        <v>2040</v>
      </c>
      <c r="AP43" s="1">
        <f t="shared" si="9"/>
        <v>2045</v>
      </c>
      <c r="AQ43" s="1">
        <f t="shared" si="9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10">AB50*$X$51+AB52*$X$53</f>
        <v>9</v>
      </c>
      <c r="AC54">
        <f t="shared" si="10"/>
        <v>12.5</v>
      </c>
      <c r="AD54">
        <f t="shared" si="10"/>
        <v>13</v>
      </c>
      <c r="AE54">
        <f t="shared" si="10"/>
        <v>14</v>
      </c>
      <c r="AF54">
        <f t="shared" si="10"/>
        <v>14</v>
      </c>
      <c r="AG54">
        <f t="shared" si="10"/>
        <v>14</v>
      </c>
      <c r="AH54">
        <f t="shared" si="10"/>
        <v>15</v>
      </c>
      <c r="AI54">
        <f t="shared" si="10"/>
        <v>15</v>
      </c>
      <c r="AJ54" s="29">
        <f t="shared" ref="AJ54:AQ54" si="11">AB54/AB44</f>
        <v>0.11538461538461539</v>
      </c>
      <c r="AK54" s="29">
        <f t="shared" si="11"/>
        <v>0.1059322033898305</v>
      </c>
      <c r="AL54" s="29">
        <f t="shared" si="11"/>
        <v>0.10236220472440945</v>
      </c>
      <c r="AM54" s="29">
        <f t="shared" si="11"/>
        <v>0.1044776119402985</v>
      </c>
      <c r="AN54" s="29">
        <f t="shared" si="11"/>
        <v>0.1</v>
      </c>
      <c r="AO54" s="29">
        <f t="shared" si="11"/>
        <v>9.7902097902097904E-2</v>
      </c>
      <c r="AP54" s="29">
        <f t="shared" si="11"/>
        <v>0.10273972602739725</v>
      </c>
      <c r="AQ54" s="29">
        <f t="shared" si="11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409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2">AB51*$X$51+AB53*$X$53</f>
        <v>9</v>
      </c>
      <c r="AE55">
        <f t="shared" si="12"/>
        <v>11</v>
      </c>
      <c r="AF55">
        <f t="shared" si="12"/>
        <v>11</v>
      </c>
      <c r="AG55">
        <f t="shared" si="12"/>
        <v>11</v>
      </c>
      <c r="AH55">
        <f t="shared" si="12"/>
        <v>10.5</v>
      </c>
      <c r="AI55">
        <f t="shared" si="12"/>
        <v>10.5</v>
      </c>
      <c r="AJ55">
        <f t="shared" si="12"/>
        <v>10</v>
      </c>
      <c r="AK55">
        <f t="shared" si="12"/>
        <v>9.5</v>
      </c>
      <c r="AL55" s="29">
        <f t="shared" ref="AL55:AS55" si="13">AD55/AB45</f>
        <v>0.11538461538461539</v>
      </c>
      <c r="AM55" s="29">
        <f t="shared" si="13"/>
        <v>0.1134020618556701</v>
      </c>
      <c r="AN55" s="29">
        <f t="shared" si="13"/>
        <v>0.1134020618556701</v>
      </c>
      <c r="AO55" s="29">
        <f t="shared" si="13"/>
        <v>0.1134020618556701</v>
      </c>
      <c r="AP55" s="29">
        <f t="shared" si="13"/>
        <v>0.10824742268041238</v>
      </c>
      <c r="AQ55" s="29">
        <f t="shared" si="13"/>
        <v>0.11413043478260869</v>
      </c>
      <c r="AR55" s="29">
        <f t="shared" si="13"/>
        <v>0.11235955056179775</v>
      </c>
      <c r="AS55" s="29">
        <f t="shared" si="13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407</v>
      </c>
      <c r="G56" s="27" t="s">
        <v>406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4">AVERAGE(AB54:AB55)</f>
        <v>9</v>
      </c>
      <c r="AC56" s="24">
        <f t="shared" si="14"/>
        <v>12.5</v>
      </c>
      <c r="AD56" s="24">
        <f t="shared" si="14"/>
        <v>11</v>
      </c>
      <c r="AE56" s="24">
        <f t="shared" si="14"/>
        <v>12.5</v>
      </c>
      <c r="AF56" s="24">
        <f t="shared" si="14"/>
        <v>12.5</v>
      </c>
      <c r="AG56" s="24">
        <f t="shared" si="14"/>
        <v>12.5</v>
      </c>
      <c r="AH56" s="24">
        <f t="shared" si="14"/>
        <v>12.75</v>
      </c>
      <c r="AI56" s="24">
        <f t="shared" si="14"/>
        <v>12.75</v>
      </c>
      <c r="AJ56" s="25">
        <f t="shared" ref="AJ56:AQ56" si="15">AB56/AVERAGE(AB44:AB45)</f>
        <v>0.11538461538461539</v>
      </c>
      <c r="AK56" s="25">
        <f t="shared" si="15"/>
        <v>0.11627906976744186</v>
      </c>
      <c r="AL56" s="25">
        <f t="shared" si="15"/>
        <v>9.8214285714285712E-2</v>
      </c>
      <c r="AM56" s="25">
        <f t="shared" si="15"/>
        <v>0.10822510822510822</v>
      </c>
      <c r="AN56" s="25">
        <f t="shared" si="15"/>
        <v>0.10548523206751055</v>
      </c>
      <c r="AO56" s="25">
        <f t="shared" si="15"/>
        <v>0.10638297872340426</v>
      </c>
      <c r="AP56" s="25">
        <f t="shared" si="15"/>
        <v>0.10851063829787234</v>
      </c>
      <c r="AQ56" s="25">
        <f t="shared" si="15"/>
        <v>0.10805084745762712</v>
      </c>
      <c r="AR56" s="24"/>
      <c r="AT56" s="209"/>
      <c r="AU56" s="209"/>
      <c r="AV56" s="209"/>
      <c r="AW56" s="209"/>
      <c r="AX56" s="209"/>
      <c r="AY56" s="209"/>
      <c r="AZ56" s="209"/>
    </row>
    <row r="57" spans="1:52" ht="15" x14ac:dyDescent="0.25">
      <c r="A57" s="14" t="str">
        <f t="shared" ref="A57:A62" si="16">"Extraction of "&amp;INDEX(FuelNamesLong,MATCH(C57,FuelNamesShort,0))</f>
        <v>Extraction of Coal</v>
      </c>
      <c r="B57" s="6"/>
      <c r="C57" s="13" t="s">
        <v>344</v>
      </c>
      <c r="D57" s="13"/>
      <c r="E57" s="13"/>
      <c r="F57" s="12" t="str">
        <f t="shared" ref="F57:F64" si="17">$B$46&amp;C57</f>
        <v>MINCOA</v>
      </c>
      <c r="G57" s="12" t="s">
        <v>408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6"/>
        <v>Extraction of Coal low grade</v>
      </c>
      <c r="C58" s="13" t="s">
        <v>345</v>
      </c>
      <c r="D58" s="13"/>
      <c r="E58" s="13"/>
      <c r="F58" s="12" t="str">
        <f t="shared" si="17"/>
        <v>MINCLE</v>
      </c>
      <c r="G58" s="12" t="s">
        <v>408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6"/>
        <v>Extraction of Coal Discard</v>
      </c>
      <c r="C59" s="13" t="s">
        <v>346</v>
      </c>
      <c r="D59" s="13"/>
      <c r="E59" s="13"/>
      <c r="F59" s="12" t="str">
        <f t="shared" si="17"/>
        <v>MINCLD</v>
      </c>
      <c r="G59" s="12" t="s">
        <v>408</v>
      </c>
      <c r="H59" s="11">
        <f>H58/2</f>
        <v>14.13</v>
      </c>
      <c r="I59" s="11">
        <f t="shared" ref="I59:K59" si="18">I58/2</f>
        <v>14.13</v>
      </c>
      <c r="J59" s="11">
        <f t="shared" si="18"/>
        <v>14.13</v>
      </c>
      <c r="K59" s="11">
        <f t="shared" si="18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6"/>
        <v>Extraction of Oil Crude</v>
      </c>
      <c r="C60" s="13" t="s">
        <v>347</v>
      </c>
      <c r="D60" s="13"/>
      <c r="E60" s="13"/>
      <c r="F60" s="12" t="str">
        <f t="shared" si="17"/>
        <v>MINOCR</v>
      </c>
      <c r="G60" s="12" t="s">
        <v>408</v>
      </c>
      <c r="H60" s="11">
        <f>SUMIF($E$22:$E$34,$C60,F$22:F$34)*0.9</f>
        <v>176.80768308176101</v>
      </c>
      <c r="I60" s="11">
        <f>SUMIF($E$22:$E$34,$C60,G$22:G$34)*0.9</f>
        <v>182.41324301886792</v>
      </c>
      <c r="J60" s="11">
        <f>SUMIF($E$22:$E$34,$C60,H$22:H$34)*0.9</f>
        <v>102.80939622641509</v>
      </c>
      <c r="K60" s="11">
        <f>SUMIF($E$22:$E$34,$C60,I$22:I$34)*0.9</f>
        <v>61.196069182389941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6"/>
        <v>Extraction of Coastal Gas</v>
      </c>
      <c r="C61" s="13" t="s">
        <v>348</v>
      </c>
      <c r="D61" s="13"/>
      <c r="E61" s="13"/>
      <c r="F61" s="12" t="str">
        <f t="shared" si="17"/>
        <v>MINGIC</v>
      </c>
      <c r="G61" s="12" t="s">
        <v>408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6"/>
        <v>Extraction of Gas Indigenous Ibhubezi</v>
      </c>
      <c r="C62" s="13" t="s">
        <v>349</v>
      </c>
      <c r="D62" s="13"/>
      <c r="E62" s="13"/>
      <c r="F62" s="12" t="str">
        <f t="shared" si="17"/>
        <v>MINGIB</v>
      </c>
      <c r="G62" s="12" t="s">
        <v>408</v>
      </c>
      <c r="H62" s="11">
        <f t="shared" ref="H62:K63" si="19">SUMIF($D$37:$D$42,$C62,F$37:F$42)*$E$53</f>
        <v>117.73934470134871</v>
      </c>
      <c r="I62" s="11">
        <f t="shared" si="19"/>
        <v>121.47218561739591</v>
      </c>
      <c r="J62" s="11">
        <f t="shared" si="19"/>
        <v>68.462584486455015</v>
      </c>
      <c r="K62" s="11">
        <f t="shared" si="19"/>
        <v>40.751538384794657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7"/>
        <v>MINGAS</v>
      </c>
      <c r="G63" s="12" t="s">
        <v>408</v>
      </c>
      <c r="H63" s="11">
        <f t="shared" si="19"/>
        <v>106.47694185774681</v>
      </c>
      <c r="I63" s="11">
        <f t="shared" si="19"/>
        <v>106.47694185774681</v>
      </c>
      <c r="J63" s="11">
        <f t="shared" si="19"/>
        <v>106.47694185774681</v>
      </c>
      <c r="K63" s="11">
        <f t="shared" si="19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350</v>
      </c>
      <c r="D64" s="13"/>
      <c r="E64" s="13"/>
      <c r="F64" s="12" t="str">
        <f t="shared" si="17"/>
        <v>MINGIH</v>
      </c>
      <c r="G64" s="12" t="s">
        <v>408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20">"Extraction of "&amp;INDEX(FuelNamesLong,MATCH(C65,FuelNamesShort,0))</f>
        <v>Extraction of Biogas</v>
      </c>
      <c r="C65" s="13" t="s">
        <v>351</v>
      </c>
      <c r="D65" s="13"/>
      <c r="E65" s="13"/>
      <c r="F65" s="12" t="str">
        <f t="shared" ref="F65:F72" si="21">$B$46&amp;C65</f>
        <v>MINBIG</v>
      </c>
      <c r="G65" s="12" t="s">
        <v>408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20"/>
        <v>Extraction of Biomass bagasse</v>
      </c>
      <c r="C66" s="13" t="s">
        <v>352</v>
      </c>
      <c r="D66" s="13"/>
      <c r="E66" s="13"/>
      <c r="F66" s="12" t="str">
        <f t="shared" si="21"/>
        <v>MINBIB</v>
      </c>
      <c r="G66" s="12" t="s">
        <v>408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20"/>
        <v>Extraction of Biomass Other</v>
      </c>
      <c r="C67" s="13" t="s">
        <v>353</v>
      </c>
      <c r="D67" s="13"/>
      <c r="E67" s="13"/>
      <c r="F67" s="12" t="str">
        <f t="shared" si="21"/>
        <v>MINBIO</v>
      </c>
      <c r="G67" s="12" t="s">
        <v>408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20"/>
        <v>Extraction of Biomass Wood</v>
      </c>
      <c r="C68" s="13" t="s">
        <v>354</v>
      </c>
      <c r="D68" s="13"/>
      <c r="E68" s="13"/>
      <c r="F68" s="12" t="str">
        <f t="shared" si="21"/>
        <v>MINBIW</v>
      </c>
      <c r="G68" s="12" t="s">
        <v>408</v>
      </c>
      <c r="H68" s="11">
        <f>H57</f>
        <v>56.52</v>
      </c>
      <c r="I68" s="11">
        <f t="shared" ref="I68:K69" si="22">H68</f>
        <v>56.52</v>
      </c>
      <c r="J68" s="11">
        <f t="shared" si="22"/>
        <v>56.52</v>
      </c>
      <c r="K68" s="11">
        <f t="shared" si="22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e">
        <f t="shared" si="20"/>
        <v>#N/A</v>
      </c>
      <c r="C69" s="13" t="s">
        <v>355</v>
      </c>
      <c r="D69" s="13"/>
      <c r="E69" s="13"/>
      <c r="F69" s="12" t="str">
        <f t="shared" si="21"/>
        <v>MINWAS</v>
      </c>
      <c r="G69" s="12" t="s">
        <v>408</v>
      </c>
      <c r="H69" s="11">
        <v>0</v>
      </c>
      <c r="I69" s="11">
        <f t="shared" si="22"/>
        <v>0</v>
      </c>
      <c r="J69" s="11">
        <f t="shared" si="22"/>
        <v>0</v>
      </c>
      <c r="K69" s="11">
        <f t="shared" si="22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20"/>
        <v>Extraction of Hydro</v>
      </c>
      <c r="C70" s="13" t="s">
        <v>356</v>
      </c>
      <c r="D70" s="13"/>
      <c r="E70" s="13"/>
      <c r="F70" s="12" t="str">
        <f t="shared" si="21"/>
        <v>MINHYD</v>
      </c>
      <c r="G70" s="12" t="s">
        <v>408</v>
      </c>
      <c r="H70" s="11">
        <v>0</v>
      </c>
      <c r="I70" s="11">
        <f t="shared" ref="I70:I72" si="23">H70</f>
        <v>0</v>
      </c>
      <c r="J70" s="11">
        <f t="shared" ref="J70:J72" si="24">I70</f>
        <v>0</v>
      </c>
      <c r="K70" s="11">
        <f t="shared" ref="K70:K72" si="25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20"/>
        <v>Extraction of Solar</v>
      </c>
      <c r="C71" s="13" t="s">
        <v>357</v>
      </c>
      <c r="D71" s="13"/>
      <c r="E71" s="13"/>
      <c r="F71" s="12" t="str">
        <f t="shared" si="21"/>
        <v>MINSOL</v>
      </c>
      <c r="G71" s="12" t="s">
        <v>408</v>
      </c>
      <c r="H71" s="11">
        <v>0</v>
      </c>
      <c r="I71" s="11">
        <f t="shared" si="23"/>
        <v>0</v>
      </c>
      <c r="J71" s="11">
        <f t="shared" si="24"/>
        <v>0</v>
      </c>
      <c r="K71" s="11">
        <f t="shared" si="25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20"/>
        <v>Extraction of Wind</v>
      </c>
      <c r="C72" s="13" t="s">
        <v>358</v>
      </c>
      <c r="D72" s="13"/>
      <c r="E72" s="13"/>
      <c r="F72" s="12" t="str">
        <f t="shared" si="21"/>
        <v>MINWND</v>
      </c>
      <c r="G72" s="12" t="s">
        <v>408</v>
      </c>
      <c r="H72" s="11">
        <v>0</v>
      </c>
      <c r="I72" s="11">
        <f t="shared" si="23"/>
        <v>0</v>
      </c>
      <c r="J72" s="11">
        <f t="shared" si="24"/>
        <v>0</v>
      </c>
      <c r="K72" s="11">
        <f t="shared" si="25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359</v>
      </c>
      <c r="D73" s="13"/>
      <c r="E73" s="13"/>
      <c r="F73" s="12" t="str">
        <f>"IMP"&amp;C73</f>
        <v>IMPCOK</v>
      </c>
      <c r="G73" s="12" t="s">
        <v>408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360</v>
      </c>
      <c r="D74" s="13"/>
      <c r="E74" s="13"/>
      <c r="F74" s="12" t="str">
        <f>"IMP"&amp;C74</f>
        <v>IMPGRL</v>
      </c>
      <c r="G74" s="12" t="s">
        <v>408</v>
      </c>
      <c r="H74" s="11">
        <f t="shared" ref="H74:K75" si="26">SUMIF($C$37:$C$42,$F74,F$37:F$42)*$E$53</f>
        <v>222.43487855450238</v>
      </c>
      <c r="I74" s="11">
        <f t="shared" si="26"/>
        <v>229.28927725118484</v>
      </c>
      <c r="J74" s="11">
        <f t="shared" si="26"/>
        <v>131.95082938388626</v>
      </c>
      <c r="K74" s="11">
        <f t="shared" si="26"/>
        <v>81.066646919431278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361</v>
      </c>
      <c r="D75" s="13"/>
      <c r="E75" s="13"/>
      <c r="F75" s="12" t="s">
        <v>373</v>
      </c>
      <c r="G75" s="12" t="s">
        <v>408</v>
      </c>
      <c r="H75" s="11">
        <f t="shared" si="26"/>
        <v>228.67184537914693</v>
      </c>
      <c r="I75" s="11">
        <f t="shared" si="26"/>
        <v>235.5262440758294</v>
      </c>
      <c r="J75" s="11">
        <f t="shared" si="26"/>
        <v>138.18779620853081</v>
      </c>
      <c r="K75" s="11">
        <f t="shared" si="26"/>
        <v>87.303613744075818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7">"Imports of "&amp;INDEX(FuelNamesLong,MATCH(C76,FuelNamesShort,0))</f>
        <v>Imports of Nuclear</v>
      </c>
      <c r="C76" s="13" t="s">
        <v>362</v>
      </c>
      <c r="D76" s="13"/>
      <c r="E76" s="13"/>
      <c r="F76" s="12" t="str">
        <f t="shared" ref="F76:F85" si="28">"IMP"&amp;C76</f>
        <v>IMPNUC</v>
      </c>
      <c r="G76" s="12" t="s">
        <v>408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7"/>
        <v>Imports of Oil Av Gasoline</v>
      </c>
      <c r="C77" s="13" t="s">
        <v>363</v>
      </c>
      <c r="D77" s="13"/>
      <c r="E77" s="13"/>
      <c r="F77" s="12" t="str">
        <f t="shared" si="28"/>
        <v>IMPOAG</v>
      </c>
      <c r="G77" s="12" t="s">
        <v>408</v>
      </c>
      <c r="H77" s="11">
        <f>H80</f>
        <v>247.03405739193275</v>
      </c>
      <c r="I77" s="11">
        <f>I80</f>
        <v>253.06623635843414</v>
      </c>
      <c r="J77" s="11">
        <f>J80</f>
        <v>144.93182664069047</v>
      </c>
      <c r="K77" s="11">
        <f>K80</f>
        <v>88.403998682460426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7"/>
        <v>Imports of Oil Crude</v>
      </c>
      <c r="C78" s="13" t="s">
        <v>347</v>
      </c>
      <c r="D78" s="13"/>
      <c r="E78" s="13"/>
      <c r="F78" s="12" t="str">
        <f t="shared" si="28"/>
        <v>IMPOCR</v>
      </c>
      <c r="G78" s="12" t="s">
        <v>408</v>
      </c>
      <c r="H78" s="11">
        <f t="shared" ref="H78:K83" si="29">SUMIF($E$22:$E$34,$C78,F$22:F$34)</f>
        <v>196.45298120195667</v>
      </c>
      <c r="I78" s="11">
        <f t="shared" si="29"/>
        <v>202.68138113207547</v>
      </c>
      <c r="J78" s="11">
        <f t="shared" si="29"/>
        <v>114.23266247379455</v>
      </c>
      <c r="K78" s="11">
        <f t="shared" si="29"/>
        <v>67.995632424877712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7"/>
        <v>Imports of Oil Diesel</v>
      </c>
      <c r="C79" s="13" t="s">
        <v>364</v>
      </c>
      <c r="D79" s="13"/>
      <c r="E79" s="13"/>
      <c r="F79" s="12" t="str">
        <f t="shared" si="28"/>
        <v>IMPODS</v>
      </c>
      <c r="G79" s="12" t="s">
        <v>408</v>
      </c>
      <c r="H79" s="11">
        <f t="shared" si="29"/>
        <v>236.56389169057414</v>
      </c>
      <c r="I79" s="11">
        <f t="shared" si="29"/>
        <v>244.65407088700817</v>
      </c>
      <c r="J79" s="11">
        <f t="shared" si="29"/>
        <v>137.13407806700951</v>
      </c>
      <c r="K79" s="11">
        <f t="shared" si="29"/>
        <v>80.927439753972109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7"/>
        <v>Imports of Oil Gasoline</v>
      </c>
      <c r="C80" s="13" t="s">
        <v>365</v>
      </c>
      <c r="D80" s="13"/>
      <c r="E80" s="13"/>
      <c r="F80" s="12" t="str">
        <f t="shared" si="28"/>
        <v>IMPOGS</v>
      </c>
      <c r="G80" s="12" t="s">
        <v>408</v>
      </c>
      <c r="H80" s="11">
        <f t="shared" si="29"/>
        <v>247.03405739193275</v>
      </c>
      <c r="I80" s="11">
        <f t="shared" si="29"/>
        <v>253.06623635843414</v>
      </c>
      <c r="J80" s="11">
        <f t="shared" si="29"/>
        <v>144.93182664069047</v>
      </c>
      <c r="K80" s="11">
        <f t="shared" si="29"/>
        <v>88.403998682460426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7"/>
        <v>Imports of Oil HFO</v>
      </c>
      <c r="C81" s="13" t="s">
        <v>366</v>
      </c>
      <c r="D81" s="13"/>
      <c r="E81" s="13"/>
      <c r="F81" s="12" t="str">
        <f t="shared" si="28"/>
        <v>IMPOHF</v>
      </c>
      <c r="G81" s="12" t="s">
        <v>408</v>
      </c>
      <c r="H81" s="11">
        <f t="shared" si="29"/>
        <v>196.45298120195667</v>
      </c>
      <c r="I81" s="11">
        <f t="shared" si="29"/>
        <v>202.68138113207547</v>
      </c>
      <c r="J81" s="11">
        <f t="shared" si="29"/>
        <v>114.23266247379455</v>
      </c>
      <c r="K81" s="11">
        <f t="shared" si="29"/>
        <v>67.995632424877712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7"/>
        <v>Imports of Oil LPG</v>
      </c>
      <c r="C82" s="13" t="s">
        <v>367</v>
      </c>
      <c r="D82" s="13"/>
      <c r="E82" s="13"/>
      <c r="F82" s="12" t="str">
        <f t="shared" si="28"/>
        <v>IMPOLP</v>
      </c>
      <c r="G82" s="12" t="s">
        <v>408</v>
      </c>
      <c r="H82" s="11">
        <f t="shared" si="29"/>
        <v>376.62224144497708</v>
      </c>
      <c r="I82" s="11">
        <f t="shared" si="29"/>
        <v>382.94989907290471</v>
      </c>
      <c r="J82" s="11">
        <f t="shared" si="29"/>
        <v>293.09163441779225</v>
      </c>
      <c r="K82" s="11">
        <f t="shared" si="29"/>
        <v>246.11775683055632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7"/>
        <v>Imports of Oil Kerosene</v>
      </c>
      <c r="C83" s="13" t="s">
        <v>368</v>
      </c>
      <c r="D83" s="13"/>
      <c r="E83" s="13"/>
      <c r="F83" s="12" t="str">
        <f t="shared" si="28"/>
        <v>IMPOKE</v>
      </c>
      <c r="G83" s="12" t="s">
        <v>408</v>
      </c>
      <c r="H83" s="11">
        <f t="shared" si="29"/>
        <v>243.45484454706207</v>
      </c>
      <c r="I83" s="11">
        <f t="shared" si="29"/>
        <v>250.76740309449676</v>
      </c>
      <c r="J83" s="11">
        <f t="shared" si="29"/>
        <v>146.92268520690891</v>
      </c>
      <c r="K83" s="11">
        <f t="shared" si="29"/>
        <v>92.637316077481046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7"/>
        <v>Imports of Biodiesel</v>
      </c>
      <c r="C84" s="13" t="s">
        <v>369</v>
      </c>
      <c r="D84" s="13"/>
      <c r="E84" s="13"/>
      <c r="F84" s="12" t="str">
        <f t="shared" si="28"/>
        <v>IMPBID</v>
      </c>
      <c r="G84" s="12" t="s">
        <v>408</v>
      </c>
      <c r="H84" s="11">
        <f t="shared" ref="H84:K85" si="30">H79*1.05</f>
        <v>248.39208627510286</v>
      </c>
      <c r="I84" s="11">
        <f t="shared" si="30"/>
        <v>256.88677443135862</v>
      </c>
      <c r="J84" s="11">
        <f t="shared" si="30"/>
        <v>143.99078197035999</v>
      </c>
      <c r="K84" s="11">
        <f t="shared" si="30"/>
        <v>84.973811741670715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7"/>
        <v>Imports of Bioethanol</v>
      </c>
      <c r="C85" s="13" t="s">
        <v>370</v>
      </c>
      <c r="D85" s="13"/>
      <c r="E85" s="13"/>
      <c r="F85" s="12" t="str">
        <f t="shared" si="28"/>
        <v>IMPBIE</v>
      </c>
      <c r="G85" s="12" t="s">
        <v>408</v>
      </c>
      <c r="H85" s="11">
        <f t="shared" si="30"/>
        <v>259.38576026152941</v>
      </c>
      <c r="I85" s="11">
        <f t="shared" si="30"/>
        <v>265.71954817635583</v>
      </c>
      <c r="J85" s="11">
        <f t="shared" si="30"/>
        <v>152.17841797272501</v>
      </c>
      <c r="K85" s="11">
        <f t="shared" si="30"/>
        <v>92.824198616583445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371</v>
      </c>
      <c r="D86" s="13"/>
      <c r="E86" s="13"/>
      <c r="F86" s="12" t="str">
        <f>$B$49&amp;RIGHT($C86,3)</f>
        <v>MIRGRS</v>
      </c>
      <c r="G86" s="12" t="s">
        <v>408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372</v>
      </c>
      <c r="D87" s="13"/>
      <c r="E87" s="13"/>
      <c r="F87" s="12" t="str">
        <f>$B$49&amp;RIGHT($C87,3)</f>
        <v>MIRGRM</v>
      </c>
      <c r="G87" s="12" t="s">
        <v>408</v>
      </c>
      <c r="H87" s="11">
        <f>H75-(1.5*F15)</f>
        <v>203.99684537914692</v>
      </c>
      <c r="I87" s="11">
        <f>I75-(1.5*G15)</f>
        <v>210.85124407582941</v>
      </c>
      <c r="J87" s="11">
        <f>J75-(1.5*H15)</f>
        <v>113.51279620853082</v>
      </c>
      <c r="K87" s="11">
        <f>K75-(1.5*I15)</f>
        <v>62.628613744075821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1">"Exports of "&amp;INDEX(FuelNamesLong,MATCH(B88,FuelNamesShort,0))</f>
        <v>Exports of Coal</v>
      </c>
      <c r="B88" s="13" t="s">
        <v>344</v>
      </c>
      <c r="F88" s="12" t="str">
        <f t="shared" ref="F88:F95" si="32">"PEX"&amp;B88</f>
        <v>PEXCOA</v>
      </c>
      <c r="G88" s="12" t="s">
        <v>408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1"/>
        <v>Exports of Coal Coking</v>
      </c>
      <c r="B89" s="13" t="s">
        <v>359</v>
      </c>
      <c r="F89" s="12" t="str">
        <f t="shared" si="32"/>
        <v>PEXCOK</v>
      </c>
      <c r="G89" s="12" t="s">
        <v>408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1"/>
        <v>Exports of Oil Av Gasoline</v>
      </c>
      <c r="B90" s="13" t="s">
        <v>363</v>
      </c>
      <c r="F90" s="12" t="str">
        <f t="shared" si="32"/>
        <v>PEXOAG</v>
      </c>
      <c r="G90" s="12" t="s">
        <v>408</v>
      </c>
      <c r="H90" s="11">
        <f>H93</f>
        <v>-234.68235452233611</v>
      </c>
      <c r="I90" s="11">
        <f>I93</f>
        <v>-240.41292454051242</v>
      </c>
      <c r="J90" s="11">
        <f>J93</f>
        <v>-137.68523530865593</v>
      </c>
      <c r="K90" s="11">
        <f>K93</f>
        <v>-83.983798748337406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1"/>
        <v>Exports of Oil Crude</v>
      </c>
      <c r="B91" s="13" t="s">
        <v>347</v>
      </c>
      <c r="F91" s="12" t="str">
        <f t="shared" si="32"/>
        <v>PEXOCR</v>
      </c>
      <c r="G91" s="12" t="s">
        <v>408</v>
      </c>
      <c r="H91" s="11">
        <f t="shared" ref="H91:K95" si="33">SUMIF($E$22:$E$34,$B91,F$22:F$34)*$F$53</f>
        <v>-186.63033214185884</v>
      </c>
      <c r="I91" s="11">
        <f t="shared" si="33"/>
        <v>-192.54731207547169</v>
      </c>
      <c r="J91" s="11">
        <f t="shared" si="33"/>
        <v>-108.52102935010481</v>
      </c>
      <c r="K91" s="11">
        <f t="shared" si="33"/>
        <v>-64.595850803633823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1"/>
        <v>Exports of Oil Diesel</v>
      </c>
      <c r="B92" s="13" t="s">
        <v>364</v>
      </c>
      <c r="F92" s="12" t="str">
        <f t="shared" si="32"/>
        <v>PEXODS</v>
      </c>
      <c r="G92" s="12" t="s">
        <v>408</v>
      </c>
      <c r="H92" s="11">
        <f t="shared" si="33"/>
        <v>-224.73569710604542</v>
      </c>
      <c r="I92" s="11">
        <f t="shared" si="33"/>
        <v>-232.42136734265776</v>
      </c>
      <c r="J92" s="11">
        <f t="shared" si="33"/>
        <v>-130.27737416365903</v>
      </c>
      <c r="K92" s="11">
        <f t="shared" si="33"/>
        <v>-76.881067766273503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1"/>
        <v>Exports of Oil Gasoline</v>
      </c>
      <c r="B93" s="13" t="s">
        <v>365</v>
      </c>
      <c r="F93" s="12" t="str">
        <f t="shared" si="32"/>
        <v>PEXOGS</v>
      </c>
      <c r="G93" s="12" t="s">
        <v>408</v>
      </c>
      <c r="H93" s="11">
        <f t="shared" si="33"/>
        <v>-234.68235452233611</v>
      </c>
      <c r="I93" s="11">
        <f t="shared" si="33"/>
        <v>-240.41292454051242</v>
      </c>
      <c r="J93" s="11">
        <f t="shared" si="33"/>
        <v>-137.68523530865593</v>
      </c>
      <c r="K93" s="11">
        <f t="shared" si="33"/>
        <v>-83.983798748337406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1"/>
        <v>Exports of Oil HFO</v>
      </c>
      <c r="B94" s="13" t="s">
        <v>366</v>
      </c>
      <c r="F94" s="12" t="str">
        <f t="shared" si="32"/>
        <v>PEXOHF</v>
      </c>
      <c r="G94" s="12" t="s">
        <v>408</v>
      </c>
      <c r="H94" s="11">
        <f t="shared" si="33"/>
        <v>-186.63033214185884</v>
      </c>
      <c r="I94" s="11">
        <f t="shared" si="33"/>
        <v>-192.54731207547169</v>
      </c>
      <c r="J94" s="11">
        <f t="shared" si="33"/>
        <v>-108.52102935010481</v>
      </c>
      <c r="K94" s="11">
        <f t="shared" si="33"/>
        <v>-64.595850803633823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1"/>
        <v>Exports of Oil Kerosene</v>
      </c>
      <c r="B95" s="13" t="s">
        <v>368</v>
      </c>
      <c r="F95" s="12" t="str">
        <f t="shared" si="32"/>
        <v>PEXOKE</v>
      </c>
      <c r="G95" s="12" t="s">
        <v>408</v>
      </c>
      <c r="H95" s="11">
        <f t="shared" si="33"/>
        <v>-231.28210231970894</v>
      </c>
      <c r="I95" s="11">
        <f t="shared" si="33"/>
        <v>-238.22903293977191</v>
      </c>
      <c r="J95" s="11">
        <f t="shared" si="33"/>
        <v>-139.57655094656346</v>
      </c>
      <c r="K95" s="11">
        <f t="shared" si="33"/>
        <v>-88.005450273606996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36" xr:uid="{A725FED7-1EB6-40C4-B182-FF7DCE6262A9}">
      <formula1>$O$36:$U$36</formula1>
    </dataValidation>
    <dataValidation type="list" allowBlank="1" showInputMessage="1" showErrorMessage="1" sqref="D16" xr:uid="{9343D23E-47C4-4F9D-81EE-6AC025431A59}">
      <formula1>$M$15:$M$24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>
      <selection activeCell="B2" sqref="B2:F2"/>
    </sheetView>
    <sheetView workbookViewId="1"/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230</v>
      </c>
      <c r="W1" s="182">
        <v>40909</v>
      </c>
      <c r="AS1" t="s">
        <v>229</v>
      </c>
      <c r="AU1" t="s">
        <v>228</v>
      </c>
      <c r="AV1" t="s">
        <v>186</v>
      </c>
    </row>
    <row r="2" spans="4:49" ht="18" thickBot="1" x14ac:dyDescent="0.35">
      <c r="D2" s="181" t="s">
        <v>227</v>
      </c>
      <c r="E2" s="181"/>
      <c r="F2" s="181"/>
      <c r="G2" s="181"/>
      <c r="H2" s="181"/>
      <c r="U2" t="s">
        <v>226</v>
      </c>
      <c r="V2" t="s">
        <v>225</v>
      </c>
      <c r="W2" s="11">
        <f>SUMIF($C$27:$C$110,$W$1,$J$27:$J$110)</f>
        <v>8.2121999999999993</v>
      </c>
      <c r="AS2" t="s">
        <v>224</v>
      </c>
      <c r="AT2" t="s">
        <v>139</v>
      </c>
      <c r="AU2">
        <v>661</v>
      </c>
    </row>
    <row r="3" spans="4:49" ht="15.75" thickTop="1" x14ac:dyDescent="0.25">
      <c r="D3" s="31" t="s">
        <v>223</v>
      </c>
      <c r="V3" t="s">
        <v>140</v>
      </c>
      <c r="W3">
        <f>SUMIF($C$27:$C$110,$W$1,$K$27:$K$110)</f>
        <v>107.96</v>
      </c>
      <c r="AS3" t="s">
        <v>222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139</v>
      </c>
      <c r="W4">
        <f>W3*W2</f>
        <v>886.58911199999989</v>
      </c>
      <c r="AS4" t="s">
        <v>128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221</v>
      </c>
      <c r="AB5" s="181" t="s">
        <v>220</v>
      </c>
      <c r="AC5" s="181"/>
      <c r="AD5" s="181"/>
      <c r="AF5" s="181" t="s">
        <v>219</v>
      </c>
      <c r="AG5" s="181"/>
      <c r="AH5" s="181"/>
      <c r="AI5" s="181"/>
      <c r="AJ5" s="181"/>
      <c r="AN5" t="s">
        <v>218</v>
      </c>
      <c r="AO5" t="s">
        <v>217</v>
      </c>
    </row>
    <row r="6" spans="4:49" ht="16.5" thickTop="1" thickBot="1" x14ac:dyDescent="0.3">
      <c r="D6" s="180" t="s">
        <v>129</v>
      </c>
      <c r="H6" s="180" t="s">
        <v>128</v>
      </c>
      <c r="L6" s="180" t="s">
        <v>170</v>
      </c>
      <c r="P6" s="180" t="s">
        <v>162</v>
      </c>
      <c r="V6" t="s">
        <v>216</v>
      </c>
      <c r="W6" t="s">
        <v>129</v>
      </c>
      <c r="X6" t="s">
        <v>128</v>
      </c>
      <c r="Y6" t="s">
        <v>170</v>
      </c>
      <c r="Z6" t="s">
        <v>162</v>
      </c>
      <c r="AB6" t="s">
        <v>210</v>
      </c>
      <c r="AC6">
        <v>45</v>
      </c>
      <c r="AD6" t="s">
        <v>215</v>
      </c>
      <c r="AM6" t="s">
        <v>214</v>
      </c>
      <c r="AN6" t="s">
        <v>209</v>
      </c>
      <c r="AO6" t="s">
        <v>213</v>
      </c>
      <c r="AP6" t="s">
        <v>212</v>
      </c>
    </row>
    <row r="7" spans="4:49" x14ac:dyDescent="0.25">
      <c r="D7" t="s">
        <v>187</v>
      </c>
      <c r="E7">
        <f t="array" ref="E7:F9">LINEST(M75:M110,$L$75:$L$110,TRUE,TRUE)</f>
        <v>0.69131118046539197</v>
      </c>
      <c r="F7">
        <v>18.039952527622177</v>
      </c>
      <c r="H7" t="s">
        <v>187</v>
      </c>
      <c r="I7">
        <f t="array" ref="I7:J9">LINEST(N75:N110,$L$75:$L$110,TRUE,TRUE)</f>
        <v>0.76576896825557872</v>
      </c>
      <c r="J7">
        <v>-6.588942732473015</v>
      </c>
      <c r="L7" t="s">
        <v>187</v>
      </c>
      <c r="M7">
        <f t="array" ref="M7:N9">LINEST(H27:H110,$L$27:$L$110,TRUE,TRUE)</f>
        <v>0.71824017800423035</v>
      </c>
      <c r="N7">
        <v>47.381796282440177</v>
      </c>
      <c r="P7" t="s">
        <v>187</v>
      </c>
      <c r="Q7">
        <f t="array" ref="Q7:R9">LINEST(I101:I110,$L$101:$L$110,TRUE,TRUE)</f>
        <v>0.77267955265970056</v>
      </c>
      <c r="R7">
        <v>814.37721538925723</v>
      </c>
      <c r="U7" t="s">
        <v>195</v>
      </c>
      <c r="V7" s="176">
        <f>1/AC7*1/AC14*1000</f>
        <v>0.16533892382948986</v>
      </c>
      <c r="W7" s="179">
        <f>1/AC8/100*E7*1000</f>
        <v>0.20213777206590408</v>
      </c>
      <c r="X7" s="179">
        <f>1/AC9/100*I7*1000</f>
        <v>0.20098923051327525</v>
      </c>
      <c r="Y7" s="179">
        <f>1/AC10/100*M7*1000</f>
        <v>0.19411896702817036</v>
      </c>
      <c r="Z7" s="179">
        <f>1/AC11/100*Q7*1000</f>
        <v>0.16797381579558707</v>
      </c>
      <c r="AB7" t="s">
        <v>210</v>
      </c>
      <c r="AC7" s="94">
        <f>AC6/AC15*1000</f>
        <v>38.03888419273035</v>
      </c>
      <c r="AD7" t="s">
        <v>209</v>
      </c>
      <c r="AF7" t="s">
        <v>211</v>
      </c>
      <c r="AI7">
        <v>200</v>
      </c>
      <c r="AJ7" t="s">
        <v>56</v>
      </c>
      <c r="AL7" t="s">
        <v>210</v>
      </c>
      <c r="AM7">
        <v>1</v>
      </c>
      <c r="AN7">
        <v>38.5</v>
      </c>
      <c r="AP7">
        <v>6.15</v>
      </c>
    </row>
    <row r="8" spans="4:49" x14ac:dyDescent="0.25">
      <c r="D8" t="s">
        <v>184</v>
      </c>
      <c r="E8">
        <v>2.1689295799937405E-2</v>
      </c>
      <c r="F8">
        <v>16.805407207022476</v>
      </c>
      <c r="H8" t="s">
        <v>184</v>
      </c>
      <c r="I8">
        <v>1.88945947014778E-2</v>
      </c>
      <c r="J8">
        <v>14.640003110239293</v>
      </c>
      <c r="L8" t="s">
        <v>184</v>
      </c>
      <c r="M8">
        <v>2.0929526528181964E-2</v>
      </c>
      <c r="N8">
        <v>14.002957365912605</v>
      </c>
      <c r="P8" t="s">
        <v>184</v>
      </c>
      <c r="Q8">
        <v>0.17222197251198301</v>
      </c>
      <c r="R8">
        <v>158.56449471815961</v>
      </c>
      <c r="U8" t="s">
        <v>189</v>
      </c>
      <c r="V8">
        <v>0</v>
      </c>
      <c r="W8" s="176">
        <f>1/AC8/100*1000*F7</f>
        <v>5.274839920357361</v>
      </c>
      <c r="X8" s="176">
        <f>1/AC9/100*1000*J7</f>
        <v>-1.7293812946123399</v>
      </c>
      <c r="Y8" s="176">
        <f>1/AC10/100*1000*N7</f>
        <v>12.805890887145994</v>
      </c>
      <c r="Z8" s="176">
        <f>1/AC11/100*1000*R7</f>
        <v>177.03852508462114</v>
      </c>
      <c r="AB8" t="s">
        <v>129</v>
      </c>
      <c r="AC8">
        <v>34.200000000000003</v>
      </c>
      <c r="AD8" t="s">
        <v>209</v>
      </c>
      <c r="AI8" s="94">
        <f>AI7/AC9*100</f>
        <v>524.93438320209975</v>
      </c>
      <c r="AJ8" t="s">
        <v>138</v>
      </c>
      <c r="AL8" t="s">
        <v>129</v>
      </c>
      <c r="AM8">
        <v>1</v>
      </c>
      <c r="AN8">
        <v>32.1</v>
      </c>
      <c r="AO8">
        <v>0.745</v>
      </c>
    </row>
    <row r="9" spans="4:49" x14ac:dyDescent="0.25">
      <c r="D9" t="s">
        <v>181</v>
      </c>
      <c r="E9">
        <v>0.96761634565975629</v>
      </c>
      <c r="F9">
        <v>19.266650663456474</v>
      </c>
      <c r="H9" t="s">
        <v>181</v>
      </c>
      <c r="I9">
        <v>0.97972033969162609</v>
      </c>
      <c r="J9">
        <v>16.784111337631305</v>
      </c>
      <c r="L9" t="s">
        <v>181</v>
      </c>
      <c r="M9">
        <v>0.93490316152328135</v>
      </c>
      <c r="N9">
        <v>36.92368042685311</v>
      </c>
      <c r="P9" t="s">
        <v>181</v>
      </c>
      <c r="Q9">
        <v>0.71559577988177048</v>
      </c>
      <c r="R9">
        <v>28.81393096261419</v>
      </c>
      <c r="U9" t="s">
        <v>186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128</v>
      </c>
      <c r="AC9">
        <v>38.1</v>
      </c>
      <c r="AD9" t="s">
        <v>209</v>
      </c>
      <c r="AL9" t="s">
        <v>128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183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170</v>
      </c>
      <c r="AC10">
        <v>37</v>
      </c>
      <c r="AD10" t="s">
        <v>209</v>
      </c>
    </row>
    <row r="11" spans="4:49" x14ac:dyDescent="0.25">
      <c r="D11" s="31" t="s">
        <v>208</v>
      </c>
      <c r="U11" t="s">
        <v>180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162</v>
      </c>
      <c r="AC11">
        <v>46</v>
      </c>
      <c r="AD11" t="s">
        <v>207</v>
      </c>
      <c r="AF11" s="178" t="s">
        <v>206</v>
      </c>
    </row>
    <row r="12" spans="4:49" x14ac:dyDescent="0.25">
      <c r="D12" t="s">
        <v>187</v>
      </c>
      <c r="E12">
        <f t="array" ref="E12:F14">LINEST($Z$75:$Z$110,$L$75:$L$110,1,1)</f>
        <v>0.93691765795315396</v>
      </c>
      <c r="F12">
        <v>265.34488871773931</v>
      </c>
      <c r="H12" t="s">
        <v>187</v>
      </c>
      <c r="I12">
        <f t="array" ref="I12:J14">LINEST($AA$75:$AA$110,$L$75:$L$110,1,1)</f>
        <v>0.96018863587643721</v>
      </c>
      <c r="J12">
        <v>173.46397553035843</v>
      </c>
      <c r="L12" t="s">
        <v>187</v>
      </c>
      <c r="M12">
        <f t="array" ref="M12:N14">LINEST($AB$75:$AB$110,$L$75:$L$110,1,1)</f>
        <v>0.80597468921050219</v>
      </c>
      <c r="N12">
        <v>51.88943126981917</v>
      </c>
      <c r="P12" t="s">
        <v>187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205</v>
      </c>
      <c r="AJ12">
        <v>247</v>
      </c>
      <c r="AK12" t="s">
        <v>204</v>
      </c>
    </row>
    <row r="13" spans="4:49" x14ac:dyDescent="0.25">
      <c r="D13" t="s">
        <v>184</v>
      </c>
      <c r="E13">
        <v>3.5673569679450304E-2</v>
      </c>
      <c r="F13">
        <v>27.640771305861513</v>
      </c>
      <c r="H13" t="s">
        <v>184</v>
      </c>
      <c r="I13">
        <v>3.108958023439274E-2</v>
      </c>
      <c r="J13">
        <v>24.088981982341494</v>
      </c>
      <c r="L13" t="s">
        <v>184</v>
      </c>
      <c r="M13">
        <v>2.1167655434585625E-2</v>
      </c>
      <c r="N13">
        <v>16.401227244878111</v>
      </c>
      <c r="P13" t="s">
        <v>184</v>
      </c>
      <c r="Q13">
        <v>0.22541092540186744</v>
      </c>
      <c r="R13">
        <v>207.53547859761611</v>
      </c>
      <c r="U13" s="31" t="s">
        <v>203</v>
      </c>
      <c r="AB13" s="31" t="s">
        <v>202</v>
      </c>
      <c r="AF13" t="s">
        <v>201</v>
      </c>
      <c r="AJ13">
        <f>124+107</f>
        <v>231</v>
      </c>
      <c r="AK13" t="s">
        <v>200</v>
      </c>
    </row>
    <row r="14" spans="4:49" x14ac:dyDescent="0.25">
      <c r="D14" t="s">
        <v>181</v>
      </c>
      <c r="E14">
        <v>0.95302430812025962</v>
      </c>
      <c r="F14">
        <v>31.68891287537447</v>
      </c>
      <c r="H14" t="s">
        <v>181</v>
      </c>
      <c r="I14">
        <v>0.96558207335934509</v>
      </c>
      <c r="J14">
        <v>27.616944652083852</v>
      </c>
      <c r="L14" t="s">
        <v>181</v>
      </c>
      <c r="M14">
        <v>0.977085303672103</v>
      </c>
      <c r="N14">
        <v>18.803276343520299</v>
      </c>
      <c r="P14" t="s">
        <v>181</v>
      </c>
      <c r="Q14">
        <v>0.71631542231007461</v>
      </c>
      <c r="R14">
        <v>37.712811832395388</v>
      </c>
      <c r="W14" t="s">
        <v>129</v>
      </c>
      <c r="X14" t="s">
        <v>128</v>
      </c>
      <c r="Y14" t="s">
        <v>170</v>
      </c>
      <c r="Z14" t="s">
        <v>162</v>
      </c>
      <c r="AB14" t="s">
        <v>199</v>
      </c>
      <c r="AC14">
        <v>159</v>
      </c>
      <c r="AD14" t="s">
        <v>198</v>
      </c>
      <c r="AF14" t="s">
        <v>197</v>
      </c>
      <c r="AJ14">
        <f>350+279</f>
        <v>629</v>
      </c>
      <c r="AK14" t="s">
        <v>196</v>
      </c>
    </row>
    <row r="15" spans="4:49" x14ac:dyDescent="0.25">
      <c r="U15" t="s">
        <v>195</v>
      </c>
      <c r="W15" s="176">
        <f>E17</f>
        <v>1.3565756517544196</v>
      </c>
      <c r="X15" s="176">
        <f>I17</f>
        <v>1.2570018926592408</v>
      </c>
      <c r="Y15" s="176">
        <f>M17</f>
        <v>1.0689483180091128</v>
      </c>
      <c r="Z15" s="176">
        <f>Q17</f>
        <v>1.3104939955713899</v>
      </c>
      <c r="AB15" t="s">
        <v>194</v>
      </c>
      <c r="AC15">
        <v>1183</v>
      </c>
      <c r="AD15" t="s">
        <v>193</v>
      </c>
      <c r="AF15" t="s">
        <v>192</v>
      </c>
      <c r="AJ15" s="176">
        <f>AJ13/AJ14</f>
        <v>0.36724960254372019</v>
      </c>
      <c r="AK15" t="s">
        <v>191</v>
      </c>
      <c r="AL15" s="177">
        <f>(AJ14*3.6)/(AJ13/AC9)/1000</f>
        <v>0.37347896103896105</v>
      </c>
    </row>
    <row r="16" spans="4:49" x14ac:dyDescent="0.25">
      <c r="D16" s="31" t="s">
        <v>190</v>
      </c>
      <c r="U16" t="s">
        <v>189</v>
      </c>
      <c r="W16" s="176">
        <f>1/AC8/100*1000*F17</f>
        <v>70.230748454632177</v>
      </c>
      <c r="X16" s="176">
        <f>1/AC9/100*1000*J17</f>
        <v>47.226464833505872</v>
      </c>
      <c r="Y16" s="176">
        <f>1/AC10/100*1000*N17</f>
        <v>14.749344752353803</v>
      </c>
      <c r="Z16" s="176">
        <f>1/AC11/100*1000*R17</f>
        <v>50.285290465410377</v>
      </c>
      <c r="AF16" t="s">
        <v>188</v>
      </c>
      <c r="AJ16" s="11">
        <f>AJ12/AJ15</f>
        <v>672.5670995670996</v>
      </c>
      <c r="AK16" t="s">
        <v>138</v>
      </c>
    </row>
    <row r="17" spans="3:37" x14ac:dyDescent="0.25">
      <c r="D17" t="s">
        <v>187</v>
      </c>
      <c r="E17">
        <f t="array" ref="E17:F19">LINEST($Z$75:$Z$110,$M$75:$M$110,1,1)</f>
        <v>1.3565756517544196</v>
      </c>
      <c r="F17">
        <v>240.18915971484205</v>
      </c>
      <c r="H17" t="s">
        <v>187</v>
      </c>
      <c r="I17">
        <f t="array" ref="I17:J19">LINEST($AA$75:$AA$110,$N$75:$N$110,1,1)</f>
        <v>1.2570018926592408</v>
      </c>
      <c r="J17">
        <v>179.93283101565737</v>
      </c>
      <c r="L17" t="s">
        <v>187</v>
      </c>
      <c r="M17">
        <f t="array" ref="M17:N19">LINEST($AB$75:$AB$110,$H$75:$H$110,1,1)</f>
        <v>1.0689483180091128</v>
      </c>
      <c r="N17">
        <v>54.572575583709067</v>
      </c>
      <c r="P17" t="s">
        <v>187</v>
      </c>
      <c r="Q17">
        <f t="array" ref="Q17:R19">LINEST($AC$101:$AC$110,$I$101:$I$110,1,1)</f>
        <v>1.3104939955713899</v>
      </c>
      <c r="R17">
        <v>231.31233614088774</v>
      </c>
      <c r="U17" t="s">
        <v>186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185</v>
      </c>
      <c r="AJ17" s="11">
        <f>AVERAGE(N94:N100)</f>
        <v>647.57899999999984</v>
      </c>
      <c r="AK17" t="s">
        <v>138</v>
      </c>
    </row>
    <row r="18" spans="3:37" x14ac:dyDescent="0.25">
      <c r="D18" t="s">
        <v>184</v>
      </c>
      <c r="E18">
        <v>2.6898357481685498E-2</v>
      </c>
      <c r="F18">
        <v>14.893086073456775</v>
      </c>
      <c r="H18" t="s">
        <v>184</v>
      </c>
      <c r="I18">
        <v>2.1145683471638581E-2</v>
      </c>
      <c r="J18">
        <v>12.414574263894144</v>
      </c>
      <c r="L18" t="s">
        <v>184</v>
      </c>
      <c r="M18">
        <v>4.5274592231916537E-3</v>
      </c>
      <c r="N18">
        <v>2.6349353504746529</v>
      </c>
      <c r="P18" t="s">
        <v>184</v>
      </c>
      <c r="Q18">
        <v>1.2268570690478447E-3</v>
      </c>
      <c r="R18">
        <v>1.871413674110501</v>
      </c>
      <c r="U18" t="s">
        <v>183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182</v>
      </c>
      <c r="AJ18" s="11">
        <f>AVERAGE(AA94:AA100)</f>
        <v>979.92485714285704</v>
      </c>
      <c r="AK18" t="s">
        <v>138</v>
      </c>
    </row>
    <row r="19" spans="3:37" x14ac:dyDescent="0.25">
      <c r="D19" t="s">
        <v>181</v>
      </c>
      <c r="E19">
        <v>0.98680906639693522</v>
      </c>
      <c r="F19">
        <v>16.79223544836556</v>
      </c>
      <c r="H19" t="s">
        <v>181</v>
      </c>
      <c r="I19">
        <v>0.99047002318918431</v>
      </c>
      <c r="J19">
        <v>14.532127488105694</v>
      </c>
      <c r="L19" t="s">
        <v>181</v>
      </c>
      <c r="M19">
        <v>0.99939044936173471</v>
      </c>
      <c r="N19">
        <v>3.0667711621812406</v>
      </c>
      <c r="P19" t="s">
        <v>181</v>
      </c>
      <c r="Q19">
        <v>0.99999298859893382</v>
      </c>
      <c r="R19">
        <v>0.18748799131796864</v>
      </c>
      <c r="U19" t="s">
        <v>180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5" t="s">
        <v>179</v>
      </c>
      <c r="E22" s="175"/>
      <c r="F22" s="175"/>
      <c r="G22" s="175"/>
      <c r="H22" s="175"/>
      <c r="I22" s="175"/>
      <c r="K22" s="149"/>
      <c r="L22" s="149"/>
      <c r="M22" s="149"/>
      <c r="N22" s="149"/>
      <c r="O22" s="149"/>
      <c r="P22" s="149"/>
      <c r="Q22" s="175" t="s">
        <v>178</v>
      </c>
      <c r="R22" s="175"/>
      <c r="S22" s="175"/>
      <c r="T22" s="175"/>
      <c r="U22" s="175"/>
    </row>
    <row r="23" spans="3:37" x14ac:dyDescent="0.25">
      <c r="C23" s="174"/>
      <c r="D23" s="170" t="s">
        <v>177</v>
      </c>
      <c r="E23" s="75"/>
      <c r="F23" s="75"/>
      <c r="G23" s="75"/>
      <c r="H23" s="75"/>
      <c r="I23" s="75"/>
      <c r="J23" s="75"/>
      <c r="K23" s="169"/>
      <c r="L23" s="173"/>
      <c r="M23" s="75"/>
      <c r="N23" s="169"/>
      <c r="O23" s="170"/>
      <c r="P23" s="170"/>
      <c r="Q23" s="170"/>
      <c r="R23" s="170"/>
      <c r="S23" s="171" t="s">
        <v>176</v>
      </c>
      <c r="T23" s="170"/>
      <c r="U23" s="170"/>
      <c r="V23" s="170"/>
      <c r="W23" s="170"/>
      <c r="X23" s="170"/>
      <c r="Y23" s="172"/>
      <c r="Z23" s="171"/>
      <c r="AA23" s="170"/>
      <c r="AB23" s="170"/>
      <c r="AC23" s="170"/>
      <c r="AD23" s="171" t="s">
        <v>175</v>
      </c>
      <c r="AE23" s="170"/>
      <c r="AF23" s="170"/>
      <c r="AG23" s="170"/>
      <c r="AH23" s="171"/>
      <c r="AI23" s="170"/>
      <c r="AJ23" s="170"/>
      <c r="AK23" s="169"/>
    </row>
    <row r="24" spans="3:37" x14ac:dyDescent="0.25">
      <c r="C24" s="153"/>
      <c r="D24" s="168" t="s">
        <v>174</v>
      </c>
      <c r="J24" s="167" t="s">
        <v>173</v>
      </c>
      <c r="K24" s="151"/>
      <c r="L24" s="151"/>
      <c r="M24" s="165" t="s">
        <v>172</v>
      </c>
      <c r="N24" s="151"/>
      <c r="O24" s="106" t="s">
        <v>171</v>
      </c>
      <c r="P24" s="106"/>
      <c r="Q24" s="106"/>
      <c r="R24" s="106"/>
      <c r="S24" s="165" t="s">
        <v>129</v>
      </c>
      <c r="T24" s="106"/>
      <c r="U24" s="106"/>
      <c r="V24" s="106" t="s">
        <v>128</v>
      </c>
      <c r="W24" s="106"/>
      <c r="X24" s="106" t="s">
        <v>170</v>
      </c>
      <c r="Y24" s="166"/>
      <c r="Z24" s="165"/>
      <c r="AA24" s="106"/>
      <c r="AB24" s="106"/>
      <c r="AC24" s="106"/>
      <c r="AD24" s="165" t="s">
        <v>169</v>
      </c>
      <c r="AE24" s="106"/>
      <c r="AF24" s="106"/>
      <c r="AG24" s="106"/>
      <c r="AH24" s="165" t="s">
        <v>168</v>
      </c>
      <c r="AI24" s="106"/>
      <c r="AJ24" s="106"/>
      <c r="AK24" s="151"/>
    </row>
    <row r="25" spans="3:37" ht="60" x14ac:dyDescent="0.25">
      <c r="C25" s="142"/>
      <c r="D25" s="162" t="s">
        <v>167</v>
      </c>
      <c r="E25" s="162" t="s">
        <v>166</v>
      </c>
      <c r="F25" s="162" t="s">
        <v>165</v>
      </c>
      <c r="G25" s="162" t="s">
        <v>164</v>
      </c>
      <c r="H25" s="162" t="s">
        <v>163</v>
      </c>
      <c r="I25" s="162" t="s">
        <v>162</v>
      </c>
      <c r="J25" s="162" t="s">
        <v>161</v>
      </c>
      <c r="K25" s="164" t="s">
        <v>160</v>
      </c>
      <c r="L25" s="164" t="s">
        <v>159</v>
      </c>
      <c r="M25" s="163" t="s">
        <v>153</v>
      </c>
      <c r="N25" s="164" t="s">
        <v>158</v>
      </c>
      <c r="O25" s="163" t="s">
        <v>149</v>
      </c>
      <c r="P25" s="162" t="s">
        <v>148</v>
      </c>
      <c r="Q25" s="162" t="s">
        <v>147</v>
      </c>
      <c r="R25" s="162" t="s">
        <v>146</v>
      </c>
      <c r="S25" s="163" t="s">
        <v>156</v>
      </c>
      <c r="T25" s="162" t="s">
        <v>157</v>
      </c>
      <c r="U25" s="162" t="s">
        <v>156</v>
      </c>
      <c r="V25" s="162" t="s">
        <v>154</v>
      </c>
      <c r="W25" s="162" t="s">
        <v>155</v>
      </c>
      <c r="X25" s="162" t="s">
        <v>155</v>
      </c>
      <c r="Y25" s="164" t="s">
        <v>154</v>
      </c>
      <c r="Z25" s="163" t="s">
        <v>153</v>
      </c>
      <c r="AA25" s="162" t="s">
        <v>152</v>
      </c>
      <c r="AB25" s="162" t="s">
        <v>151</v>
      </c>
      <c r="AC25" s="162" t="s">
        <v>150</v>
      </c>
      <c r="AD25" s="163" t="s">
        <v>149</v>
      </c>
      <c r="AE25" s="162" t="s">
        <v>148</v>
      </c>
      <c r="AF25" s="162" t="s">
        <v>147</v>
      </c>
      <c r="AG25" s="164" t="s">
        <v>146</v>
      </c>
      <c r="AH25" s="163" t="s">
        <v>145</v>
      </c>
      <c r="AI25" s="162" t="s">
        <v>144</v>
      </c>
      <c r="AJ25" s="162" t="s">
        <v>143</v>
      </c>
      <c r="AK25" s="164" t="s">
        <v>142</v>
      </c>
    </row>
    <row r="26" spans="3:37" x14ac:dyDescent="0.25">
      <c r="C26" s="142"/>
      <c r="D26" s="163" t="s">
        <v>138</v>
      </c>
      <c r="E26" s="162" t="s">
        <v>138</v>
      </c>
      <c r="F26" s="162" t="s">
        <v>138</v>
      </c>
      <c r="G26" s="162" t="s">
        <v>138</v>
      </c>
      <c r="H26" s="162" t="s">
        <v>138</v>
      </c>
      <c r="I26" s="162" t="s">
        <v>137</v>
      </c>
      <c r="J26" s="162" t="s">
        <v>141</v>
      </c>
      <c r="K26" s="164" t="s">
        <v>140</v>
      </c>
      <c r="L26" s="164" t="s">
        <v>139</v>
      </c>
      <c r="M26" s="163" t="s">
        <v>138</v>
      </c>
      <c r="N26" s="164" t="s">
        <v>138</v>
      </c>
      <c r="O26" s="163" t="s">
        <v>138</v>
      </c>
      <c r="P26" s="162" t="s">
        <v>138</v>
      </c>
      <c r="Q26" s="162" t="s">
        <v>138</v>
      </c>
      <c r="R26" s="162" t="s">
        <v>137</v>
      </c>
      <c r="S26" s="163" t="s">
        <v>138</v>
      </c>
      <c r="T26" s="162" t="s">
        <v>138</v>
      </c>
      <c r="U26" s="162" t="s">
        <v>138</v>
      </c>
      <c r="V26" s="162" t="s">
        <v>138</v>
      </c>
      <c r="W26" s="162" t="s">
        <v>138</v>
      </c>
      <c r="X26" s="162" t="s">
        <v>138</v>
      </c>
      <c r="Y26" s="164" t="s">
        <v>138</v>
      </c>
      <c r="Z26" s="163" t="s">
        <v>138</v>
      </c>
      <c r="AA26" s="162" t="s">
        <v>138</v>
      </c>
      <c r="AB26" s="162" t="s">
        <v>138</v>
      </c>
      <c r="AC26" s="162" t="s">
        <v>137</v>
      </c>
      <c r="AD26" s="163" t="s">
        <v>138</v>
      </c>
      <c r="AE26" s="162" t="s">
        <v>138</v>
      </c>
      <c r="AF26" s="162" t="s">
        <v>138</v>
      </c>
      <c r="AG26" s="162" t="s">
        <v>137</v>
      </c>
      <c r="AH26" s="163" t="s">
        <v>138</v>
      </c>
      <c r="AI26" s="162" t="s">
        <v>138</v>
      </c>
      <c r="AJ26" s="162" t="s">
        <v>138</v>
      </c>
      <c r="AK26" s="162" t="s">
        <v>137</v>
      </c>
    </row>
    <row r="27" spans="3:37" x14ac:dyDescent="0.25">
      <c r="C27" s="155">
        <v>38718</v>
      </c>
      <c r="D27" s="153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51">
        <v>54.46</v>
      </c>
      <c r="L27" s="154">
        <f t="shared" ref="L27:L58" si="0">K27*J27</f>
        <v>347.24785200000002</v>
      </c>
      <c r="M27" s="153">
        <f t="shared" ref="M27:M58" si="1">AVERAGE(D27:E27)</f>
        <v>267.6225</v>
      </c>
      <c r="N27" s="151">
        <f t="shared" ref="N27:N58" si="2">AVERAGE(G27:H27)</f>
        <v>311.07899999999995</v>
      </c>
      <c r="O27" s="153">
        <f t="shared" ref="O27:O58" si="3">$E$7*L27+$F$7</f>
        <v>258.09627500781392</v>
      </c>
      <c r="P27">
        <f t="shared" ref="P27:P58" si="4">$I$7*L27+$J$7</f>
        <v>259.3226866225329</v>
      </c>
      <c r="S27" s="153"/>
      <c r="Y27" s="151"/>
      <c r="Z27" s="153"/>
      <c r="AD27" s="153"/>
      <c r="AH27" s="153"/>
      <c r="AK27" s="151"/>
    </row>
    <row r="28" spans="3:37" x14ac:dyDescent="0.25">
      <c r="C28" s="155">
        <v>38749</v>
      </c>
      <c r="D28" s="153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51">
        <v>55.49</v>
      </c>
      <c r="L28" s="154">
        <f t="shared" si="0"/>
        <v>340.75299200000001</v>
      </c>
      <c r="M28" s="153">
        <f t="shared" si="1"/>
        <v>281.6225</v>
      </c>
      <c r="N28" s="151">
        <f t="shared" si="2"/>
        <v>312.57899999999995</v>
      </c>
      <c r="O28" s="153">
        <f t="shared" si="3"/>
        <v>253.60630567425645</v>
      </c>
      <c r="P28">
        <f t="shared" si="4"/>
        <v>254.34912438136848</v>
      </c>
      <c r="S28" s="153"/>
      <c r="Y28" s="151"/>
      <c r="Z28" s="153"/>
      <c r="AD28" s="153"/>
      <c r="AH28" s="153"/>
      <c r="AK28" s="151"/>
    </row>
    <row r="29" spans="3:37" x14ac:dyDescent="0.25">
      <c r="C29" s="155">
        <v>38777</v>
      </c>
      <c r="D29" s="153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51">
        <v>61.08</v>
      </c>
      <c r="L29" s="154">
        <f t="shared" si="0"/>
        <v>374.86628399999995</v>
      </c>
      <c r="M29" s="153">
        <f t="shared" si="1"/>
        <v>270.6225</v>
      </c>
      <c r="N29" s="151">
        <f t="shared" si="2"/>
        <v>313.57899999999995</v>
      </c>
      <c r="O29" s="153">
        <f t="shared" si="3"/>
        <v>277.18920583633701</v>
      </c>
      <c r="P29">
        <f t="shared" si="4"/>
        <v>280.47202480000971</v>
      </c>
      <c r="S29" s="153"/>
      <c r="Y29" s="151"/>
      <c r="Z29" s="153"/>
      <c r="AD29" s="153"/>
      <c r="AH29" s="153"/>
      <c r="AK29" s="151"/>
    </row>
    <row r="30" spans="3:37" x14ac:dyDescent="0.25">
      <c r="C30" s="155">
        <v>38808</v>
      </c>
      <c r="D30" s="153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51">
        <v>65.66</v>
      </c>
      <c r="L30" s="154">
        <f t="shared" si="0"/>
        <v>411.03159999999997</v>
      </c>
      <c r="M30" s="153">
        <f t="shared" si="1"/>
        <v>296.52250000000004</v>
      </c>
      <c r="N30" s="151">
        <f t="shared" si="2"/>
        <v>336.07899999999995</v>
      </c>
      <c r="O30" s="153">
        <f t="shared" si="3"/>
        <v>302.19069313220098</v>
      </c>
      <c r="P30">
        <f t="shared" si="4"/>
        <v>308.16630151996668</v>
      </c>
      <c r="S30" s="153"/>
      <c r="Y30" s="151"/>
      <c r="Z30" s="153"/>
      <c r="AD30" s="153"/>
      <c r="AH30" s="153"/>
      <c r="AK30" s="151"/>
    </row>
    <row r="31" spans="3:37" x14ac:dyDescent="0.25">
      <c r="C31" s="155">
        <v>38838</v>
      </c>
      <c r="D31" s="153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51">
        <v>68.8</v>
      </c>
      <c r="L31" s="154">
        <f t="shared" si="0"/>
        <v>419.02639999999997</v>
      </c>
      <c r="M31" s="153">
        <f t="shared" si="1"/>
        <v>335.52250000000004</v>
      </c>
      <c r="N31" s="151">
        <f t="shared" si="2"/>
        <v>359.57899999999995</v>
      </c>
      <c r="O31" s="153">
        <f t="shared" si="3"/>
        <v>307.71758775778568</v>
      </c>
      <c r="P31">
        <f t="shared" si="4"/>
        <v>314.28847126737639</v>
      </c>
      <c r="S31" s="153"/>
      <c r="Y31" s="151"/>
      <c r="Z31" s="153"/>
      <c r="AD31" s="153"/>
      <c r="AH31" s="153"/>
      <c r="AK31" s="151"/>
    </row>
    <row r="32" spans="3:37" x14ac:dyDescent="0.25">
      <c r="C32" s="155">
        <v>38869</v>
      </c>
      <c r="D32" s="153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51">
        <v>70.11</v>
      </c>
      <c r="L32" s="154">
        <f t="shared" si="0"/>
        <v>444.49739999999997</v>
      </c>
      <c r="M32" s="153">
        <f t="shared" si="1"/>
        <v>371.52250000000004</v>
      </c>
      <c r="N32" s="151">
        <f t="shared" si="2"/>
        <v>385.57899999999995</v>
      </c>
      <c r="O32" s="153">
        <f t="shared" si="3"/>
        <v>325.32597483541969</v>
      </c>
      <c r="P32">
        <f t="shared" si="4"/>
        <v>333.79337265781425</v>
      </c>
      <c r="S32" s="153"/>
      <c r="Y32" s="151"/>
      <c r="Z32" s="153"/>
      <c r="AD32" s="153"/>
      <c r="AH32" s="153"/>
      <c r="AK32" s="151"/>
    </row>
    <row r="33" spans="3:37" x14ac:dyDescent="0.25">
      <c r="C33" s="155">
        <v>38899</v>
      </c>
      <c r="D33" s="153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51">
        <v>72.209999999999994</v>
      </c>
      <c r="L33" s="154">
        <f t="shared" si="0"/>
        <v>504.45905999999997</v>
      </c>
      <c r="M33" s="153">
        <f t="shared" si="1"/>
        <v>396.52250000000004</v>
      </c>
      <c r="N33" s="151">
        <f t="shared" si="2"/>
        <v>419.07899999999995</v>
      </c>
      <c r="O33" s="153">
        <f t="shared" si="3"/>
        <v>366.77814079268416</v>
      </c>
      <c r="P33">
        <f t="shared" si="4"/>
        <v>379.71015117090604</v>
      </c>
      <c r="S33" s="153"/>
      <c r="Y33" s="151"/>
      <c r="Z33" s="153"/>
      <c r="AD33" s="153"/>
      <c r="AH33" s="153"/>
      <c r="AK33" s="151"/>
    </row>
    <row r="34" spans="3:37" x14ac:dyDescent="0.25">
      <c r="C34" s="155">
        <v>38930</v>
      </c>
      <c r="D34" s="153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51">
        <v>73.7</v>
      </c>
      <c r="L34" s="154">
        <f t="shared" si="0"/>
        <v>525.30412000000001</v>
      </c>
      <c r="M34" s="153">
        <f t="shared" si="1"/>
        <v>427.52250000000004</v>
      </c>
      <c r="N34" s="151">
        <f t="shared" si="2"/>
        <v>442.07899999999995</v>
      </c>
      <c r="O34" s="153">
        <f t="shared" si="3"/>
        <v>381.18856382815608</v>
      </c>
      <c r="P34">
        <f t="shared" si="4"/>
        <v>395.67265126033169</v>
      </c>
      <c r="S34" s="153"/>
      <c r="Y34" s="151"/>
      <c r="Z34" s="153"/>
      <c r="AD34" s="153"/>
      <c r="AH34" s="153"/>
      <c r="AK34" s="151"/>
    </row>
    <row r="35" spans="3:37" x14ac:dyDescent="0.25">
      <c r="C35" s="155">
        <v>38961</v>
      </c>
      <c r="D35" s="153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51">
        <v>65.12</v>
      </c>
      <c r="L35" s="154">
        <f t="shared" si="0"/>
        <v>453.91896000000008</v>
      </c>
      <c r="M35" s="153">
        <f t="shared" si="1"/>
        <v>391.52250000000004</v>
      </c>
      <c r="N35" s="151">
        <f t="shared" si="2"/>
        <v>433.57899999999995</v>
      </c>
      <c r="O35" s="153">
        <f t="shared" si="3"/>
        <v>331.83920460084528</v>
      </c>
      <c r="P35">
        <f t="shared" si="4"/>
        <v>341.00811093837234</v>
      </c>
      <c r="S35" s="153"/>
      <c r="Y35" s="151"/>
      <c r="Z35" s="153"/>
      <c r="AD35" s="153"/>
      <c r="AH35" s="153"/>
      <c r="AK35" s="151"/>
    </row>
    <row r="36" spans="3:37" x14ac:dyDescent="0.25">
      <c r="C36" s="155">
        <v>38991</v>
      </c>
      <c r="D36" s="153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51">
        <v>59.11</v>
      </c>
      <c r="L36" s="154">
        <f t="shared" si="0"/>
        <v>439.46511700000002</v>
      </c>
      <c r="M36" s="153">
        <f t="shared" si="1"/>
        <v>338.63099999999997</v>
      </c>
      <c r="N36" s="151">
        <f t="shared" si="2"/>
        <v>395.57899999999995</v>
      </c>
      <c r="O36" s="153">
        <f t="shared" si="3"/>
        <v>321.84710133425381</v>
      </c>
      <c r="P36">
        <f t="shared" si="4"/>
        <v>329.93980649693418</v>
      </c>
      <c r="S36" s="153"/>
      <c r="Y36" s="151"/>
      <c r="Z36" s="153"/>
      <c r="AD36" s="153"/>
      <c r="AH36" s="153"/>
      <c r="AK36" s="151"/>
    </row>
    <row r="37" spans="3:37" x14ac:dyDescent="0.25">
      <c r="C37" s="155">
        <v>39022</v>
      </c>
      <c r="D37" s="153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51">
        <v>63.03</v>
      </c>
      <c r="L37" s="154">
        <f t="shared" si="0"/>
        <v>485.33730300000002</v>
      </c>
      <c r="M37" s="153">
        <f t="shared" si="1"/>
        <v>317.52250000000004</v>
      </c>
      <c r="N37" s="151">
        <f t="shared" si="2"/>
        <v>388.57899999999995</v>
      </c>
      <c r="O37" s="153">
        <f t="shared" si="3"/>
        <v>353.55905638844183</v>
      </c>
      <c r="P37">
        <f t="shared" si="4"/>
        <v>365.06730304178217</v>
      </c>
      <c r="S37" s="153"/>
      <c r="Y37" s="151"/>
      <c r="Z37" s="153"/>
      <c r="AD37" s="153"/>
      <c r="AH37" s="153"/>
      <c r="AK37" s="151"/>
    </row>
    <row r="38" spans="3:37" x14ac:dyDescent="0.25">
      <c r="C38" s="155">
        <v>39052</v>
      </c>
      <c r="D38" s="153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51">
        <v>58.32</v>
      </c>
      <c r="L38" s="154">
        <f t="shared" si="0"/>
        <v>426.220056</v>
      </c>
      <c r="M38" s="153">
        <f t="shared" si="1"/>
        <v>310.52250000000004</v>
      </c>
      <c r="N38" s="151">
        <f t="shared" si="2"/>
        <v>363.07899999999995</v>
      </c>
      <c r="O38" s="153">
        <f t="shared" si="3"/>
        <v>312.69064257900766</v>
      </c>
      <c r="P38">
        <f t="shared" si="4"/>
        <v>319.79714980048198</v>
      </c>
      <c r="S38" s="153"/>
      <c r="Y38" s="151"/>
      <c r="Z38" s="153"/>
      <c r="AD38" s="153"/>
      <c r="AH38" s="153"/>
      <c r="AK38" s="151"/>
    </row>
    <row r="39" spans="3:37" x14ac:dyDescent="0.25">
      <c r="C39" s="155">
        <v>39083</v>
      </c>
      <c r="D39" s="153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51">
        <v>58.02</v>
      </c>
      <c r="L39" s="154">
        <f t="shared" si="0"/>
        <v>409.67341800000003</v>
      </c>
      <c r="M39" s="153">
        <f t="shared" si="1"/>
        <v>317.52250000000004</v>
      </c>
      <c r="N39" s="151">
        <f t="shared" si="2"/>
        <v>356.07899999999995</v>
      </c>
      <c r="O39" s="153">
        <f t="shared" si="3"/>
        <v>301.25176673049418</v>
      </c>
      <c r="P39">
        <f t="shared" si="4"/>
        <v>307.12624789112346</v>
      </c>
      <c r="S39" s="153"/>
      <c r="Y39" s="151"/>
      <c r="Z39" s="153"/>
      <c r="AD39" s="153"/>
      <c r="AH39" s="153"/>
      <c r="AK39" s="151"/>
    </row>
    <row r="40" spans="3:37" x14ac:dyDescent="0.25">
      <c r="C40" s="155">
        <v>39114</v>
      </c>
      <c r="D40" s="153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51">
        <v>53.12</v>
      </c>
      <c r="L40" s="154">
        <f t="shared" si="0"/>
        <v>382.08684799999997</v>
      </c>
      <c r="M40" s="153">
        <f t="shared" si="1"/>
        <v>294.52250000000004</v>
      </c>
      <c r="N40" s="151">
        <f t="shared" si="2"/>
        <v>340.07899999999995</v>
      </c>
      <c r="O40" s="153">
        <f t="shared" si="3"/>
        <v>282.18086245880295</v>
      </c>
      <c r="P40">
        <f t="shared" si="4"/>
        <v>286.00130864451307</v>
      </c>
      <c r="S40" s="153"/>
      <c r="Y40" s="151"/>
      <c r="Z40" s="153"/>
      <c r="AD40" s="153"/>
      <c r="AH40" s="153"/>
      <c r="AK40" s="151"/>
    </row>
    <row r="41" spans="3:37" x14ac:dyDescent="0.25">
      <c r="C41" s="155">
        <v>39142</v>
      </c>
      <c r="D41" s="153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51">
        <v>57.35</v>
      </c>
      <c r="L41" s="154">
        <f t="shared" si="0"/>
        <v>412.66766000000001</v>
      </c>
      <c r="M41" s="153">
        <f t="shared" si="1"/>
        <v>317.42250000000001</v>
      </c>
      <c r="N41" s="151">
        <f t="shared" si="2"/>
        <v>349.07899999999995</v>
      </c>
      <c r="O41" s="153">
        <f t="shared" si="3"/>
        <v>303.32171970211323</v>
      </c>
      <c r="P41">
        <f t="shared" si="4"/>
        <v>309.41914549817096</v>
      </c>
      <c r="S41" s="153"/>
      <c r="Y41" s="151"/>
      <c r="Z41" s="153"/>
      <c r="AD41" s="153"/>
      <c r="AH41" s="153"/>
      <c r="AK41" s="151"/>
    </row>
    <row r="42" spans="3:37" x14ac:dyDescent="0.25">
      <c r="C42" s="155">
        <v>39173</v>
      </c>
      <c r="D42" s="153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51">
        <v>62.1</v>
      </c>
      <c r="L42" s="154">
        <f t="shared" si="0"/>
        <v>458.55261000000002</v>
      </c>
      <c r="M42" s="153">
        <f t="shared" si="1"/>
        <v>375.92250000000001</v>
      </c>
      <c r="N42" s="151">
        <f t="shared" si="2"/>
        <v>377.57899999999995</v>
      </c>
      <c r="O42" s="153">
        <f t="shared" si="3"/>
        <v>335.04249865220868</v>
      </c>
      <c r="P42">
        <f t="shared" si="4"/>
        <v>344.55641631812978</v>
      </c>
      <c r="S42" s="153"/>
      <c r="Y42" s="151"/>
      <c r="Z42" s="153"/>
      <c r="AD42" s="153"/>
      <c r="AH42" s="153"/>
      <c r="AK42" s="151"/>
    </row>
    <row r="43" spans="3:37" x14ac:dyDescent="0.25">
      <c r="C43" s="155">
        <v>39203</v>
      </c>
      <c r="D43" s="153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51">
        <v>64.13</v>
      </c>
      <c r="L43" s="154">
        <f t="shared" si="0"/>
        <v>459.68383999999998</v>
      </c>
      <c r="M43" s="153">
        <f t="shared" si="1"/>
        <v>409.92250000000001</v>
      </c>
      <c r="N43" s="151">
        <f t="shared" si="2"/>
        <v>401.57899999999995</v>
      </c>
      <c r="O43" s="153">
        <f t="shared" si="3"/>
        <v>335.82453059888655</v>
      </c>
      <c r="P43">
        <f t="shared" si="4"/>
        <v>345.42267714808952</v>
      </c>
      <c r="S43" s="153"/>
      <c r="Y43" s="151"/>
      <c r="Z43" s="153"/>
      <c r="AD43" s="153"/>
      <c r="AH43" s="153"/>
      <c r="AK43" s="151"/>
    </row>
    <row r="44" spans="3:37" x14ac:dyDescent="0.25">
      <c r="C44" s="155">
        <v>39234</v>
      </c>
      <c r="D44" s="153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51">
        <v>66.45</v>
      </c>
      <c r="L44" s="154">
        <f t="shared" si="0"/>
        <v>468.18676500000004</v>
      </c>
      <c r="M44" s="153">
        <f t="shared" si="1"/>
        <v>432.92250000000001</v>
      </c>
      <c r="N44" s="151">
        <f t="shared" si="2"/>
        <v>406.07899999999995</v>
      </c>
      <c r="O44" s="153">
        <f t="shared" si="3"/>
        <v>341.70269771804527</v>
      </c>
      <c r="P44">
        <f t="shared" si="4"/>
        <v>351.93395325249412</v>
      </c>
      <c r="S44" s="153"/>
      <c r="Y44" s="151"/>
      <c r="Z44" s="153"/>
      <c r="AD44" s="153"/>
      <c r="AH44" s="153"/>
      <c r="AK44" s="151"/>
    </row>
    <row r="45" spans="3:37" x14ac:dyDescent="0.25">
      <c r="C45" s="155">
        <v>39264</v>
      </c>
      <c r="D45" s="153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51">
        <v>63.33</v>
      </c>
      <c r="L45" s="154">
        <f t="shared" si="0"/>
        <v>455.64668399999999</v>
      </c>
      <c r="M45" s="153">
        <f t="shared" si="1"/>
        <v>424.72249999999997</v>
      </c>
      <c r="N45" s="151">
        <f t="shared" si="2"/>
        <v>420.07899999999995</v>
      </c>
      <c r="O45" s="153">
        <f t="shared" si="3"/>
        <v>333.03359951880361</v>
      </c>
      <c r="P45">
        <f t="shared" si="4"/>
        <v>342.33114836328269</v>
      </c>
      <c r="S45" s="153"/>
      <c r="Y45" s="151"/>
      <c r="Z45" s="153"/>
      <c r="AD45" s="153"/>
      <c r="AH45" s="153"/>
      <c r="AK45" s="151"/>
    </row>
    <row r="46" spans="3:37" x14ac:dyDescent="0.25">
      <c r="C46" s="155">
        <v>39295</v>
      </c>
      <c r="D46" s="153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51">
        <v>60.48</v>
      </c>
      <c r="L46" s="154">
        <f t="shared" si="0"/>
        <v>422.04153600000001</v>
      </c>
      <c r="M46" s="153">
        <f t="shared" si="1"/>
        <v>409.72249999999997</v>
      </c>
      <c r="N46" s="151">
        <f t="shared" si="2"/>
        <v>431.07899999999995</v>
      </c>
      <c r="O46" s="153">
        <f t="shared" si="3"/>
        <v>309.8019849852094</v>
      </c>
      <c r="P46">
        <f t="shared" si="4"/>
        <v>316.5973688512467</v>
      </c>
      <c r="S46" s="153"/>
      <c r="Y46" s="151"/>
      <c r="Z46" s="153"/>
      <c r="AD46" s="153"/>
      <c r="AH46" s="153"/>
      <c r="AK46" s="151"/>
    </row>
    <row r="47" spans="3:37" x14ac:dyDescent="0.25">
      <c r="C47" s="155">
        <v>39326</v>
      </c>
      <c r="D47" s="153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51">
        <v>71.790000000000006</v>
      </c>
      <c r="L47" s="154">
        <f t="shared" si="0"/>
        <v>519.44372400000009</v>
      </c>
      <c r="M47" s="153">
        <f t="shared" si="1"/>
        <v>388.02250000000004</v>
      </c>
      <c r="N47" s="151">
        <f t="shared" si="2"/>
        <v>433.57899999999995</v>
      </c>
      <c r="O47" s="153">
        <f t="shared" si="3"/>
        <v>377.1372065514015</v>
      </c>
      <c r="P47">
        <f t="shared" si="4"/>
        <v>391.18494186184267</v>
      </c>
      <c r="S47" s="153"/>
      <c r="Y47" s="151"/>
      <c r="Z47" s="153"/>
      <c r="AD47" s="153"/>
      <c r="AH47" s="153"/>
      <c r="AK47" s="151"/>
    </row>
    <row r="48" spans="3:37" x14ac:dyDescent="0.25">
      <c r="C48" s="155">
        <v>39356</v>
      </c>
      <c r="D48" s="153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51">
        <v>76.432000000000002</v>
      </c>
      <c r="L48" s="154">
        <f t="shared" si="0"/>
        <v>547.10025600000006</v>
      </c>
      <c r="M48" s="153">
        <f t="shared" si="1"/>
        <v>397.52250000000004</v>
      </c>
      <c r="N48" s="151">
        <f t="shared" si="2"/>
        <v>454.07899999999995</v>
      </c>
      <c r="O48" s="153">
        <f t="shared" si="3"/>
        <v>396.25647633590035</v>
      </c>
      <c r="P48">
        <f t="shared" si="4"/>
        <v>412.36345583701001</v>
      </c>
      <c r="S48" s="153"/>
      <c r="Y48" s="151"/>
      <c r="Z48" s="153"/>
      <c r="AD48" s="153"/>
      <c r="AH48" s="153"/>
      <c r="AK48" s="151"/>
    </row>
    <row r="49" spans="3:37" x14ac:dyDescent="0.25">
      <c r="C49" s="155">
        <v>39387</v>
      </c>
      <c r="D49" s="153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51">
        <v>82.78</v>
      </c>
      <c r="L49" s="154">
        <f t="shared" si="0"/>
        <v>561.885806</v>
      </c>
      <c r="M49" s="153">
        <f t="shared" si="1"/>
        <v>400.52250000000004</v>
      </c>
      <c r="N49" s="151">
        <f t="shared" si="2"/>
        <v>456.07899999999995</v>
      </c>
      <c r="O49" s="153">
        <f t="shared" si="3"/>
        <v>406.47789236023038</v>
      </c>
      <c r="P49">
        <f t="shared" si="4"/>
        <v>423.68577120560127</v>
      </c>
      <c r="S49" s="153"/>
      <c r="Y49" s="151"/>
      <c r="Z49" s="153"/>
      <c r="AD49" s="153"/>
      <c r="AH49" s="153"/>
      <c r="AK49" s="151"/>
    </row>
    <row r="50" spans="3:37" x14ac:dyDescent="0.25">
      <c r="C50" s="155">
        <v>39417</v>
      </c>
      <c r="D50" s="153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51">
        <v>92.91</v>
      </c>
      <c r="L50" s="154">
        <f t="shared" si="0"/>
        <v>624.75471300000004</v>
      </c>
      <c r="M50" s="153">
        <f t="shared" si="1"/>
        <v>443.5215</v>
      </c>
      <c r="N50" s="151">
        <f t="shared" si="2"/>
        <v>511.07899999999995</v>
      </c>
      <c r="O50" s="153">
        <f t="shared" si="3"/>
        <v>449.93987067296939</v>
      </c>
      <c r="P50">
        <f t="shared" si="4"/>
        <v>471.82882925434723</v>
      </c>
      <c r="S50" s="153"/>
      <c r="Y50" s="151"/>
      <c r="Z50" s="153"/>
      <c r="AD50" s="153"/>
      <c r="AH50" s="153"/>
      <c r="AK50" s="151"/>
    </row>
    <row r="51" spans="3:37" x14ac:dyDescent="0.25">
      <c r="C51" s="155">
        <v>39448</v>
      </c>
      <c r="D51" s="153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51">
        <v>90.37</v>
      </c>
      <c r="L51" s="154">
        <f t="shared" si="0"/>
        <v>618.42902100000003</v>
      </c>
      <c r="M51" s="153">
        <f t="shared" si="1"/>
        <v>443.52250000000004</v>
      </c>
      <c r="N51" s="151">
        <f t="shared" si="2"/>
        <v>506.57899999999995</v>
      </c>
      <c r="O51" s="153">
        <f t="shared" si="3"/>
        <v>445.56684906918889</v>
      </c>
      <c r="P51">
        <f t="shared" si="4"/>
        <v>466.98481061800464</v>
      </c>
      <c r="S51" s="153"/>
      <c r="Y51" s="151"/>
      <c r="Z51" s="153"/>
      <c r="AD51" s="153"/>
      <c r="AH51" s="153"/>
      <c r="AK51" s="151"/>
    </row>
    <row r="52" spans="3:37" x14ac:dyDescent="0.25">
      <c r="C52" s="155">
        <v>39479</v>
      </c>
      <c r="D52" s="153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51">
        <v>92.16</v>
      </c>
      <c r="L52" s="154">
        <f t="shared" si="0"/>
        <v>643.62700799999993</v>
      </c>
      <c r="M52" s="153">
        <f t="shared" si="1"/>
        <v>460.52250000000004</v>
      </c>
      <c r="N52" s="151">
        <f t="shared" si="2"/>
        <v>511.21399999999994</v>
      </c>
      <c r="O52" s="153">
        <f t="shared" si="3"/>
        <v>462.98649920751041</v>
      </c>
      <c r="P52">
        <f t="shared" si="4"/>
        <v>486.28064712511207</v>
      </c>
      <c r="S52" s="153"/>
      <c r="Y52" s="151"/>
      <c r="Z52" s="153"/>
      <c r="AD52" s="153"/>
      <c r="AH52" s="153"/>
      <c r="AK52" s="151"/>
    </row>
    <row r="53" spans="3:37" x14ac:dyDescent="0.25">
      <c r="C53" s="155">
        <v>39508</v>
      </c>
      <c r="D53" s="153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51">
        <v>94.74</v>
      </c>
      <c r="L53" s="154">
        <f t="shared" si="0"/>
        <v>726.13472999999999</v>
      </c>
      <c r="M53" s="153">
        <f t="shared" si="1"/>
        <v>521.52250000000004</v>
      </c>
      <c r="N53" s="151">
        <f t="shared" si="2"/>
        <v>588.21399999999994</v>
      </c>
      <c r="O53" s="153">
        <f t="shared" si="3"/>
        <v>520.02500990084081</v>
      </c>
      <c r="P53">
        <f t="shared" si="4"/>
        <v>549.46250027417022</v>
      </c>
      <c r="S53" s="153"/>
      <c r="Y53" s="151"/>
      <c r="Z53" s="153"/>
      <c r="AD53" s="153"/>
      <c r="AH53" s="153"/>
      <c r="AK53" s="151"/>
    </row>
    <row r="54" spans="3:37" x14ac:dyDescent="0.25">
      <c r="C54" s="155">
        <v>39539</v>
      </c>
      <c r="D54" s="153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51">
        <v>102.4</v>
      </c>
      <c r="L54" s="154">
        <f t="shared" si="0"/>
        <v>818.01216000000011</v>
      </c>
      <c r="M54" s="153">
        <f t="shared" si="1"/>
        <v>577.02250000000004</v>
      </c>
      <c r="N54" s="151">
        <f t="shared" si="2"/>
        <v>706.57899999999995</v>
      </c>
      <c r="O54" s="153">
        <f t="shared" si="3"/>
        <v>583.54090449226737</v>
      </c>
      <c r="P54">
        <f t="shared" si="4"/>
        <v>619.81938505124447</v>
      </c>
      <c r="S54" s="153"/>
      <c r="Y54" s="151"/>
      <c r="Z54" s="153"/>
      <c r="AD54" s="153"/>
      <c r="AH54" s="153"/>
      <c r="AK54" s="151"/>
    </row>
    <row r="55" spans="3:37" x14ac:dyDescent="0.25">
      <c r="C55" s="155">
        <v>39569</v>
      </c>
      <c r="D55" s="153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51">
        <v>108.37</v>
      </c>
      <c r="L55" s="154">
        <f t="shared" si="0"/>
        <v>850.11930200000006</v>
      </c>
      <c r="M55" s="153">
        <f t="shared" si="1"/>
        <v>608.02250000000004</v>
      </c>
      <c r="N55" s="151">
        <f t="shared" si="2"/>
        <v>757.07899999999995</v>
      </c>
      <c r="O55" s="153">
        <f t="shared" si="3"/>
        <v>605.73693072965727</v>
      </c>
      <c r="P55">
        <f t="shared" si="4"/>
        <v>644.40603805421972</v>
      </c>
      <c r="S55" s="153"/>
      <c r="Y55" s="151"/>
      <c r="Z55" s="153"/>
      <c r="AD55" s="153"/>
      <c r="AH55" s="153"/>
      <c r="AK55" s="151"/>
    </row>
    <row r="56" spans="3:37" x14ac:dyDescent="0.25">
      <c r="C56" s="155">
        <v>39600</v>
      </c>
      <c r="D56" s="153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51">
        <v>122.25</v>
      </c>
      <c r="L56" s="154">
        <f t="shared" si="0"/>
        <v>934.40564999999992</v>
      </c>
      <c r="M56" s="153">
        <f t="shared" si="1"/>
        <v>653.02250000000004</v>
      </c>
      <c r="N56" s="151">
        <f t="shared" si="2"/>
        <v>827.57899999999995</v>
      </c>
      <c r="O56" s="153">
        <f t="shared" si="3"/>
        <v>664.00502546265398</v>
      </c>
      <c r="P56">
        <f t="shared" si="4"/>
        <v>708.94990780021033</v>
      </c>
      <c r="S56" s="153"/>
      <c r="Y56" s="151"/>
      <c r="Z56" s="153"/>
      <c r="AD56" s="153"/>
      <c r="AH56" s="153"/>
      <c r="AK56" s="151"/>
    </row>
    <row r="57" spans="3:37" x14ac:dyDescent="0.25">
      <c r="C57" s="155">
        <v>39630</v>
      </c>
      <c r="D57" s="153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51">
        <v>131.54</v>
      </c>
      <c r="L57" s="154">
        <f t="shared" si="0"/>
        <v>1043.796208</v>
      </c>
      <c r="M57" s="153">
        <f t="shared" si="1"/>
        <v>726.62249999999995</v>
      </c>
      <c r="N57" s="151">
        <f t="shared" si="2"/>
        <v>883.57899999999995</v>
      </c>
      <c r="O57" s="153">
        <f t="shared" si="3"/>
        <v>739.62794124540198</v>
      </c>
      <c r="P57">
        <f t="shared" si="4"/>
        <v>792.71780253677241</v>
      </c>
      <c r="S57" s="153"/>
      <c r="Y57" s="151"/>
      <c r="Z57" s="153"/>
      <c r="AD57" s="153"/>
      <c r="AH57" s="153"/>
      <c r="AK57" s="151"/>
    </row>
    <row r="58" spans="3:37" x14ac:dyDescent="0.25">
      <c r="C58" s="155">
        <v>39661</v>
      </c>
      <c r="D58" s="153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51">
        <v>133.63999999999999</v>
      </c>
      <c r="L58" s="154">
        <f t="shared" si="0"/>
        <v>1026.5422959999999</v>
      </c>
      <c r="M58" s="153">
        <f t="shared" si="1"/>
        <v>687.52250000000004</v>
      </c>
      <c r="N58" s="151">
        <f t="shared" si="2"/>
        <v>871.07899999999995</v>
      </c>
      <c r="O58" s="153">
        <f t="shared" si="3"/>
        <v>727.70011897303584</v>
      </c>
      <c r="P58">
        <f t="shared" si="4"/>
        <v>779.50529214615972</v>
      </c>
      <c r="S58" s="153"/>
      <c r="Y58" s="151"/>
      <c r="Z58" s="153"/>
      <c r="AD58" s="153"/>
      <c r="AH58" s="153"/>
      <c r="AK58" s="151"/>
    </row>
    <row r="59" spans="3:37" x14ac:dyDescent="0.25">
      <c r="C59" s="155">
        <v>39692</v>
      </c>
      <c r="D59" s="153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51">
        <v>113</v>
      </c>
      <c r="L59" s="154">
        <f t="shared" ref="L59:L90" si="5">K59*J59</f>
        <v>868.34849999999994</v>
      </c>
      <c r="M59" s="153">
        <f t="shared" ref="M59:M90" si="6">AVERAGE(D59:E59)</f>
        <v>596.02250000000004</v>
      </c>
      <c r="N59" s="151">
        <f t="shared" ref="N59:N90" si="7">AVERAGE(G59:H59)</f>
        <v>715.07899999999995</v>
      </c>
      <c r="O59" s="153">
        <f t="shared" ref="O59:O90" si="8">$E$7*L59+$F$7</f>
        <v>618.33897911797453</v>
      </c>
      <c r="P59">
        <f t="shared" ref="P59:P90" si="9">$I$7*L59+$J$7</f>
        <v>658.36539219880638</v>
      </c>
      <c r="S59" s="153"/>
      <c r="Y59" s="151"/>
      <c r="Z59" s="153"/>
      <c r="AD59" s="153"/>
      <c r="AH59" s="153"/>
      <c r="AK59" s="151"/>
    </row>
    <row r="60" spans="3:37" x14ac:dyDescent="0.25">
      <c r="C60" s="155">
        <v>39722</v>
      </c>
      <c r="D60" s="153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51">
        <v>99.08</v>
      </c>
      <c r="L60" s="154">
        <f t="shared" si="5"/>
        <v>794.44325600000002</v>
      </c>
      <c r="M60" s="153">
        <f t="shared" si="6"/>
        <v>567.42250000000001</v>
      </c>
      <c r="N60" s="151">
        <f t="shared" si="7"/>
        <v>655.07899999999995</v>
      </c>
      <c r="O60" s="153">
        <f t="shared" si="8"/>
        <v>567.24745764575175</v>
      </c>
      <c r="P60">
        <f t="shared" si="9"/>
        <v>601.77104975224961</v>
      </c>
      <c r="S60" s="153"/>
      <c r="Y60" s="151"/>
      <c r="Z60" s="153"/>
      <c r="AD60" s="153"/>
      <c r="AH60" s="153"/>
      <c r="AK60" s="151"/>
    </row>
    <row r="61" spans="3:37" x14ac:dyDescent="0.25">
      <c r="C61" s="155">
        <v>39753</v>
      </c>
      <c r="D61" s="153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51">
        <v>75.33</v>
      </c>
      <c r="L61" s="154">
        <f t="shared" si="5"/>
        <v>722.42223300000001</v>
      </c>
      <c r="M61" s="153">
        <f t="shared" si="6"/>
        <v>522.42250000000001</v>
      </c>
      <c r="N61" s="151">
        <f t="shared" si="7"/>
        <v>625.07899999999995</v>
      </c>
      <c r="O61" s="153">
        <f t="shared" si="8"/>
        <v>517.45851921729661</v>
      </c>
      <c r="P61">
        <f t="shared" si="9"/>
        <v>546.61958527682827</v>
      </c>
      <c r="S61" s="153"/>
      <c r="Y61" s="151"/>
      <c r="Z61" s="153"/>
      <c r="AD61" s="153"/>
      <c r="AH61" s="153"/>
      <c r="AK61" s="151"/>
    </row>
    <row r="62" spans="3:37" x14ac:dyDescent="0.25">
      <c r="C62" s="155">
        <v>39783</v>
      </c>
      <c r="D62" s="153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51">
        <v>53.11</v>
      </c>
      <c r="L62" s="154">
        <f t="shared" si="5"/>
        <v>540.78195299999993</v>
      </c>
      <c r="M62" s="153">
        <f t="shared" si="6"/>
        <v>361.42250000000001</v>
      </c>
      <c r="N62" s="151">
        <f t="shared" si="7"/>
        <v>547.57899999999995</v>
      </c>
      <c r="O62" s="153">
        <f t="shared" si="8"/>
        <v>391.88856283043225</v>
      </c>
      <c r="P62">
        <f t="shared" si="9"/>
        <v>407.52509546757381</v>
      </c>
      <c r="S62" s="153"/>
      <c r="Y62" s="151"/>
      <c r="Z62" s="153"/>
      <c r="AD62" s="153"/>
      <c r="AH62" s="153"/>
      <c r="AK62" s="151"/>
    </row>
    <row r="63" spans="3:37" x14ac:dyDescent="0.25">
      <c r="C63" s="155">
        <v>39814</v>
      </c>
      <c r="D63" s="153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51">
        <v>39.988999999999997</v>
      </c>
      <c r="L63" s="154">
        <f t="shared" si="5"/>
        <v>397.9625302</v>
      </c>
      <c r="M63" s="153">
        <f t="shared" si="6"/>
        <v>270.3725</v>
      </c>
      <c r="N63" s="151">
        <f t="shared" si="7"/>
        <v>418.07899999999995</v>
      </c>
      <c r="O63" s="153">
        <f t="shared" si="8"/>
        <v>293.15589906117839</v>
      </c>
      <c r="P63">
        <f t="shared" si="9"/>
        <v>298.1584134231606</v>
      </c>
      <c r="S63" s="153"/>
      <c r="Y63" s="151"/>
      <c r="Z63" s="153"/>
      <c r="AD63" s="153"/>
      <c r="AH63" s="153"/>
      <c r="AK63" s="151"/>
    </row>
    <row r="64" spans="3:37" x14ac:dyDescent="0.25">
      <c r="C64" s="155">
        <v>39845</v>
      </c>
      <c r="D64" s="153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51">
        <v>43.548000000000002</v>
      </c>
      <c r="L64" s="154">
        <f t="shared" si="5"/>
        <v>432.57099360000001</v>
      </c>
      <c r="M64" s="153">
        <f t="shared" si="6"/>
        <v>331.3725</v>
      </c>
      <c r="N64" s="151">
        <f t="shared" si="7"/>
        <v>407.57899999999995</v>
      </c>
      <c r="O64" s="153">
        <f t="shared" si="8"/>
        <v>317.08111674832571</v>
      </c>
      <c r="P64">
        <f t="shared" si="9"/>
        <v>324.66050073388953</v>
      </c>
      <c r="S64" s="153"/>
      <c r="Y64" s="151"/>
      <c r="Z64" s="153"/>
      <c r="AD64" s="153"/>
      <c r="AH64" s="153"/>
      <c r="AK64" s="151"/>
    </row>
    <row r="65" spans="3:47" x14ac:dyDescent="0.25">
      <c r="C65" s="155">
        <v>39873</v>
      </c>
      <c r="D65" s="153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51">
        <v>43.07</v>
      </c>
      <c r="L65" s="154">
        <f t="shared" si="5"/>
        <v>433.29281400000002</v>
      </c>
      <c r="M65" s="153">
        <f t="shared" si="6"/>
        <v>376.3725</v>
      </c>
      <c r="N65" s="151">
        <f t="shared" si="7"/>
        <v>375.57899999999995</v>
      </c>
      <c r="O65" s="153">
        <f t="shared" si="8"/>
        <v>317.58011926113369</v>
      </c>
      <c r="P65">
        <f t="shared" si="9"/>
        <v>325.21324839686338</v>
      </c>
      <c r="S65" s="153"/>
      <c r="Y65" s="151"/>
      <c r="Z65" s="153"/>
      <c r="AD65" s="153"/>
      <c r="AH65" s="153"/>
      <c r="AK65" s="151"/>
    </row>
    <row r="66" spans="3:47" x14ac:dyDescent="0.25">
      <c r="C66" s="155">
        <v>39904</v>
      </c>
      <c r="D66" s="153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51">
        <v>46.543999999999997</v>
      </c>
      <c r="L66" s="154">
        <f t="shared" si="5"/>
        <v>468.488632</v>
      </c>
      <c r="M66" s="153">
        <f t="shared" si="6"/>
        <v>369.3725</v>
      </c>
      <c r="N66" s="151">
        <f t="shared" si="7"/>
        <v>372.07899999999995</v>
      </c>
      <c r="O66" s="153">
        <f t="shared" si="8"/>
        <v>341.9113817501588</v>
      </c>
      <c r="P66">
        <f t="shared" si="9"/>
        <v>352.16511363363446</v>
      </c>
      <c r="S66" s="153"/>
      <c r="Y66" s="151"/>
      <c r="Z66" s="153"/>
      <c r="AD66" s="153"/>
      <c r="AH66" s="153"/>
      <c r="AK66" s="151"/>
    </row>
    <row r="67" spans="3:47" x14ac:dyDescent="0.25">
      <c r="C67" s="155">
        <v>39934</v>
      </c>
      <c r="D67" s="153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51">
        <v>50.274000000000001</v>
      </c>
      <c r="L67" s="154">
        <f t="shared" si="5"/>
        <v>460.1629494</v>
      </c>
      <c r="M67" s="153">
        <f t="shared" si="6"/>
        <v>366.3725</v>
      </c>
      <c r="N67" s="151">
        <f t="shared" si="7"/>
        <v>381.57899999999995</v>
      </c>
      <c r="O67" s="153">
        <f t="shared" si="8"/>
        <v>336.15574428377261</v>
      </c>
      <c r="P67">
        <f t="shared" si="9"/>
        <v>345.78956425900907</v>
      </c>
      <c r="S67" s="153"/>
      <c r="Y67" s="151"/>
      <c r="Z67" s="153"/>
      <c r="AD67" s="153"/>
      <c r="AH67" s="153"/>
      <c r="AK67" s="151"/>
      <c r="AR67" t="s">
        <v>136</v>
      </c>
    </row>
    <row r="68" spans="3:47" x14ac:dyDescent="0.25">
      <c r="C68" s="155">
        <v>39965</v>
      </c>
      <c r="D68" s="153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51">
        <v>56.576999999999998</v>
      </c>
      <c r="L68" s="154">
        <f t="shared" si="5"/>
        <v>477.34580669999991</v>
      </c>
      <c r="M68" s="153">
        <f t="shared" si="6"/>
        <v>381.27250000000004</v>
      </c>
      <c r="N68" s="151">
        <f t="shared" si="7"/>
        <v>370.07899999999995</v>
      </c>
      <c r="O68" s="153">
        <f t="shared" si="8"/>
        <v>348.03444564760395</v>
      </c>
      <c r="P68">
        <f t="shared" si="9"/>
        <v>358.94766316531286</v>
      </c>
      <c r="S68" s="153"/>
      <c r="Y68" s="151"/>
      <c r="Z68" s="153"/>
      <c r="AD68" s="153"/>
      <c r="AH68" s="153"/>
      <c r="AK68" s="151"/>
    </row>
    <row r="69" spans="3:47" x14ac:dyDescent="0.25">
      <c r="C69" s="155">
        <v>39995</v>
      </c>
      <c r="D69" s="153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51">
        <v>68.34</v>
      </c>
      <c r="L69" s="154">
        <f t="shared" si="5"/>
        <v>554.18956200000002</v>
      </c>
      <c r="M69" s="153">
        <f t="shared" si="6"/>
        <v>419.77250000000004</v>
      </c>
      <c r="N69" s="151">
        <f t="shared" si="7"/>
        <v>413.07899999999995</v>
      </c>
      <c r="O69" s="153">
        <f t="shared" si="8"/>
        <v>401.1573928354407</v>
      </c>
      <c r="P69">
        <f t="shared" si="9"/>
        <v>417.79222637827809</v>
      </c>
      <c r="S69" s="153"/>
      <c r="Y69" s="151"/>
      <c r="Z69" s="153"/>
      <c r="AD69" s="153"/>
      <c r="AH69" s="153"/>
      <c r="AK69" s="151"/>
    </row>
    <row r="70" spans="3:47" x14ac:dyDescent="0.25">
      <c r="C70" s="155">
        <v>40026</v>
      </c>
      <c r="D70" s="153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51">
        <v>64.89</v>
      </c>
      <c r="L70" s="154">
        <f t="shared" si="5"/>
        <v>518.08176000000003</v>
      </c>
      <c r="M70" s="153">
        <f t="shared" si="6"/>
        <v>393.37199999999996</v>
      </c>
      <c r="N70" s="151">
        <f t="shared" si="7"/>
        <v>395.57899999999995</v>
      </c>
      <c r="O70" s="153">
        <f t="shared" si="8"/>
        <v>376.19566561081007</v>
      </c>
      <c r="P70">
        <f t="shared" si="9"/>
        <v>390.14199209476135</v>
      </c>
      <c r="S70" s="153"/>
      <c r="Y70" s="151"/>
      <c r="Z70" s="153"/>
      <c r="AD70" s="153"/>
      <c r="AH70" s="153"/>
      <c r="AK70" s="151"/>
      <c r="AQ70" s="161">
        <v>100</v>
      </c>
      <c r="AR70" s="160">
        <v>100</v>
      </c>
    </row>
    <row r="71" spans="3:47" x14ac:dyDescent="0.25">
      <c r="C71" s="155">
        <v>40057</v>
      </c>
      <c r="D71" s="153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51">
        <v>72.66</v>
      </c>
      <c r="L71" s="154">
        <f t="shared" si="5"/>
        <v>580.64785799999993</v>
      </c>
      <c r="M71" s="153">
        <f t="shared" si="6"/>
        <v>429.34550000000002</v>
      </c>
      <c r="N71" s="151">
        <f t="shared" si="7"/>
        <v>424.07899999999995</v>
      </c>
      <c r="O71" s="153">
        <f t="shared" si="8"/>
        <v>419.44830867630344</v>
      </c>
      <c r="P71">
        <f t="shared" si="9"/>
        <v>438.05316840799873</v>
      </c>
      <c r="S71" s="153"/>
      <c r="Y71" s="151"/>
      <c r="Z71" s="153"/>
      <c r="AD71" s="153"/>
      <c r="AH71" s="153"/>
      <c r="AK71" s="151"/>
      <c r="AQ71" s="159">
        <f>0.4706</f>
        <v>0.47060000000000002</v>
      </c>
      <c r="AR71" s="158">
        <v>0.33400000000000002</v>
      </c>
    </row>
    <row r="72" spans="3:47" x14ac:dyDescent="0.25">
      <c r="C72" s="155">
        <v>40087</v>
      </c>
      <c r="D72" s="153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51">
        <v>67.84</v>
      </c>
      <c r="L72" s="154">
        <f t="shared" si="5"/>
        <v>513.98297600000001</v>
      </c>
      <c r="M72" s="153">
        <f t="shared" si="6"/>
        <v>382.3725</v>
      </c>
      <c r="N72" s="151">
        <f t="shared" si="7"/>
        <v>386.07899999999995</v>
      </c>
      <c r="O72" s="153">
        <f t="shared" si="8"/>
        <v>373.36213040529742</v>
      </c>
      <c r="P72">
        <f t="shared" si="9"/>
        <v>387.0032704999789</v>
      </c>
      <c r="S72" s="153"/>
      <c r="Y72" s="151"/>
      <c r="Z72" s="153"/>
      <c r="AD72" s="153"/>
      <c r="AH72" s="153"/>
      <c r="AK72" s="151"/>
      <c r="AQ72" s="159">
        <v>77.042000000000002</v>
      </c>
      <c r="AR72" s="158">
        <v>50.293999999999997</v>
      </c>
    </row>
    <row r="73" spans="3:47" x14ac:dyDescent="0.25">
      <c r="C73" s="155">
        <v>40118</v>
      </c>
      <c r="D73" s="153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51">
        <v>72.92</v>
      </c>
      <c r="L73" s="154">
        <f t="shared" si="5"/>
        <v>546.81249600000001</v>
      </c>
      <c r="M73" s="153">
        <f t="shared" si="6"/>
        <v>382.3725</v>
      </c>
      <c r="N73" s="151">
        <f t="shared" si="7"/>
        <v>397.07899999999995</v>
      </c>
      <c r="O73" s="153">
        <f t="shared" si="8"/>
        <v>396.05754463060958</v>
      </c>
      <c r="P73">
        <f t="shared" si="9"/>
        <v>412.14309815870473</v>
      </c>
      <c r="S73" s="153"/>
      <c r="Y73" s="151"/>
      <c r="Z73" s="153"/>
      <c r="AD73" s="153"/>
      <c r="AH73" s="153"/>
      <c r="AK73" s="151"/>
      <c r="AL73" t="str">
        <f>L25</f>
        <v>Crude in Rands</v>
      </c>
      <c r="AP73" t="s">
        <v>135</v>
      </c>
      <c r="AQ73" s="157">
        <f>AQ70*AQ$71+AQ$72</f>
        <v>124.102</v>
      </c>
      <c r="AR73" s="157">
        <f>AR70*AR$71+AR$72</f>
        <v>83.693999999999988</v>
      </c>
    </row>
    <row r="74" spans="3:47" x14ac:dyDescent="0.25">
      <c r="C74" s="155">
        <v>40148</v>
      </c>
      <c r="D74" s="153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51">
        <v>76.599999999999994</v>
      </c>
      <c r="L74" s="154">
        <f t="shared" si="5"/>
        <v>580.03051999999991</v>
      </c>
      <c r="M74" s="153">
        <f t="shared" si="6"/>
        <v>409.3725</v>
      </c>
      <c r="N74" s="151">
        <f t="shared" si="7"/>
        <v>424.57899999999995</v>
      </c>
      <c r="O74" s="153">
        <f t="shared" si="8"/>
        <v>419.02153601477727</v>
      </c>
      <c r="P74">
        <f t="shared" si="9"/>
        <v>437.58043012467374</v>
      </c>
      <c r="S74" s="153"/>
      <c r="Y74" s="151"/>
      <c r="Z74" s="153"/>
      <c r="AD74" s="153"/>
      <c r="AH74" s="153"/>
      <c r="AK74" s="151"/>
      <c r="AL74" t="s">
        <v>134</v>
      </c>
      <c r="AQ74" t="s">
        <v>133</v>
      </c>
      <c r="AR74" t="s">
        <v>132</v>
      </c>
      <c r="AT74" t="s">
        <v>131</v>
      </c>
      <c r="AU74" t="s">
        <v>130</v>
      </c>
    </row>
    <row r="75" spans="3:47" x14ac:dyDescent="0.25">
      <c r="C75" s="155">
        <v>40179</v>
      </c>
      <c r="D75" s="153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51">
        <v>74.31</v>
      </c>
      <c r="L75" s="154">
        <f t="shared" si="5"/>
        <v>559.15302600000007</v>
      </c>
      <c r="M75" s="153">
        <f t="shared" si="6"/>
        <v>401.8725</v>
      </c>
      <c r="N75" s="151">
        <f t="shared" si="7"/>
        <v>411.57899999999995</v>
      </c>
      <c r="O75" s="153">
        <f t="shared" si="8"/>
        <v>404.58869099247823</v>
      </c>
      <c r="P75">
        <f t="shared" si="9"/>
        <v>421.5930930845318</v>
      </c>
      <c r="S75" s="153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51">
        <v>512.20000000000005</v>
      </c>
      <c r="Z75" s="152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3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2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51"/>
      <c r="AL75">
        <f t="shared" ref="AL75:AL110" si="19">L75/$AP$7</f>
        <v>90.9191912195122</v>
      </c>
      <c r="AQ75" s="146">
        <f t="shared" ref="AQ75:AQ110" si="20">(Z75-M75)/$AN$8 *10</f>
        <v>115.30451713395638</v>
      </c>
      <c r="AR75" s="146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5">
        <v>40210</v>
      </c>
      <c r="D76" s="153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51">
        <v>76.84</v>
      </c>
      <c r="L76" s="154">
        <f t="shared" si="5"/>
        <v>574.26373999999998</v>
      </c>
      <c r="M76" s="153">
        <f t="shared" si="6"/>
        <v>419.8725</v>
      </c>
      <c r="N76" s="151">
        <f t="shared" si="7"/>
        <v>419.07899999999995</v>
      </c>
      <c r="O76" s="153">
        <f t="shared" si="8"/>
        <v>415.03489652549308</v>
      </c>
      <c r="P76">
        <f t="shared" si="9"/>
        <v>433.1644089539169</v>
      </c>
      <c r="S76" s="153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51">
        <v>517.20000000000005</v>
      </c>
      <c r="Z76" s="152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3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2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51"/>
      <c r="AL76">
        <f t="shared" si="19"/>
        <v>93.37621788617885</v>
      </c>
      <c r="AQ76" s="146">
        <f t="shared" si="20"/>
        <v>115.30451713395638</v>
      </c>
      <c r="AR76" s="146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5">
        <v>40238</v>
      </c>
      <c r="D77" s="153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51">
        <v>73.17</v>
      </c>
      <c r="L77" s="154">
        <f t="shared" si="5"/>
        <v>562.69193400000006</v>
      </c>
      <c r="M77" s="153">
        <f t="shared" si="6"/>
        <v>426.17250000000001</v>
      </c>
      <c r="N77" s="151">
        <f t="shared" si="7"/>
        <v>420.07899999999995</v>
      </c>
      <c r="O77" s="153">
        <f t="shared" si="8"/>
        <v>407.03517765951665</v>
      </c>
      <c r="P77">
        <f t="shared" si="9"/>
        <v>424.30307901244322</v>
      </c>
      <c r="S77" s="153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51">
        <v>515.20000000000005</v>
      </c>
      <c r="Z77" s="152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3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2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51"/>
      <c r="AL77">
        <f t="shared" si="19"/>
        <v>91.494623414634148</v>
      </c>
      <c r="AQ77" s="146">
        <f t="shared" si="20"/>
        <v>115.21105919003114</v>
      </c>
      <c r="AR77" s="146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5">
        <v>40269</v>
      </c>
      <c r="D78" s="153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51">
        <v>78.89</v>
      </c>
      <c r="L78" s="154">
        <f t="shared" si="5"/>
        <v>589.72641699999997</v>
      </c>
      <c r="M78" s="153">
        <f t="shared" si="6"/>
        <v>449.17250000000001</v>
      </c>
      <c r="N78" s="151">
        <f t="shared" si="7"/>
        <v>442.07899999999995</v>
      </c>
      <c r="O78" s="153">
        <f t="shared" si="8"/>
        <v>425.72441801551815</v>
      </c>
      <c r="P78">
        <f t="shared" si="9"/>
        <v>445.00524716667616</v>
      </c>
      <c r="S78" s="153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51">
        <v>536.20000000000005</v>
      </c>
      <c r="Z78" s="152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3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2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51"/>
      <c r="AL78">
        <f t="shared" si="19"/>
        <v>95.890474308943084</v>
      </c>
      <c r="AQ78" s="146">
        <f t="shared" si="20"/>
        <v>123.10306334371757</v>
      </c>
      <c r="AR78" s="146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5">
        <v>40299</v>
      </c>
      <c r="D79" s="153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51">
        <v>85.75</v>
      </c>
      <c r="L79" s="154">
        <f t="shared" si="5"/>
        <v>632.39767500000005</v>
      </c>
      <c r="M79" s="153">
        <f t="shared" si="6"/>
        <v>461.17250000000001</v>
      </c>
      <c r="N79" s="151">
        <f t="shared" si="7"/>
        <v>471.07939999999996</v>
      </c>
      <c r="O79" s="153">
        <f t="shared" si="8"/>
        <v>455.2235357554415</v>
      </c>
      <c r="P79">
        <f t="shared" si="9"/>
        <v>477.68157237950379</v>
      </c>
      <c r="S79" s="153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51">
        <v>538.1</v>
      </c>
      <c r="Z79" s="152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3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2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51"/>
      <c r="AL79">
        <f t="shared" si="19"/>
        <v>102.82889024390244</v>
      </c>
      <c r="AQ79" s="146">
        <f t="shared" si="20"/>
        <v>123.62227414330218</v>
      </c>
      <c r="AR79" s="146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5">
        <v>40330</v>
      </c>
      <c r="D80" s="153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51">
        <v>76.3</v>
      </c>
      <c r="L80" s="154">
        <f t="shared" si="5"/>
        <v>584.26724999999999</v>
      </c>
      <c r="M80" s="153">
        <f t="shared" si="6"/>
        <v>434.17250000000001</v>
      </c>
      <c r="N80" s="151">
        <f t="shared" si="7"/>
        <v>457.07899999999995</v>
      </c>
      <c r="O80" s="153">
        <f t="shared" si="8"/>
        <v>421.95043483239044</v>
      </c>
      <c r="P80">
        <f t="shared" si="9"/>
        <v>440.82478648555127</v>
      </c>
      <c r="S80" s="153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51">
        <v>525.1</v>
      </c>
      <c r="Z80" s="152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3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2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51"/>
      <c r="AL80">
        <f t="shared" si="19"/>
        <v>95.002804878048778</v>
      </c>
      <c r="AQ80" s="146">
        <f t="shared" si="20"/>
        <v>123.62227414330218</v>
      </c>
      <c r="AR80" s="146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5">
        <v>40360</v>
      </c>
      <c r="D81" s="153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51">
        <v>74.61</v>
      </c>
      <c r="L81" s="154">
        <f t="shared" si="5"/>
        <v>572.31838800000003</v>
      </c>
      <c r="M81" s="153">
        <f t="shared" si="6"/>
        <v>417.67250000000001</v>
      </c>
      <c r="N81" s="151">
        <f t="shared" si="7"/>
        <v>443.07899999999995</v>
      </c>
      <c r="O81" s="153">
        <f t="shared" si="8"/>
        <v>413.69005293795243</v>
      </c>
      <c r="P81">
        <f t="shared" si="9"/>
        <v>431.67471875998297</v>
      </c>
      <c r="S81" s="153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51">
        <v>541.20000000000005</v>
      </c>
      <c r="Z81" s="152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3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2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51"/>
      <c r="AL81">
        <f t="shared" si="19"/>
        <v>93.059900487804882</v>
      </c>
      <c r="AQ81" s="146">
        <f t="shared" si="20"/>
        <v>123.46651090342678</v>
      </c>
      <c r="AR81" s="146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5">
        <v>40391</v>
      </c>
      <c r="D82" s="153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51">
        <v>78.680000000000007</v>
      </c>
      <c r="L82" s="154">
        <f t="shared" si="5"/>
        <v>596.05607600000008</v>
      </c>
      <c r="M82" s="153">
        <f t="shared" si="6"/>
        <v>407.67250000000001</v>
      </c>
      <c r="N82" s="151">
        <f t="shared" si="7"/>
        <v>429.10599999999999</v>
      </c>
      <c r="O82" s="153">
        <f t="shared" si="8"/>
        <v>430.10018205075164</v>
      </c>
      <c r="P82">
        <f t="shared" si="9"/>
        <v>449.85230360851585</v>
      </c>
      <c r="S82" s="153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51">
        <v>526.20000000000005</v>
      </c>
      <c r="Z82" s="152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3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2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51"/>
      <c r="AL82">
        <f t="shared" si="19"/>
        <v>96.919687154471546</v>
      </c>
      <c r="AQ82" s="146">
        <f t="shared" si="20"/>
        <v>123.46651090342678</v>
      </c>
      <c r="AR82" s="146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5">
        <v>40422</v>
      </c>
      <c r="D83" s="153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51">
        <v>77.39</v>
      </c>
      <c r="L83" s="154">
        <f t="shared" si="5"/>
        <v>566.32454200000006</v>
      </c>
      <c r="M83" s="153">
        <f t="shared" si="6"/>
        <v>397.67250000000001</v>
      </c>
      <c r="N83" s="151">
        <f t="shared" si="7"/>
        <v>427.57899999999995</v>
      </c>
      <c r="O83" s="153">
        <f t="shared" si="8"/>
        <v>409.54644018416468</v>
      </c>
      <c r="P83">
        <f t="shared" si="9"/>
        <v>427.0848174926802</v>
      </c>
      <c r="S83" s="153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51">
        <v>521.20000000000005</v>
      </c>
      <c r="Z83" s="152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3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2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51"/>
      <c r="AL83">
        <f t="shared" si="19"/>
        <v>92.085291382113823</v>
      </c>
      <c r="AQ83" s="146">
        <f t="shared" si="20"/>
        <v>123.46651090342678</v>
      </c>
      <c r="AR83" s="146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5">
        <v>40452</v>
      </c>
      <c r="D84" s="153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51">
        <v>77.37</v>
      </c>
      <c r="L84" s="154">
        <f t="shared" si="5"/>
        <v>555.97308300000009</v>
      </c>
      <c r="M84" s="153">
        <f t="shared" si="6"/>
        <v>393.67250000000001</v>
      </c>
      <c r="N84" s="151">
        <f t="shared" si="7"/>
        <v>425.57899999999995</v>
      </c>
      <c r="O84" s="153">
        <f t="shared" si="8"/>
        <v>402.3903608433356</v>
      </c>
      <c r="P84">
        <f t="shared" si="9"/>
        <v>419.15799141431029</v>
      </c>
      <c r="S84" s="153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51">
        <v>520.20000000000005</v>
      </c>
      <c r="Z84" s="152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3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2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51"/>
      <c r="AL84">
        <f t="shared" si="19"/>
        <v>90.40212731707318</v>
      </c>
      <c r="AQ84" s="146">
        <f t="shared" si="20"/>
        <v>126.16640706126685</v>
      </c>
      <c r="AR84" s="146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5">
        <v>40483</v>
      </c>
      <c r="D85" s="153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51">
        <v>82.73</v>
      </c>
      <c r="L85" s="154">
        <f t="shared" si="5"/>
        <v>573.93110200000001</v>
      </c>
      <c r="M85" s="153">
        <f t="shared" si="6"/>
        <v>413.67250000000001</v>
      </c>
      <c r="N85" s="151">
        <f t="shared" si="7"/>
        <v>438.57899999999995</v>
      </c>
      <c r="O85" s="153">
        <f t="shared" si="8"/>
        <v>414.80494015704545</v>
      </c>
      <c r="P85">
        <f t="shared" si="9"/>
        <v>432.90968509585429</v>
      </c>
      <c r="S85" s="153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51">
        <v>534.20000000000005</v>
      </c>
      <c r="Z85" s="152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3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2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51"/>
      <c r="AL85">
        <f t="shared" si="19"/>
        <v>93.322130406504058</v>
      </c>
      <c r="AQ85" s="146">
        <f t="shared" si="20"/>
        <v>126.16640706126685</v>
      </c>
      <c r="AR85" s="146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5">
        <v>40513</v>
      </c>
      <c r="D86" s="153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51">
        <v>85.15</v>
      </c>
      <c r="L86" s="154">
        <f t="shared" si="5"/>
        <v>594.06600500000002</v>
      </c>
      <c r="M86" s="153">
        <f t="shared" si="6"/>
        <v>426.67250000000001</v>
      </c>
      <c r="N86" s="151">
        <f t="shared" si="7"/>
        <v>453.07899999999995</v>
      </c>
      <c r="O86" s="153">
        <f t="shared" si="8"/>
        <v>428.72442371853163</v>
      </c>
      <c r="P86">
        <f t="shared" si="9"/>
        <v>448.32836899209047</v>
      </c>
      <c r="S86" s="153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51">
        <v>548.20000000000005</v>
      </c>
      <c r="Z86" s="152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3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2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51"/>
      <c r="AL86">
        <f t="shared" si="19"/>
        <v>96.596098373983736</v>
      </c>
      <c r="AQ86" s="146">
        <f t="shared" si="20"/>
        <v>126.16640706126685</v>
      </c>
      <c r="AR86" s="146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5">
        <v>40544</v>
      </c>
      <c r="D87" s="153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51">
        <v>90.77</v>
      </c>
      <c r="L87" s="154">
        <f t="shared" si="5"/>
        <v>626.40377000000001</v>
      </c>
      <c r="M87" s="153">
        <f t="shared" si="6"/>
        <v>451.565</v>
      </c>
      <c r="N87" s="151">
        <f t="shared" si="7"/>
        <v>472.07899999999995</v>
      </c>
      <c r="O87" s="153">
        <f t="shared" si="8"/>
        <v>451.07988221429406</v>
      </c>
      <c r="P87">
        <f t="shared" si="9"/>
        <v>473.0916259318318</v>
      </c>
      <c r="S87" s="153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51">
        <v>569.81299999999999</v>
      </c>
      <c r="Z87" s="152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3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2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51"/>
      <c r="AL87">
        <f t="shared" si="19"/>
        <v>101.85427154471544</v>
      </c>
      <c r="AQ87" s="146">
        <f t="shared" si="20"/>
        <v>125.68068535825545</v>
      </c>
      <c r="AR87" s="146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5">
        <v>40575</v>
      </c>
      <c r="D88" s="153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51">
        <v>95.97</v>
      </c>
      <c r="L88" s="154">
        <f t="shared" si="5"/>
        <v>662.02985100000001</v>
      </c>
      <c r="M88" s="153">
        <f t="shared" si="6"/>
        <v>477.565</v>
      </c>
      <c r="N88" s="151">
        <f t="shared" si="7"/>
        <v>504.07899999999995</v>
      </c>
      <c r="O88" s="153">
        <f t="shared" si="8"/>
        <v>475.70859032575976</v>
      </c>
      <c r="P88">
        <f t="shared" si="9"/>
        <v>500.37297322219149</v>
      </c>
      <c r="S88" s="153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51">
        <v>601.81299999999999</v>
      </c>
      <c r="Z88" s="152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3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2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51"/>
      <c r="AL88">
        <f t="shared" si="19"/>
        <v>107.64713024390244</v>
      </c>
      <c r="AQ88" s="146">
        <f t="shared" si="20"/>
        <v>127.23831775700933</v>
      </c>
      <c r="AR88" s="146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5">
        <v>40603</v>
      </c>
      <c r="D89" s="153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51">
        <v>102.37</v>
      </c>
      <c r="L89" s="154">
        <f t="shared" si="5"/>
        <v>740.483158</v>
      </c>
      <c r="M89" s="153">
        <f t="shared" si="6"/>
        <v>520.56500000000005</v>
      </c>
      <c r="N89" s="151">
        <f t="shared" si="7"/>
        <v>570.57899999999995</v>
      </c>
      <c r="O89" s="153">
        <f t="shared" si="8"/>
        <v>529.94423859934352</v>
      </c>
      <c r="P89">
        <f t="shared" si="9"/>
        <v>560.45008117981968</v>
      </c>
      <c r="S89" s="153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51">
        <v>671.81299999999999</v>
      </c>
      <c r="Z89" s="152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3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2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51"/>
      <c r="AL89">
        <f t="shared" si="19"/>
        <v>120.40376552845528</v>
      </c>
      <c r="AQ89" s="146">
        <f t="shared" si="20"/>
        <v>127.23831775700931</v>
      </c>
      <c r="AR89" s="146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5">
        <v>40634</v>
      </c>
      <c r="D90" s="153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51">
        <v>114.41</v>
      </c>
      <c r="L90" s="154">
        <f t="shared" si="5"/>
        <v>795.28679199999999</v>
      </c>
      <c r="M90" s="153">
        <f t="shared" si="6"/>
        <v>549.26499999999999</v>
      </c>
      <c r="N90" s="151">
        <f t="shared" si="7"/>
        <v>612.57899999999995</v>
      </c>
      <c r="O90" s="153">
        <f t="shared" si="8"/>
        <v>567.83060351367681</v>
      </c>
      <c r="P90">
        <f t="shared" si="9"/>
        <v>602.41700344465596</v>
      </c>
      <c r="S90" s="153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51">
        <v>720.41300000000001</v>
      </c>
      <c r="Z90" s="152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3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2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51"/>
      <c r="AL90">
        <f t="shared" si="19"/>
        <v>129.31492552845526</v>
      </c>
      <c r="AQ90" s="146">
        <f t="shared" si="20"/>
        <v>134.39304257528556</v>
      </c>
      <c r="AR90" s="146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5">
        <v>40664</v>
      </c>
      <c r="D91" s="153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51">
        <v>123.49</v>
      </c>
      <c r="L91" s="154">
        <f t="shared" ref="L91:L110" si="24">K91*J91</f>
        <v>836.03964899999994</v>
      </c>
      <c r="M91" s="153">
        <f t="shared" ref="M91:M110" si="25">AVERAGE(D91:E91)</f>
        <v>578.26499999999999</v>
      </c>
      <c r="N91" s="151">
        <f t="shared" ref="N91:N110" si="26">AVERAGE(G91:H91)</f>
        <v>628.07899999999995</v>
      </c>
      <c r="O91" s="153">
        <f t="shared" ref="O91:O110" si="27">$E$7*L91+$F$7</f>
        <v>596.00350919368407</v>
      </c>
      <c r="P91">
        <f t="shared" ref="P91:P110" si="28">$I$7*L91+$J$7</f>
        <v>633.62427670301315</v>
      </c>
      <c r="S91" s="153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51">
        <v>735.41300000000001</v>
      </c>
      <c r="Z91" s="152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3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2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51"/>
      <c r="AL91">
        <f t="shared" si="19"/>
        <v>135.94140634146339</v>
      </c>
      <c r="AQ91" s="146">
        <f t="shared" si="20"/>
        <v>134.39304257528556</v>
      </c>
      <c r="AR91" s="146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5">
        <v>40695</v>
      </c>
      <c r="D92" s="153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51">
        <v>116.15</v>
      </c>
      <c r="L92" s="154">
        <f t="shared" si="24"/>
        <v>795.81334000000004</v>
      </c>
      <c r="M92" s="153">
        <f t="shared" si="25"/>
        <v>576.26499999999999</v>
      </c>
      <c r="N92" s="151">
        <f t="shared" si="26"/>
        <v>593.57899999999995</v>
      </c>
      <c r="O92" s="153">
        <f t="shared" si="27"/>
        <v>568.19461203312858</v>
      </c>
      <c r="P92">
        <f t="shared" si="28"/>
        <v>602.82021756335314</v>
      </c>
      <c r="S92" s="153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51">
        <v>703.41300000000001</v>
      </c>
      <c r="Z92" s="152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3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2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51"/>
      <c r="AL92">
        <f t="shared" si="19"/>
        <v>129.4005430894309</v>
      </c>
      <c r="AQ92" s="146">
        <f t="shared" si="20"/>
        <v>134.39304257528556</v>
      </c>
      <c r="AR92" s="146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5">
        <v>40725</v>
      </c>
      <c r="D93" s="153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51">
        <v>114.19</v>
      </c>
      <c r="L93" s="154">
        <f t="shared" si="24"/>
        <v>780.52290700000003</v>
      </c>
      <c r="M93" s="153">
        <f t="shared" si="25"/>
        <v>544.26499999999999</v>
      </c>
      <c r="N93" s="151">
        <f t="shared" si="26"/>
        <v>581.57899999999995</v>
      </c>
      <c r="O93" s="153">
        <f t="shared" si="27"/>
        <v>557.62416474607153</v>
      </c>
      <c r="P93">
        <f t="shared" si="28"/>
        <v>591.11127846076204</v>
      </c>
      <c r="S93" s="153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51">
        <v>691.41300000000001</v>
      </c>
      <c r="Z93" s="152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3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2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51"/>
      <c r="AL93">
        <f t="shared" si="19"/>
        <v>126.91429382113822</v>
      </c>
      <c r="AQ93" s="146">
        <f t="shared" si="20"/>
        <v>134.49688473520249</v>
      </c>
      <c r="AR93" s="146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5">
        <v>40756</v>
      </c>
      <c r="D94" s="153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51">
        <v>116.88</v>
      </c>
      <c r="L94" s="154">
        <f t="shared" si="24"/>
        <v>796.35019199999988</v>
      </c>
      <c r="M94" s="153">
        <f t="shared" si="25"/>
        <v>561.26499999999999</v>
      </c>
      <c r="N94" s="151">
        <f t="shared" si="26"/>
        <v>594.07899999999995</v>
      </c>
      <c r="O94" s="153">
        <f t="shared" si="27"/>
        <v>568.56574382298368</v>
      </c>
      <c r="P94">
        <f t="shared" si="28"/>
        <v>603.23132216549891</v>
      </c>
      <c r="S94" s="153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51">
        <v>701.41300000000001</v>
      </c>
      <c r="Z94" s="152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3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2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51"/>
      <c r="AL94">
        <f t="shared" si="19"/>
        <v>129.48783609756094</v>
      </c>
      <c r="AQ94" s="146">
        <f t="shared" si="20"/>
        <v>134.49688473520249</v>
      </c>
      <c r="AR94" s="146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5">
        <v>40787</v>
      </c>
      <c r="D95" s="153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51">
        <v>110.67</v>
      </c>
      <c r="L95" s="154">
        <f t="shared" si="24"/>
        <v>781.21953000000008</v>
      </c>
      <c r="M95" s="153">
        <f t="shared" si="25"/>
        <v>570.26499999999999</v>
      </c>
      <c r="N95" s="151">
        <f t="shared" si="26"/>
        <v>593.07899999999995</v>
      </c>
      <c r="O95" s="153">
        <f t="shared" si="27"/>
        <v>558.10574801454095</v>
      </c>
      <c r="P95">
        <f t="shared" si="28"/>
        <v>591.64473073673514</v>
      </c>
      <c r="S95" s="156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51">
        <v>699.41300000000001</v>
      </c>
      <c r="Z95" s="152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3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2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51"/>
      <c r="AL95">
        <f t="shared" si="19"/>
        <v>127.02756585365854</v>
      </c>
      <c r="AQ95" s="146">
        <f t="shared" si="20"/>
        <v>134.49688473520249</v>
      </c>
      <c r="AR95" s="146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5">
        <v>40817</v>
      </c>
      <c r="D96" s="153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51">
        <v>113.61</v>
      </c>
      <c r="L96" s="154">
        <f t="shared" si="24"/>
        <v>859.539177</v>
      </c>
      <c r="M96" s="153">
        <f t="shared" si="25"/>
        <v>602.76499999999999</v>
      </c>
      <c r="N96" s="151">
        <f t="shared" si="26"/>
        <v>626.57899999999995</v>
      </c>
      <c r="O96" s="153">
        <f t="shared" si="27"/>
        <v>612.24899563574365</v>
      </c>
      <c r="P96">
        <f t="shared" si="28"/>
        <v>651.61948601406618</v>
      </c>
      <c r="S96" s="153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51">
        <v>729.41300000000001</v>
      </c>
      <c r="Z96" s="152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3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2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51"/>
      <c r="AL96">
        <f t="shared" si="19"/>
        <v>139.76246780487804</v>
      </c>
      <c r="AQ96" s="146">
        <f t="shared" si="20"/>
        <v>135.69106957424711</v>
      </c>
      <c r="AR96" s="146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5">
        <v>40848</v>
      </c>
      <c r="D97" s="153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51">
        <v>109.28</v>
      </c>
      <c r="L97" s="154">
        <f t="shared" si="24"/>
        <v>874.37113600000009</v>
      </c>
      <c r="M97" s="153">
        <f t="shared" si="25"/>
        <v>625.76499999999999</v>
      </c>
      <c r="N97" s="151">
        <f t="shared" si="26"/>
        <v>665.07899999999995</v>
      </c>
      <c r="O97" s="153">
        <f t="shared" si="27"/>
        <v>622.50249472064797</v>
      </c>
      <c r="P97">
        <f t="shared" si="28"/>
        <v>662.97733995470537</v>
      </c>
      <c r="S97" s="153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51">
        <v>770.41300000000001</v>
      </c>
      <c r="Z97" s="152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3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2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51"/>
      <c r="AL97">
        <f t="shared" si="19"/>
        <v>142.17416845528456</v>
      </c>
      <c r="AQ97" s="146">
        <f t="shared" si="20"/>
        <v>135.69106957424711</v>
      </c>
      <c r="AR97" s="146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5">
        <v>40878</v>
      </c>
      <c r="D98" s="153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51">
        <v>110.51</v>
      </c>
      <c r="L98" s="154">
        <f t="shared" si="24"/>
        <v>899.52929799999993</v>
      </c>
      <c r="M98" s="153">
        <f t="shared" si="25"/>
        <v>600.04999999999995</v>
      </c>
      <c r="N98" s="151">
        <f t="shared" si="26"/>
        <v>700.57899999999995</v>
      </c>
      <c r="O98" s="153">
        <f t="shared" si="27"/>
        <v>639.89461339120749</v>
      </c>
      <c r="P98">
        <f t="shared" si="28"/>
        <v>682.24267971265192</v>
      </c>
      <c r="S98" s="153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51">
        <v>813.428</v>
      </c>
      <c r="Z98" s="152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3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2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51"/>
      <c r="AL98">
        <f t="shared" si="19"/>
        <v>146.26492650406502</v>
      </c>
      <c r="AQ98" s="146">
        <f t="shared" si="20"/>
        <v>140.27518172377984</v>
      </c>
      <c r="AR98" s="146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5">
        <v>40909</v>
      </c>
      <c r="D99" s="153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51">
        <v>107.96</v>
      </c>
      <c r="L99" s="154">
        <f t="shared" si="24"/>
        <v>886.58911199999989</v>
      </c>
      <c r="M99" s="153">
        <f t="shared" si="25"/>
        <v>594.54999999999995</v>
      </c>
      <c r="N99" s="151">
        <f t="shared" si="26"/>
        <v>678.07899999999995</v>
      </c>
      <c r="O99" s="153">
        <f t="shared" si="27"/>
        <v>630.94891813210575</v>
      </c>
      <c r="P99">
        <f t="shared" si="28"/>
        <v>672.33348683039662</v>
      </c>
      <c r="S99" s="153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51">
        <v>788.428</v>
      </c>
      <c r="Z99" s="152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3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2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51"/>
      <c r="AL99">
        <f t="shared" si="19"/>
        <v>144.16083121951218</v>
      </c>
      <c r="AQ99" s="146">
        <f t="shared" si="20"/>
        <v>140.32710280373831</v>
      </c>
      <c r="AR99" s="146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5">
        <v>40940</v>
      </c>
      <c r="D100" s="153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51">
        <v>110.42</v>
      </c>
      <c r="L100" s="154">
        <f t="shared" si="24"/>
        <v>892.64632199999994</v>
      </c>
      <c r="M100" s="153">
        <f t="shared" si="25"/>
        <v>628.54999999999995</v>
      </c>
      <c r="N100" s="151">
        <f t="shared" si="26"/>
        <v>675.57899999999995</v>
      </c>
      <c r="O100" s="153">
        <f t="shared" si="27"/>
        <v>635.13633512753256</v>
      </c>
      <c r="P100">
        <f t="shared" si="28"/>
        <v>676.97191028260409</v>
      </c>
      <c r="S100" s="153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51">
        <v>785.428</v>
      </c>
      <c r="Z100" s="153">
        <f t="shared" si="10"/>
        <v>1079</v>
      </c>
      <c r="AA100">
        <f t="shared" si="11"/>
        <v>1016.49</v>
      </c>
      <c r="AB100">
        <f t="shared" si="12"/>
        <v>767.47800000000007</v>
      </c>
      <c r="AD100" s="153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2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51"/>
      <c r="AL100">
        <f t="shared" si="19"/>
        <v>145.14574341463413</v>
      </c>
      <c r="AQ100" s="146">
        <f t="shared" si="20"/>
        <v>140.32710280373831</v>
      </c>
      <c r="AR100" s="146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5">
        <v>40969</v>
      </c>
      <c r="D101" s="153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51">
        <v>126.39</v>
      </c>
      <c r="L101" s="154">
        <f t="shared" si="24"/>
        <v>970.54881</v>
      </c>
      <c r="M101" s="153">
        <f t="shared" si="25"/>
        <v>652.16999999999996</v>
      </c>
      <c r="N101" s="151">
        <f t="shared" si="26"/>
        <v>680.07899999999995</v>
      </c>
      <c r="O101" s="153">
        <f t="shared" si="27"/>
        <v>688.99119606800366</v>
      </c>
      <c r="P101">
        <f t="shared" si="28"/>
        <v>736.62721814290671</v>
      </c>
      <c r="S101" s="153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51">
        <v>789.428</v>
      </c>
      <c r="Z101" s="153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3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2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51"/>
      <c r="AL101">
        <f t="shared" si="19"/>
        <v>157.81281463414632</v>
      </c>
      <c r="AQ101" s="146">
        <f t="shared" si="20"/>
        <v>141.69158878504672</v>
      </c>
      <c r="AR101" s="146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5">
        <v>41000</v>
      </c>
      <c r="D102" s="153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51">
        <v>125.42</v>
      </c>
      <c r="L102" s="154">
        <f t="shared" si="24"/>
        <v>955.61260600000003</v>
      </c>
      <c r="M102" s="153">
        <f t="shared" si="25"/>
        <v>691.07</v>
      </c>
      <c r="N102" s="151">
        <f t="shared" si="26"/>
        <v>701.57899999999995</v>
      </c>
      <c r="O102" s="153">
        <f t="shared" si="27"/>
        <v>678.66563124909169</v>
      </c>
      <c r="P102">
        <f t="shared" si="28"/>
        <v>725.18953661617184</v>
      </c>
      <c r="S102" s="153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51">
        <v>816.02800000000002</v>
      </c>
      <c r="Z102" s="153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3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2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51"/>
      <c r="AL102">
        <f t="shared" si="19"/>
        <v>155.38416357723577</v>
      </c>
      <c r="AQ102" s="146">
        <f t="shared" si="20"/>
        <v>151.79543094496361</v>
      </c>
      <c r="AR102" s="146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5">
        <v>41030</v>
      </c>
      <c r="D103" s="153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51">
        <v>120.18</v>
      </c>
      <c r="L103" s="154">
        <f t="shared" si="24"/>
        <v>943.8456480000001</v>
      </c>
      <c r="M103" s="153">
        <f t="shared" si="25"/>
        <v>714.67</v>
      </c>
      <c r="N103" s="151">
        <f t="shared" si="26"/>
        <v>708.07899999999995</v>
      </c>
      <c r="O103" s="153">
        <f t="shared" si="27"/>
        <v>670.53100162362512</v>
      </c>
      <c r="P103">
        <f t="shared" si="28"/>
        <v>716.17876532900516</v>
      </c>
      <c r="S103" s="153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51">
        <v>825.02800000000002</v>
      </c>
      <c r="Z103" s="153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3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2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51"/>
      <c r="AL103">
        <f t="shared" si="19"/>
        <v>153.47083707317074</v>
      </c>
      <c r="AQ103" s="146">
        <f t="shared" si="20"/>
        <v>152.64693665628249</v>
      </c>
      <c r="AR103" s="146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5">
        <v>41061</v>
      </c>
      <c r="D104" s="153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51">
        <v>110.27</v>
      </c>
      <c r="L104" s="154">
        <f t="shared" si="24"/>
        <v>893.52883699999995</v>
      </c>
      <c r="M104" s="153">
        <f t="shared" si="25"/>
        <v>657.49</v>
      </c>
      <c r="N104" s="151">
        <f t="shared" si="26"/>
        <v>684.07899999999995</v>
      </c>
      <c r="O104" s="153">
        <f t="shared" si="27"/>
        <v>635.74642761396092</v>
      </c>
      <c r="P104">
        <f t="shared" si="28"/>
        <v>677.64771288362408</v>
      </c>
      <c r="S104" s="153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51">
        <v>804.02800000000002</v>
      </c>
      <c r="Z104" s="153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3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2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51"/>
      <c r="AL104">
        <f t="shared" si="19"/>
        <v>145.28924178861786</v>
      </c>
      <c r="AQ104" s="146">
        <f t="shared" si="20"/>
        <v>153.32606438213918</v>
      </c>
      <c r="AR104" s="146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5">
        <v>41091</v>
      </c>
      <c r="D105" s="153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51">
        <v>95.22</v>
      </c>
      <c r="L105" s="154">
        <f t="shared" si="24"/>
        <v>801.64765800000009</v>
      </c>
      <c r="M105" s="153">
        <f t="shared" si="25"/>
        <v>577.07000000000005</v>
      </c>
      <c r="N105" s="151">
        <f t="shared" si="26"/>
        <v>627.57899999999995</v>
      </c>
      <c r="O105" s="153">
        <f t="shared" si="27"/>
        <v>572.22794129691908</v>
      </c>
      <c r="P105">
        <f t="shared" si="28"/>
        <v>607.28795723868814</v>
      </c>
      <c r="S105" s="153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51">
        <v>746.02800000000002</v>
      </c>
      <c r="Z105" s="153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3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2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51"/>
      <c r="AL105">
        <f t="shared" si="19"/>
        <v>130.34921268292683</v>
      </c>
      <c r="AQ105" s="146">
        <f t="shared" si="20"/>
        <v>151.48390446521285</v>
      </c>
      <c r="AR105" s="146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5">
        <v>41122</v>
      </c>
      <c r="D106" s="153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51">
        <v>102.04</v>
      </c>
      <c r="L106" s="154">
        <f t="shared" si="24"/>
        <v>843.43202800000017</v>
      </c>
      <c r="M106" s="153">
        <f t="shared" si="25"/>
        <v>603.45000000000005</v>
      </c>
      <c r="N106" s="151">
        <f t="shared" si="26"/>
        <v>645.07899999999995</v>
      </c>
      <c r="O106" s="153">
        <f t="shared" si="27"/>
        <v>601.11394344662187</v>
      </c>
      <c r="P106">
        <f t="shared" si="28"/>
        <v>639.28513114279747</v>
      </c>
      <c r="S106" s="153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51">
        <v>761.02800000000002</v>
      </c>
      <c r="Z106" s="153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3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2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51"/>
      <c r="AL106">
        <f t="shared" si="19"/>
        <v>137.14341918699188</v>
      </c>
      <c r="AQ106" s="146">
        <f t="shared" si="20"/>
        <v>150.11941848390444</v>
      </c>
      <c r="AR106" s="146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5">
        <v>41153</v>
      </c>
      <c r="D107" s="153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51">
        <v>113.51</v>
      </c>
      <c r="L107" s="154">
        <f t="shared" si="24"/>
        <v>939.38605800000005</v>
      </c>
      <c r="M107" s="153">
        <f t="shared" si="25"/>
        <v>692.95</v>
      </c>
      <c r="N107" s="151">
        <f t="shared" si="26"/>
        <v>716.07899999999995</v>
      </c>
      <c r="O107" s="153">
        <f t="shared" si="27"/>
        <v>667.44803719633342</v>
      </c>
      <c r="P107">
        <f t="shared" si="28"/>
        <v>712.7637496958622</v>
      </c>
      <c r="S107" s="153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51">
        <v>834.02800000000002</v>
      </c>
      <c r="Z107" s="153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3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2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51"/>
      <c r="AL107">
        <f t="shared" si="19"/>
        <v>152.74570048780487</v>
      </c>
      <c r="AQ107" s="146">
        <f t="shared" si="20"/>
        <v>151.20976116303214</v>
      </c>
      <c r="AR107" s="146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5">
        <v>41183</v>
      </c>
      <c r="D108" s="153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51">
        <v>112.96</v>
      </c>
      <c r="L108" s="154">
        <f t="shared" si="24"/>
        <v>938.41519999999991</v>
      </c>
      <c r="M108" s="153">
        <f t="shared" si="25"/>
        <v>701.79</v>
      </c>
      <c r="N108" s="151">
        <f t="shared" si="26"/>
        <v>746.07899999999995</v>
      </c>
      <c r="O108" s="153">
        <f t="shared" si="27"/>
        <v>666.776872206289</v>
      </c>
      <c r="P108">
        <f t="shared" si="28"/>
        <v>712.02029676687948</v>
      </c>
      <c r="S108" s="153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51">
        <v>867.02800000000002</v>
      </c>
      <c r="Z108" s="153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3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2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51"/>
      <c r="AL108">
        <f t="shared" si="19"/>
        <v>152.58783739837395</v>
      </c>
      <c r="AQ108" s="146">
        <f t="shared" si="20"/>
        <v>155.41329179646939</v>
      </c>
      <c r="AR108" s="146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5">
        <v>41214</v>
      </c>
      <c r="D109" s="153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51">
        <v>109.05</v>
      </c>
      <c r="L109" s="154">
        <f t="shared" si="24"/>
        <v>943.053495</v>
      </c>
      <c r="M109" s="153">
        <f t="shared" si="25"/>
        <v>689.59</v>
      </c>
      <c r="N109" s="151">
        <f t="shared" si="26"/>
        <v>751.07899999999995</v>
      </c>
      <c r="O109" s="153">
        <f t="shared" si="27"/>
        <v>669.98337739808585</v>
      </c>
      <c r="P109">
        <f t="shared" si="28"/>
        <v>715.57215914349456</v>
      </c>
      <c r="S109" s="153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51">
        <v>870.02800000000002</v>
      </c>
      <c r="Z109" s="153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3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2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51"/>
      <c r="AL109">
        <f t="shared" si="19"/>
        <v>153.34203170731706</v>
      </c>
      <c r="AQ109" s="146">
        <f t="shared" si="20"/>
        <v>156.09865005192108</v>
      </c>
      <c r="AR109" s="146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50">
        <v>41244</v>
      </c>
      <c r="D110" s="142">
        <v>660.19</v>
      </c>
      <c r="E110" s="149">
        <v>673.19</v>
      </c>
      <c r="F110" s="149">
        <v>735.63</v>
      </c>
      <c r="G110" s="149">
        <v>741.03</v>
      </c>
      <c r="H110" s="149">
        <v>731.12800000000004</v>
      </c>
      <c r="I110" s="149">
        <v>1531.421</v>
      </c>
      <c r="J110" s="149">
        <v>8.8252000000000006</v>
      </c>
      <c r="K110" s="141">
        <v>109.04</v>
      </c>
      <c r="L110" s="143">
        <f t="shared" si="24"/>
        <v>962.2998080000001</v>
      </c>
      <c r="M110" s="142">
        <f t="shared" si="25"/>
        <v>666.69</v>
      </c>
      <c r="N110" s="141">
        <f t="shared" si="26"/>
        <v>736.07899999999995</v>
      </c>
      <c r="O110" s="142">
        <f t="shared" si="27"/>
        <v>683.28856875772226</v>
      </c>
      <c r="P110" s="149">
        <f t="shared" si="28"/>
        <v>730.31038839222856</v>
      </c>
      <c r="Q110" s="149"/>
      <c r="R110" s="149"/>
      <c r="S110" s="142">
        <v>1178</v>
      </c>
      <c r="T110" s="149">
        <v>1166</v>
      </c>
      <c r="U110" s="149">
        <v>1201</v>
      </c>
      <c r="V110" s="149">
        <v>1138.95</v>
      </c>
      <c r="W110" s="149">
        <v>1114.25</v>
      </c>
      <c r="X110" s="149">
        <v>824.12800000000004</v>
      </c>
      <c r="Y110" s="141">
        <v>866.02800000000002</v>
      </c>
      <c r="Z110" s="142">
        <f t="shared" si="10"/>
        <v>1181.6666666666667</v>
      </c>
      <c r="AA110" s="149">
        <f t="shared" si="11"/>
        <v>1126.5999999999999</v>
      </c>
      <c r="AB110" s="149">
        <f t="shared" si="12"/>
        <v>845.07799999999997</v>
      </c>
      <c r="AC110" s="149">
        <v>2238</v>
      </c>
      <c r="AD110" s="142">
        <f t="shared" si="13"/>
        <v>1166.9405710778692</v>
      </c>
      <c r="AE110" s="149">
        <f t="shared" si="14"/>
        <v>1097.4533154780361</v>
      </c>
      <c r="AF110" s="149">
        <f t="shared" si="15"/>
        <v>827.47871994994523</v>
      </c>
      <c r="AG110" s="149"/>
      <c r="AH110" s="148">
        <f t="shared" si="16"/>
        <v>1144.6045809829961</v>
      </c>
      <c r="AI110" s="147">
        <f t="shared" si="17"/>
        <v>1105.1855271623785</v>
      </c>
      <c r="AJ110" s="147">
        <f t="shared" si="18"/>
        <v>836.11062143307572</v>
      </c>
      <c r="AK110" s="141"/>
      <c r="AL110">
        <f t="shared" si="19"/>
        <v>156.47151349593497</v>
      </c>
      <c r="AQ110" s="146">
        <f t="shared" si="20"/>
        <v>160.42886812045691</v>
      </c>
      <c r="AR110" s="146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5">
        <v>884.85</v>
      </c>
      <c r="F111" s="145">
        <v>769</v>
      </c>
    </row>
    <row r="112" spans="3:47" x14ac:dyDescent="0.25">
      <c r="AM112" t="s">
        <v>129</v>
      </c>
      <c r="AN112" t="s">
        <v>128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4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3">
        <f>K114*J114</f>
        <v>734.99880000000007</v>
      </c>
      <c r="M114" s="142">
        <f>AVERAGE(D114:E114)</f>
        <v>515.66999999999996</v>
      </c>
      <c r="N114" s="141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4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3">
        <f>K115*J115</f>
        <v>801.11969999999997</v>
      </c>
      <c r="M115" s="142">
        <f>AVERAGE(D115:E115)</f>
        <v>596.66999999999996</v>
      </c>
      <c r="N115" s="141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4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3">
        <f>K116*J116</f>
        <v>885.78</v>
      </c>
      <c r="M116" s="142">
        <f>AVERAGE(D116:E116)</f>
        <v>661.67</v>
      </c>
      <c r="N116" s="141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EA138"/>
  <sheetViews>
    <sheetView tabSelected="1" topLeftCell="DO50" workbookViewId="0">
      <selection activeCell="EB97" sqref="EB97"/>
    </sheetView>
    <sheetView workbookViewId="1"/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81" t="s">
        <v>338</v>
      </c>
      <c r="C2" s="181"/>
      <c r="D2" s="181"/>
      <c r="E2" s="181"/>
      <c r="F2" s="181"/>
    </row>
    <row r="3" spans="2:55" ht="15.75" thickTop="1" x14ac:dyDescent="0.25"/>
    <row r="9" spans="2:55" x14ac:dyDescent="0.25">
      <c r="G9" t="s">
        <v>337</v>
      </c>
      <c r="H9" t="s">
        <v>336</v>
      </c>
      <c r="I9" t="s">
        <v>335</v>
      </c>
    </row>
    <row r="10" spans="2:55" x14ac:dyDescent="0.25">
      <c r="B10" t="s">
        <v>334</v>
      </c>
      <c r="G10">
        <v>2009</v>
      </c>
      <c r="H10">
        <v>60.4</v>
      </c>
      <c r="I10" s="179">
        <v>61.096005114485806</v>
      </c>
      <c r="V10" t="s">
        <v>312</v>
      </c>
      <c r="AO10" t="s">
        <v>333</v>
      </c>
    </row>
    <row r="12" spans="2:55" ht="15.75" thickBot="1" x14ac:dyDescent="0.3">
      <c r="B12" t="s">
        <v>315</v>
      </c>
      <c r="D12" t="s">
        <v>287</v>
      </c>
      <c r="I12" t="s">
        <v>284</v>
      </c>
      <c r="N12">
        <v>450</v>
      </c>
      <c r="T12" t="s">
        <v>332</v>
      </c>
      <c r="V12" t="s">
        <v>287</v>
      </c>
      <c r="AA12" t="s">
        <v>284</v>
      </c>
      <c r="AF12">
        <v>450</v>
      </c>
      <c r="AM12" t="s">
        <v>331</v>
      </c>
      <c r="AO12" t="s">
        <v>287</v>
      </c>
      <c r="AT12" t="s">
        <v>284</v>
      </c>
      <c r="AY12">
        <v>450</v>
      </c>
    </row>
    <row r="13" spans="2:55" x14ac:dyDescent="0.25">
      <c r="C13">
        <v>2010</v>
      </c>
      <c r="D13" s="78">
        <v>2015</v>
      </c>
      <c r="E13" s="199">
        <v>2020</v>
      </c>
      <c r="F13" s="199">
        <v>2025</v>
      </c>
      <c r="G13" s="199">
        <v>2030</v>
      </c>
      <c r="H13" s="198">
        <v>2035</v>
      </c>
      <c r="I13" s="78">
        <v>2015</v>
      </c>
      <c r="J13" s="199">
        <v>2020</v>
      </c>
      <c r="K13" s="199">
        <v>2025</v>
      </c>
      <c r="L13" s="199">
        <v>2030</v>
      </c>
      <c r="M13" s="198">
        <v>2035</v>
      </c>
      <c r="N13" s="78">
        <v>2015</v>
      </c>
      <c r="O13" s="199">
        <v>2020</v>
      </c>
      <c r="P13" s="199">
        <v>2025</v>
      </c>
      <c r="Q13" s="199">
        <v>2030</v>
      </c>
      <c r="R13" s="198">
        <v>2035</v>
      </c>
      <c r="U13">
        <v>2011</v>
      </c>
      <c r="V13" s="78">
        <v>2015</v>
      </c>
      <c r="W13" s="199">
        <v>2020</v>
      </c>
      <c r="X13" s="199">
        <v>2025</v>
      </c>
      <c r="Y13" s="199">
        <v>2030</v>
      </c>
      <c r="Z13" s="198">
        <v>2035</v>
      </c>
      <c r="AA13" s="78">
        <v>2015</v>
      </c>
      <c r="AB13" s="199">
        <v>2020</v>
      </c>
      <c r="AC13" s="199">
        <v>2025</v>
      </c>
      <c r="AD13" s="199">
        <v>2030</v>
      </c>
      <c r="AE13" s="198">
        <v>2035</v>
      </c>
      <c r="AF13" s="78">
        <v>2015</v>
      </c>
      <c r="AG13" s="199">
        <v>2020</v>
      </c>
      <c r="AH13" s="199">
        <v>2025</v>
      </c>
      <c r="AI13" s="199">
        <v>2030</v>
      </c>
      <c r="AJ13" s="198">
        <v>2035</v>
      </c>
      <c r="AN13">
        <v>2012</v>
      </c>
      <c r="AO13" s="78">
        <v>2015</v>
      </c>
      <c r="AP13" s="199">
        <v>2020</v>
      </c>
      <c r="AQ13" s="199">
        <v>2025</v>
      </c>
      <c r="AR13" s="199">
        <v>2030</v>
      </c>
      <c r="AS13" s="198">
        <v>2035</v>
      </c>
      <c r="AT13" s="78">
        <v>2015</v>
      </c>
      <c r="AU13" s="199">
        <v>2020</v>
      </c>
      <c r="AV13" s="199">
        <v>2025</v>
      </c>
      <c r="AW13" s="199">
        <v>2030</v>
      </c>
      <c r="AX13" s="198">
        <v>2035</v>
      </c>
      <c r="AY13" s="78">
        <v>2015</v>
      </c>
      <c r="AZ13" s="199">
        <v>2020</v>
      </c>
      <c r="BA13" s="199">
        <v>2025</v>
      </c>
      <c r="BB13" s="199">
        <v>2030</v>
      </c>
      <c r="BC13" s="198">
        <v>2035</v>
      </c>
    </row>
    <row r="14" spans="2:55" x14ac:dyDescent="0.25">
      <c r="B14" t="s">
        <v>330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5">
        <v>120</v>
      </c>
      <c r="I14" s="109">
        <v>106.3</v>
      </c>
      <c r="J14">
        <v>118.1</v>
      </c>
      <c r="K14">
        <v>127.3</v>
      </c>
      <c r="L14">
        <v>134.5</v>
      </c>
      <c r="M14" s="205">
        <v>140</v>
      </c>
      <c r="N14" s="109">
        <v>97</v>
      </c>
      <c r="O14">
        <v>97</v>
      </c>
      <c r="P14">
        <v>97</v>
      </c>
      <c r="Q14">
        <v>97</v>
      </c>
      <c r="R14" s="205">
        <v>97</v>
      </c>
      <c r="T14" t="s">
        <v>330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5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5">
        <v>145</v>
      </c>
      <c r="AF14" s="109">
        <v>115.3</v>
      </c>
      <c r="AG14">
        <v>113.3</v>
      </c>
      <c r="AH14">
        <v>109.1</v>
      </c>
      <c r="AI14">
        <v>104.7</v>
      </c>
      <c r="AJ14" s="205">
        <v>100</v>
      </c>
      <c r="AM14" t="s">
        <v>330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5">
        <v>128</v>
      </c>
      <c r="AT14" s="206">
        <f>(AN14*5+AU14*3)/8</f>
        <v>113.125</v>
      </c>
      <c r="AU14">
        <v>120</v>
      </c>
      <c r="AV14">
        <v>127</v>
      </c>
      <c r="AW14">
        <v>136</v>
      </c>
      <c r="AX14" s="205">
        <v>145</v>
      </c>
      <c r="AY14" s="206">
        <f>(AN14*5+AZ14*3)/8</f>
        <v>109.375</v>
      </c>
      <c r="AZ14">
        <v>110</v>
      </c>
      <c r="BA14">
        <v>107</v>
      </c>
      <c r="BB14">
        <v>104</v>
      </c>
      <c r="BC14" s="205">
        <v>100</v>
      </c>
    </row>
    <row r="15" spans="2:55" x14ac:dyDescent="0.25">
      <c r="B15" t="s">
        <v>329</v>
      </c>
      <c r="D15" s="109"/>
      <c r="H15" s="205"/>
      <c r="I15" s="109"/>
      <c r="M15" s="205"/>
      <c r="N15" s="109"/>
      <c r="R15" s="205"/>
      <c r="T15" t="s">
        <v>329</v>
      </c>
      <c r="V15" s="109"/>
      <c r="Z15" s="205"/>
      <c r="AA15" s="109"/>
      <c r="AE15" s="205"/>
      <c r="AF15" s="109"/>
      <c r="AJ15" s="205"/>
      <c r="AM15" t="s">
        <v>329</v>
      </c>
      <c r="AO15" s="109"/>
      <c r="AP15" s="109"/>
      <c r="AS15" s="205"/>
      <c r="AT15" s="109"/>
      <c r="AX15" s="205"/>
      <c r="AY15" s="109"/>
      <c r="BC15" s="205"/>
    </row>
    <row r="16" spans="2:55" x14ac:dyDescent="0.25">
      <c r="B16" t="s">
        <v>319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5">
        <v>8.6</v>
      </c>
      <c r="I16" s="109">
        <v>6.1</v>
      </c>
      <c r="J16">
        <v>7</v>
      </c>
      <c r="K16">
        <v>7.7</v>
      </c>
      <c r="L16">
        <v>8.4</v>
      </c>
      <c r="M16" s="205">
        <v>9</v>
      </c>
      <c r="N16" s="109">
        <v>5.9</v>
      </c>
      <c r="O16">
        <v>6.5</v>
      </c>
      <c r="P16">
        <v>8</v>
      </c>
      <c r="Q16">
        <v>8.4</v>
      </c>
      <c r="R16" s="205">
        <v>7.8</v>
      </c>
      <c r="T16" t="s">
        <v>319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5">
        <v>8</v>
      </c>
      <c r="AA16" s="109">
        <v>4.5999999999999996</v>
      </c>
      <c r="AB16">
        <v>5.5</v>
      </c>
      <c r="AC16">
        <v>6.4</v>
      </c>
      <c r="AD16">
        <v>7.2</v>
      </c>
      <c r="AE16" s="205">
        <v>8</v>
      </c>
      <c r="AF16" s="109">
        <v>4.4000000000000004</v>
      </c>
      <c r="AG16">
        <v>5.5</v>
      </c>
      <c r="AH16">
        <v>6.9</v>
      </c>
      <c r="AI16">
        <v>7.6</v>
      </c>
      <c r="AJ16" s="205">
        <v>7.6</v>
      </c>
      <c r="AM16" t="s">
        <v>319</v>
      </c>
      <c r="AN16">
        <v>2.7</v>
      </c>
      <c r="AO16" s="207">
        <f>(AN16*5+AP16*3)/8</f>
        <v>3.5999999999999996</v>
      </c>
      <c r="AP16" s="109">
        <v>5.0999999999999996</v>
      </c>
      <c r="AQ16">
        <v>5.6</v>
      </c>
      <c r="AR16">
        <v>6</v>
      </c>
      <c r="AS16" s="205">
        <v>6.8</v>
      </c>
      <c r="AT16" s="206">
        <f>(AN16*5+AU16*3)/8</f>
        <v>3.6375000000000002</v>
      </c>
      <c r="AU16">
        <v>5.2</v>
      </c>
      <c r="AV16">
        <v>5.8</v>
      </c>
      <c r="AW16">
        <v>6.2</v>
      </c>
      <c r="AX16" s="205">
        <v>6.9</v>
      </c>
      <c r="AY16" s="206">
        <f>(AN16*5+AZ16*3)/8</f>
        <v>3.4874999999999998</v>
      </c>
      <c r="AZ16">
        <v>4.8</v>
      </c>
      <c r="BA16">
        <v>5.4</v>
      </c>
      <c r="BB16">
        <v>5.7</v>
      </c>
      <c r="BC16" s="205">
        <v>5.9</v>
      </c>
    </row>
    <row r="17" spans="2:68" x14ac:dyDescent="0.25">
      <c r="B17" t="s">
        <v>318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5">
        <v>12.1</v>
      </c>
      <c r="I17" s="109">
        <v>9.8000000000000007</v>
      </c>
      <c r="J17">
        <v>11</v>
      </c>
      <c r="K17">
        <v>11.9</v>
      </c>
      <c r="L17">
        <v>12.6</v>
      </c>
      <c r="M17" s="205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5">
        <v>9.4</v>
      </c>
      <c r="T17" t="s">
        <v>318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5">
        <v>12.5</v>
      </c>
      <c r="AA17" s="109">
        <v>11.1</v>
      </c>
      <c r="AB17">
        <v>12.1</v>
      </c>
      <c r="AC17">
        <v>12.9</v>
      </c>
      <c r="AD17">
        <v>13.4</v>
      </c>
      <c r="AE17" s="205">
        <v>13.7</v>
      </c>
      <c r="AF17" s="109">
        <v>10.9</v>
      </c>
      <c r="AG17">
        <v>10.8</v>
      </c>
      <c r="AH17">
        <v>10.4</v>
      </c>
      <c r="AI17">
        <v>10</v>
      </c>
      <c r="AJ17" s="205">
        <v>9.6</v>
      </c>
      <c r="AM17" t="s">
        <v>318</v>
      </c>
      <c r="AN17">
        <v>11.7</v>
      </c>
      <c r="AO17" s="207">
        <f>(AN17*5+AP17*3)/8</f>
        <v>11.775</v>
      </c>
      <c r="AP17" s="109">
        <v>11.9</v>
      </c>
      <c r="AQ17">
        <v>12</v>
      </c>
      <c r="AR17">
        <v>12.3</v>
      </c>
      <c r="AS17" s="205">
        <v>12.7</v>
      </c>
      <c r="AT17" s="206">
        <f>(AN17*5+AU17*3)/8</f>
        <v>11.9625</v>
      </c>
      <c r="AU17">
        <v>12.4</v>
      </c>
      <c r="AV17">
        <v>12.9</v>
      </c>
      <c r="AW17">
        <v>13.4</v>
      </c>
      <c r="AX17" s="205">
        <v>14</v>
      </c>
      <c r="AY17" s="206">
        <f>(AN17*5+AZ17*3)/8</f>
        <v>11.625</v>
      </c>
      <c r="AZ17">
        <v>11.5</v>
      </c>
      <c r="BA17">
        <v>11</v>
      </c>
      <c r="BB17">
        <v>10.199999999999999</v>
      </c>
      <c r="BC17" s="205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317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5">
        <v>14.3</v>
      </c>
      <c r="I18" s="109">
        <v>12.7</v>
      </c>
      <c r="J18">
        <v>13.5</v>
      </c>
      <c r="K18">
        <v>14.2</v>
      </c>
      <c r="L18">
        <v>14.8</v>
      </c>
      <c r="M18" s="205">
        <v>15.2</v>
      </c>
      <c r="N18" s="109">
        <v>11.9</v>
      </c>
      <c r="O18">
        <v>12</v>
      </c>
      <c r="P18">
        <v>12</v>
      </c>
      <c r="Q18">
        <v>12.1</v>
      </c>
      <c r="R18" s="205">
        <v>12.1</v>
      </c>
      <c r="T18" t="s">
        <v>317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5">
        <v>14.8</v>
      </c>
      <c r="AA18" s="109">
        <v>15.3</v>
      </c>
      <c r="AB18">
        <v>14.7</v>
      </c>
      <c r="AC18">
        <v>15.2</v>
      </c>
      <c r="AD18">
        <v>15.6</v>
      </c>
      <c r="AE18" s="205">
        <v>16</v>
      </c>
      <c r="AF18" s="109">
        <v>14.9</v>
      </c>
      <c r="AG18">
        <v>13.5</v>
      </c>
      <c r="AH18">
        <v>12.9</v>
      </c>
      <c r="AI18">
        <v>12.5</v>
      </c>
      <c r="AJ18" s="205">
        <v>12.2</v>
      </c>
      <c r="AM18" t="s">
        <v>317</v>
      </c>
      <c r="AN18">
        <v>16.899999999999999</v>
      </c>
      <c r="AO18" s="207">
        <f>(AN18*5+AP18*3)/8</f>
        <v>15.887499999999999</v>
      </c>
      <c r="AP18" s="109">
        <v>14.2</v>
      </c>
      <c r="AQ18">
        <v>14.2</v>
      </c>
      <c r="AR18">
        <v>14.4</v>
      </c>
      <c r="AS18" s="205">
        <v>14.9</v>
      </c>
      <c r="AT18" s="206">
        <f>(AN18*5+AU18*3)/8</f>
        <v>16.074999999999999</v>
      </c>
      <c r="AU18">
        <v>14.7</v>
      </c>
      <c r="AV18">
        <v>15.2</v>
      </c>
      <c r="AW18">
        <v>15.9</v>
      </c>
      <c r="AX18" s="205">
        <v>16.7</v>
      </c>
      <c r="AY18" s="206">
        <f>(AN18*5+AZ18*3)/8</f>
        <v>15.5875</v>
      </c>
      <c r="AZ18">
        <v>13.4</v>
      </c>
      <c r="BA18">
        <v>12.8</v>
      </c>
      <c r="BB18">
        <v>12.2</v>
      </c>
      <c r="BC18" s="205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328</v>
      </c>
      <c r="C19">
        <v>99.2</v>
      </c>
      <c r="D19" s="203">
        <v>103.7</v>
      </c>
      <c r="E19" s="86">
        <v>106.3</v>
      </c>
      <c r="F19" s="86">
        <v>108.1</v>
      </c>
      <c r="G19" s="86">
        <v>109.3</v>
      </c>
      <c r="H19" s="202">
        <v>110</v>
      </c>
      <c r="I19" s="203">
        <v>104.6</v>
      </c>
      <c r="J19" s="86">
        <v>109</v>
      </c>
      <c r="K19" s="86">
        <v>112.8</v>
      </c>
      <c r="L19" s="86">
        <v>115.9</v>
      </c>
      <c r="M19" s="202">
        <v>118.4</v>
      </c>
      <c r="N19" s="203">
        <v>100.3</v>
      </c>
      <c r="O19" s="86">
        <v>93.3</v>
      </c>
      <c r="P19" s="86">
        <v>83.2</v>
      </c>
      <c r="Q19" s="86">
        <v>73.7</v>
      </c>
      <c r="R19" s="202">
        <v>67.7</v>
      </c>
      <c r="T19" t="s">
        <v>328</v>
      </c>
      <c r="U19">
        <v>123.4</v>
      </c>
      <c r="V19" s="203">
        <v>108.5</v>
      </c>
      <c r="W19" s="86">
        <v>112</v>
      </c>
      <c r="X19" s="86">
        <v>113</v>
      </c>
      <c r="Y19" s="86">
        <v>114</v>
      </c>
      <c r="Z19" s="202">
        <v>115</v>
      </c>
      <c r="AA19" s="203">
        <v>110</v>
      </c>
      <c r="AB19" s="86">
        <v>115</v>
      </c>
      <c r="AC19" s="86">
        <v>119.2</v>
      </c>
      <c r="AD19" s="86">
        <v>122.5</v>
      </c>
      <c r="AE19" s="202">
        <v>125</v>
      </c>
      <c r="AF19" s="203">
        <v>105.3</v>
      </c>
      <c r="AG19" s="86">
        <v>97.5</v>
      </c>
      <c r="AH19" s="86">
        <v>89</v>
      </c>
      <c r="AI19" s="86">
        <v>78</v>
      </c>
      <c r="AJ19" s="202">
        <v>70</v>
      </c>
      <c r="AM19" t="s">
        <v>328</v>
      </c>
      <c r="AN19">
        <v>99</v>
      </c>
      <c r="AO19" s="204">
        <f>(AN19*5+AP19*3)/8</f>
        <v>101.625</v>
      </c>
      <c r="AP19" s="203">
        <v>106</v>
      </c>
      <c r="AQ19" s="86">
        <v>109</v>
      </c>
      <c r="AR19" s="86">
        <v>110</v>
      </c>
      <c r="AS19" s="202">
        <v>110</v>
      </c>
      <c r="AT19" s="203">
        <f>(AN19*5+AU19*3)/8</f>
        <v>103.875</v>
      </c>
      <c r="AU19" s="86">
        <v>112</v>
      </c>
      <c r="AV19" s="86">
        <v>116</v>
      </c>
      <c r="AW19" s="202">
        <v>118</v>
      </c>
      <c r="AX19" s="203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2">
        <v>75</v>
      </c>
      <c r="BI19" t="s">
        <v>327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326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325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324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323</v>
      </c>
      <c r="U22" t="s">
        <v>322</v>
      </c>
      <c r="AM22" t="s">
        <v>323</v>
      </c>
      <c r="AN22" t="s">
        <v>322</v>
      </c>
      <c r="BI22" t="s">
        <v>321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320</v>
      </c>
      <c r="D23" s="192">
        <f>(D14/C14)^(1/(D13-C13))-1</f>
        <v>5.4847863469976943E-2</v>
      </c>
      <c r="E23" s="192">
        <f>(E14/D14)^(1/(E13-D13))-1</f>
        <v>1.2618670784016128E-2</v>
      </c>
      <c r="F23" s="192">
        <f>(F14/E14)^(1/(F13-E13))-1</f>
        <v>9.0430634103768615E-3</v>
      </c>
      <c r="G23" s="192">
        <f>(G14/F14)^(1/(G13-F13))-1</f>
        <v>6.4308394975671757E-3</v>
      </c>
      <c r="H23" s="192">
        <f>(H14/G14)^(1/(H13-G13))-1</f>
        <v>4.5617707655429829E-3</v>
      </c>
      <c r="I23" s="192">
        <f>(I14/C14)^(1/(I13-C13))-1</f>
        <v>6.3595389637669753E-2</v>
      </c>
      <c r="J23" s="192">
        <f>(J14/I14)^(1/(J13-I13))-1</f>
        <v>2.1276471530135677E-2</v>
      </c>
      <c r="K23" s="192">
        <f>(K14/J14)^(1/(K13-J13))-1</f>
        <v>1.5116065773516763E-2</v>
      </c>
      <c r="L23" s="192">
        <f>(L14/K14)^(1/(L13-K13))-1</f>
        <v>1.1064300287287665E-2</v>
      </c>
      <c r="M23" s="192">
        <f>(M14/L14)^(1/(M13-L13))-1</f>
        <v>8.0478560007939404E-3</v>
      </c>
      <c r="N23" s="192">
        <f>(N14/C14)^(1/(N13-C13))-1</f>
        <v>4.4297263758155792E-2</v>
      </c>
      <c r="O23" s="192">
        <f>(O14/N14)^(1/(O13-N13))-1</f>
        <v>0</v>
      </c>
      <c r="P23" s="192">
        <f>(P14/O14)^(1/(P13-O13))-1</f>
        <v>0</v>
      </c>
      <c r="Q23" s="192">
        <f>(Q14/P14)^(1/(Q13-P13))-1</f>
        <v>0</v>
      </c>
      <c r="R23" s="192">
        <f>(R14/Q14)^(1/(R13-Q13))-1</f>
        <v>0</v>
      </c>
      <c r="T23" s="191">
        <f>C14/I10-1</f>
        <v>0.27831598569580707</v>
      </c>
      <c r="U23" s="191">
        <v>0.34109185113451201</v>
      </c>
      <c r="V23" s="192">
        <f>(V14/U14)^(1/(V13-U13))-1</f>
        <v>1.8970074044000862E-2</v>
      </c>
      <c r="W23" s="192">
        <f>(W14/V14)^(1/(W13-V13))-1</f>
        <v>5.962944044239471E-3</v>
      </c>
      <c r="X23" s="192">
        <f>(X14/W14)^(1/(X13-W13))-1</f>
        <v>3.9848515148914743E-3</v>
      </c>
      <c r="Y23" s="192">
        <f>(Y14/X14)^(1/(Y13-X13))-1</f>
        <v>2.773741429406007E-3</v>
      </c>
      <c r="Z23" s="192">
        <f>(Z14/Y14)^(1/(Z13-Y13))-1</f>
        <v>2.2551775519457085E-3</v>
      </c>
      <c r="AA23" s="192">
        <f>(AA14/U14)^(1/(AA13-U13))-1</f>
        <v>2.4200203441211432E-2</v>
      </c>
      <c r="AB23" s="192">
        <f>(AB14/AA14)^(1/(AB13-AA13))-1</f>
        <v>1.6190173044798639E-2</v>
      </c>
      <c r="AC23" s="192">
        <f>(AC14/AB14)^(1/(AC13-AB13))-1</f>
        <v>1.1129093467930451E-2</v>
      </c>
      <c r="AD23" s="192">
        <f>(AD14/AC14)^(1/(AD13-AC13))-1</f>
        <v>7.9835969709516341E-3</v>
      </c>
      <c r="AE23" s="192">
        <f>(AE14/AD14)^(1/(AE13-AD13))-1</f>
        <v>5.4678712507574279E-3</v>
      </c>
      <c r="AF23" s="192">
        <f>(AF14/U14)^(1/(AF13-U13))-1</f>
        <v>1.7429343745218651E-2</v>
      </c>
      <c r="AG23" s="192">
        <f>(AG14/AF14)^(1/(AG13-AF13))-1</f>
        <v>-3.4935352041365331E-3</v>
      </c>
      <c r="AH23" s="192">
        <f>(AH14/AG14)^(1/(AH13-AG13))-1</f>
        <v>-7.5263888527359324E-3</v>
      </c>
      <c r="AI23" s="192">
        <f>(AI14/AH14)^(1/(AI13-AH13))-1</f>
        <v>-8.1993553946574371E-3</v>
      </c>
      <c r="AJ23" s="192">
        <f>(AJ14/AI14)^(1/(AJ13-AI13))-1</f>
        <v>-9.1437259266209381E-3</v>
      </c>
      <c r="AM23" s="191" t="e">
        <f>V14/AB10-1</f>
        <v>#DIV/0!</v>
      </c>
      <c r="AN23" s="191"/>
      <c r="AO23" s="192">
        <f>(AO14/AN14)^(1/(AO13-AN13))-1</f>
        <v>4.5662733738802697E-3</v>
      </c>
      <c r="AP23" s="192">
        <f>(AP14/AO14)^(1/(AP13-AO13))-1</f>
        <v>4.4844848921270497E-3</v>
      </c>
      <c r="AQ23" s="192">
        <f>(AQ14/AP14)^(1/(AQ13-AP13))-1</f>
        <v>5.2542297827959938E-3</v>
      </c>
      <c r="AR23" s="192">
        <f>(AR14/AQ14)^(1/(AR13-AQ13))-1</f>
        <v>8.4757887127040465E-3</v>
      </c>
      <c r="AS23" s="192">
        <f>(AS14/AR14)^(1/(AS13-AR13))-1</f>
        <v>1.1311439625934394E-2</v>
      </c>
      <c r="AT23" s="192">
        <f>(AT14/AN14)^(1/(AT13-AN13))-1</f>
        <v>1.2458812268670849E-2</v>
      </c>
      <c r="AU23" s="192">
        <f>(AU14/AT14)^(1/(AU13-AT13))-1</f>
        <v>1.1869558861851592E-2</v>
      </c>
      <c r="AV23" s="192">
        <f>(AV14/AU14)^(1/(AV13-AU13))-1</f>
        <v>1.1403599651385044E-2</v>
      </c>
      <c r="AW23" s="192">
        <f>(AW14/AV14)^(1/(AW13-AV13))-1</f>
        <v>1.3787746070069717E-2</v>
      </c>
      <c r="AX23" s="192">
        <f>(AX14/AW14)^(1/(AX13-AW13))-1</f>
        <v>1.2898245280189125E-2</v>
      </c>
      <c r="AY23" s="192">
        <f>(AY14/AN14)^(1/(AY13-AN13))-1</f>
        <v>1.1454763737035467E-3</v>
      </c>
      <c r="AZ23" s="192">
        <f>(AZ14/AY14)^(1/(AZ13-AY13))-1</f>
        <v>1.140253818557202E-3</v>
      </c>
      <c r="BA23" s="192">
        <f>(BA14/AZ14)^(1/(BA13-AZ13))-1</f>
        <v>-5.5150422735510407E-3</v>
      </c>
      <c r="BB23" s="192">
        <f>(BB14/BA14)^(1/(BB13-BA13))-1</f>
        <v>-5.6714433615395743E-3</v>
      </c>
      <c r="BC23" s="192">
        <f>(BC14/BB14)^(1/(BC13-BB13))-1</f>
        <v>-7.8134576287804958E-3</v>
      </c>
      <c r="BI23" t="s">
        <v>306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201">
        <f>AVERAGE(D23:H23)</f>
        <v>1.7500441585496018E-2</v>
      </c>
      <c r="I24" s="201">
        <f>AVERAGE(I23:M23)</f>
        <v>2.3820016645880758E-2</v>
      </c>
      <c r="N24" s="201">
        <f>AVERAGE(N23:R23)</f>
        <v>8.8594527516311587E-3</v>
      </c>
      <c r="V24" s="201">
        <f>AVERAGE(V23:Z23)</f>
        <v>6.7893577168967045E-3</v>
      </c>
      <c r="AA24" s="201">
        <f>AVERAGE(AA23:AE23)</f>
        <v>1.2994187635129916E-2</v>
      </c>
      <c r="AF24" s="201">
        <f>AVERAGE(AF23:AJ23)</f>
        <v>-2.1867323265864378E-3</v>
      </c>
      <c r="AO24" s="201">
        <f>AVERAGE(AO23:AS23)</f>
        <v>6.8184432774883504E-3</v>
      </c>
      <c r="AT24" s="201">
        <f>AVERAGE(AT23:AX23)</f>
        <v>1.2483592426433265E-2</v>
      </c>
      <c r="AY24" s="201">
        <f>AVERAGE(AY23:BC23)</f>
        <v>-3.3428426143220723E-3</v>
      </c>
      <c r="BI24" t="s">
        <v>305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201">
        <f>I24-D24</f>
        <v>6.3195750603847398E-3</v>
      </c>
      <c r="N25" s="201">
        <f>D24-N24</f>
        <v>8.6409888338648596E-3</v>
      </c>
      <c r="AA25" s="201">
        <f>AA24-V24</f>
        <v>6.2048299182332119E-3</v>
      </c>
      <c r="AF25" s="201">
        <f>V24-AF24</f>
        <v>8.9760900434831432E-3</v>
      </c>
      <c r="AT25" s="201">
        <f>AT24-AO24</f>
        <v>5.665149148944915E-3</v>
      </c>
      <c r="AY25" s="201">
        <f>AO24-AY24</f>
        <v>1.0161285891810423E-2</v>
      </c>
      <c r="BI25" t="s">
        <v>304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319</v>
      </c>
      <c r="D26" s="200">
        <f t="shared" ref="D26:H29" si="1">D16/C16-1</f>
        <v>0.36363636363636354</v>
      </c>
      <c r="E26" s="200">
        <f t="shared" si="1"/>
        <v>0.1166666666666667</v>
      </c>
      <c r="F26" s="200">
        <f t="shared" si="1"/>
        <v>8.9552238805970186E-2</v>
      </c>
      <c r="G26" s="200">
        <f t="shared" si="1"/>
        <v>8.2191780821917915E-2</v>
      </c>
      <c r="H26" s="200">
        <f t="shared" si="1"/>
        <v>8.8607594936708667E-2</v>
      </c>
      <c r="I26" s="200">
        <f>I16/C16-1</f>
        <v>0.38636363636363624</v>
      </c>
      <c r="J26" s="200">
        <f t="shared" ref="J26:M29" si="2">J16/I16-1</f>
        <v>0.14754098360655754</v>
      </c>
      <c r="K26" s="200">
        <f t="shared" si="2"/>
        <v>0.10000000000000009</v>
      </c>
      <c r="L26" s="200">
        <f t="shared" si="2"/>
        <v>9.0909090909090828E-2</v>
      </c>
      <c r="M26" s="200">
        <f t="shared" si="2"/>
        <v>7.1428571428571397E-2</v>
      </c>
      <c r="N26" s="200">
        <f>N16/C16-1</f>
        <v>0.34090909090909083</v>
      </c>
      <c r="O26" s="200">
        <f t="shared" ref="O26:R29" si="3">O16/N16-1</f>
        <v>0.10169491525423724</v>
      </c>
      <c r="P26" s="200">
        <f t="shared" si="3"/>
        <v>0.23076923076923084</v>
      </c>
      <c r="Q26" s="200">
        <f t="shared" si="3"/>
        <v>5.0000000000000044E-2</v>
      </c>
      <c r="R26" s="200">
        <f t="shared" si="3"/>
        <v>-7.1428571428571508E-2</v>
      </c>
      <c r="V26" s="200">
        <f t="shared" ref="V26:Z29" si="4">V16/U16-1</f>
        <v>0.12195121951219523</v>
      </c>
      <c r="W26" s="200">
        <f t="shared" si="4"/>
        <v>0.17391304347826098</v>
      </c>
      <c r="X26" s="200">
        <f t="shared" si="4"/>
        <v>0.16666666666666652</v>
      </c>
      <c r="Y26" s="200">
        <f t="shared" si="4"/>
        <v>0.12698412698412698</v>
      </c>
      <c r="Z26" s="200">
        <f t="shared" si="4"/>
        <v>0.12676056338028174</v>
      </c>
      <c r="AA26" s="200">
        <f>AA16/U16-1</f>
        <v>0.12195121951219523</v>
      </c>
      <c r="AB26" s="200">
        <f t="shared" ref="AB26:AE29" si="5">AB16/AA16-1</f>
        <v>0.19565217391304368</v>
      </c>
      <c r="AC26" s="200">
        <f t="shared" si="5"/>
        <v>0.1636363636363638</v>
      </c>
      <c r="AD26" s="200">
        <f t="shared" si="5"/>
        <v>0.125</v>
      </c>
      <c r="AE26" s="200">
        <f t="shared" si="5"/>
        <v>0.11111111111111116</v>
      </c>
      <c r="AF26" s="200">
        <f>AF16/U16-1</f>
        <v>7.317073170731736E-2</v>
      </c>
      <c r="AG26" s="200">
        <f t="shared" ref="AG26:AJ29" si="6">AG16/AF16-1</f>
        <v>0.25</v>
      </c>
      <c r="AH26" s="200">
        <f t="shared" si="6"/>
        <v>0.25454545454545463</v>
      </c>
      <c r="AI26" s="200">
        <f t="shared" si="6"/>
        <v>0.10144927536231862</v>
      </c>
      <c r="AJ26" s="200">
        <f t="shared" si="6"/>
        <v>0</v>
      </c>
      <c r="AO26" s="200">
        <f t="shared" ref="AO26:AS29" si="7">AO16/AN16-1</f>
        <v>0.33333333333333304</v>
      </c>
      <c r="AP26" s="200">
        <f t="shared" si="7"/>
        <v>0.41666666666666674</v>
      </c>
      <c r="AQ26" s="200">
        <f t="shared" si="7"/>
        <v>9.8039215686274606E-2</v>
      </c>
      <c r="AR26" s="200">
        <f t="shared" si="7"/>
        <v>7.1428571428571397E-2</v>
      </c>
      <c r="AS26" s="200">
        <f t="shared" si="7"/>
        <v>0.1333333333333333</v>
      </c>
      <c r="AT26" s="200">
        <f>AT16/AN16-1</f>
        <v>0.3472222222222221</v>
      </c>
      <c r="AU26" s="200">
        <f t="shared" ref="AU26:AX29" si="8">AU16/AT16-1</f>
        <v>0.42955326460481102</v>
      </c>
      <c r="AV26" s="200">
        <f t="shared" si="8"/>
        <v>0.11538461538461542</v>
      </c>
      <c r="AW26" s="200">
        <f t="shared" si="8"/>
        <v>6.8965517241379448E-2</v>
      </c>
      <c r="AX26" s="200">
        <f t="shared" si="8"/>
        <v>0.11290322580645173</v>
      </c>
      <c r="AY26" s="200">
        <f>AY16/AN16-1</f>
        <v>0.29166666666666652</v>
      </c>
      <c r="AZ26" s="200">
        <f t="shared" ref="AZ26:BC29" si="9">AZ16/AY16-1</f>
        <v>0.37634408602150549</v>
      </c>
      <c r="BA26" s="200">
        <f t="shared" si="9"/>
        <v>0.12500000000000022</v>
      </c>
      <c r="BB26" s="200">
        <f t="shared" si="9"/>
        <v>5.555555555555558E-2</v>
      </c>
      <c r="BC26" s="200">
        <f t="shared" si="9"/>
        <v>3.5087719298245723E-2</v>
      </c>
      <c r="BI26" t="s">
        <v>302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318</v>
      </c>
      <c r="D27" s="200">
        <f t="shared" si="1"/>
        <v>0.28000000000000003</v>
      </c>
      <c r="E27" s="200">
        <f t="shared" si="1"/>
        <v>8.3333333333333481E-2</v>
      </c>
      <c r="F27" s="200">
        <f t="shared" si="1"/>
        <v>6.7307692307692291E-2</v>
      </c>
      <c r="G27" s="200">
        <f t="shared" si="1"/>
        <v>5.4054054054053946E-2</v>
      </c>
      <c r="H27" s="200">
        <f t="shared" si="1"/>
        <v>3.4188034188034289E-2</v>
      </c>
      <c r="I27" s="200">
        <f>I17/C17-1</f>
        <v>0.30666666666666687</v>
      </c>
      <c r="J27" s="200">
        <f t="shared" si="2"/>
        <v>0.12244897959183665</v>
      </c>
      <c r="K27" s="200">
        <f t="shared" si="2"/>
        <v>8.181818181818179E-2</v>
      </c>
      <c r="L27" s="200">
        <f t="shared" si="2"/>
        <v>5.8823529411764719E-2</v>
      </c>
      <c r="M27" s="200">
        <f t="shared" si="2"/>
        <v>3.1746031746031855E-2</v>
      </c>
      <c r="N27" s="200">
        <f>N17/C17-1</f>
        <v>0.25333333333333341</v>
      </c>
      <c r="O27" s="200">
        <f t="shared" si="3"/>
        <v>4.2553191489361764E-2</v>
      </c>
      <c r="P27" s="200">
        <f t="shared" si="3"/>
        <v>0</v>
      </c>
      <c r="Q27" s="200">
        <f t="shared" si="3"/>
        <v>-1.0204081632653184E-2</v>
      </c>
      <c r="R27" s="200">
        <f t="shared" si="3"/>
        <v>-3.0927835051546282E-2</v>
      </c>
      <c r="V27" s="200">
        <f t="shared" si="4"/>
        <v>0.14583333333333348</v>
      </c>
      <c r="W27" s="200">
        <f t="shared" si="4"/>
        <v>4.5454545454545414E-2</v>
      </c>
      <c r="X27" s="200">
        <f t="shared" si="4"/>
        <v>3.4782608695652195E-2</v>
      </c>
      <c r="Y27" s="200">
        <f t="shared" si="4"/>
        <v>2.5210084033613356E-2</v>
      </c>
      <c r="Z27" s="200">
        <f t="shared" si="4"/>
        <v>2.4590163934426368E-2</v>
      </c>
      <c r="AA27" s="200">
        <f>AA17/U17-1</f>
        <v>0.15625</v>
      </c>
      <c r="AB27" s="200">
        <f t="shared" si="5"/>
        <v>9.0090090090090058E-2</v>
      </c>
      <c r="AC27" s="200">
        <f t="shared" si="5"/>
        <v>6.6115702479338845E-2</v>
      </c>
      <c r="AD27" s="200">
        <f t="shared" si="5"/>
        <v>3.8759689922480689E-2</v>
      </c>
      <c r="AE27" s="200">
        <f t="shared" si="5"/>
        <v>2.2388059701492491E-2</v>
      </c>
      <c r="AF27" s="200">
        <f>AF17/U17-1</f>
        <v>0.13541666666666674</v>
      </c>
      <c r="AG27" s="200">
        <f t="shared" si="6"/>
        <v>-9.1743119266054496E-3</v>
      </c>
      <c r="AH27" s="200">
        <f t="shared" si="6"/>
        <v>-3.703703703703709E-2</v>
      </c>
      <c r="AI27" s="200">
        <f t="shared" si="6"/>
        <v>-3.8461538461538547E-2</v>
      </c>
      <c r="AJ27" s="200">
        <f t="shared" si="6"/>
        <v>-4.0000000000000036E-2</v>
      </c>
      <c r="AO27" s="200">
        <f t="shared" si="7"/>
        <v>6.4102564102566095E-3</v>
      </c>
      <c r="AP27" s="200">
        <f t="shared" si="7"/>
        <v>1.0615711252653925E-2</v>
      </c>
      <c r="AQ27" s="200">
        <f t="shared" si="7"/>
        <v>8.4033613445377853E-3</v>
      </c>
      <c r="AR27" s="200">
        <f t="shared" si="7"/>
        <v>2.5000000000000133E-2</v>
      </c>
      <c r="AS27" s="200">
        <f t="shared" si="7"/>
        <v>3.2520325203251987E-2</v>
      </c>
      <c r="AT27" s="200">
        <f>AT17/AN17-1</f>
        <v>2.2435897435897578E-2</v>
      </c>
      <c r="AU27" s="200">
        <f t="shared" si="8"/>
        <v>3.6572622779519337E-2</v>
      </c>
      <c r="AV27" s="200">
        <f t="shared" si="8"/>
        <v>4.0322580645161255E-2</v>
      </c>
      <c r="AW27" s="200">
        <f t="shared" si="8"/>
        <v>3.8759689922480689E-2</v>
      </c>
      <c r="AX27" s="200">
        <f t="shared" si="8"/>
        <v>4.4776119402984982E-2</v>
      </c>
      <c r="AY27" s="200">
        <f>AY17/AN17-1</f>
        <v>-6.4102564102563875E-3</v>
      </c>
      <c r="AZ27" s="200">
        <f t="shared" si="9"/>
        <v>-1.0752688172043001E-2</v>
      </c>
      <c r="BA27" s="200">
        <f t="shared" si="9"/>
        <v>-4.3478260869565188E-2</v>
      </c>
      <c r="BB27" s="200">
        <f t="shared" si="9"/>
        <v>-7.2727272727272751E-2</v>
      </c>
      <c r="BC27" s="200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317</v>
      </c>
      <c r="D28" s="200">
        <f t="shared" si="1"/>
        <v>0.10909090909090913</v>
      </c>
      <c r="E28" s="200">
        <f t="shared" si="1"/>
        <v>5.7377049180328044E-2</v>
      </c>
      <c r="F28" s="200">
        <f t="shared" si="1"/>
        <v>3.8759689922480689E-2</v>
      </c>
      <c r="G28" s="200">
        <f t="shared" si="1"/>
        <v>3.7313432835820892E-2</v>
      </c>
      <c r="H28" s="200">
        <f t="shared" si="1"/>
        <v>2.877697841726623E-2</v>
      </c>
      <c r="I28" s="200">
        <f>I18/C18-1</f>
        <v>0.15454545454545454</v>
      </c>
      <c r="J28" s="200">
        <f t="shared" si="2"/>
        <v>6.2992125984252079E-2</v>
      </c>
      <c r="K28" s="200">
        <f t="shared" si="2"/>
        <v>5.1851851851851816E-2</v>
      </c>
      <c r="L28" s="200">
        <f t="shared" si="2"/>
        <v>4.2253521126760729E-2</v>
      </c>
      <c r="M28" s="200">
        <f t="shared" si="2"/>
        <v>2.7027027027026973E-2</v>
      </c>
      <c r="N28" s="200">
        <f>N18/C18-1</f>
        <v>8.181818181818179E-2</v>
      </c>
      <c r="O28" s="200">
        <f t="shared" si="3"/>
        <v>8.4033613445377853E-3</v>
      </c>
      <c r="P28" s="200">
        <f t="shared" si="3"/>
        <v>0</v>
      </c>
      <c r="Q28" s="200">
        <f t="shared" si="3"/>
        <v>8.3333333333333037E-3</v>
      </c>
      <c r="R28" s="200">
        <f t="shared" si="3"/>
        <v>0</v>
      </c>
      <c r="V28" s="200">
        <f t="shared" si="4"/>
        <v>1.3513513513513375E-2</v>
      </c>
      <c r="W28" s="200">
        <f t="shared" si="4"/>
        <v>-4.6666666666666634E-2</v>
      </c>
      <c r="X28" s="200">
        <f t="shared" si="4"/>
        <v>1.3986013986013957E-2</v>
      </c>
      <c r="Y28" s="200">
        <f t="shared" si="4"/>
        <v>1.379310344827589E-2</v>
      </c>
      <c r="Z28" s="200">
        <f t="shared" si="4"/>
        <v>6.8027210884353817E-3</v>
      </c>
      <c r="AA28" s="200">
        <f>AA18/U18-1</f>
        <v>3.3783783783783772E-2</v>
      </c>
      <c r="AB28" s="200">
        <f t="shared" si="5"/>
        <v>-3.9215686274509887E-2</v>
      </c>
      <c r="AC28" s="200">
        <f t="shared" si="5"/>
        <v>3.4013605442176909E-2</v>
      </c>
      <c r="AD28" s="200">
        <f t="shared" si="5"/>
        <v>2.6315789473684292E-2</v>
      </c>
      <c r="AE28" s="200">
        <f t="shared" si="5"/>
        <v>2.5641025641025772E-2</v>
      </c>
      <c r="AF28" s="200">
        <f>AF18/U18-1</f>
        <v>6.7567567567567988E-3</v>
      </c>
      <c r="AG28" s="200">
        <f t="shared" si="6"/>
        <v>-9.3959731543624136E-2</v>
      </c>
      <c r="AH28" s="200">
        <f t="shared" si="6"/>
        <v>-4.4444444444444398E-2</v>
      </c>
      <c r="AI28" s="200">
        <f t="shared" si="6"/>
        <v>-3.1007751937984551E-2</v>
      </c>
      <c r="AJ28" s="200">
        <f t="shared" si="6"/>
        <v>-2.4000000000000021E-2</v>
      </c>
      <c r="AO28" s="200">
        <f t="shared" si="7"/>
        <v>-5.9911242603550297E-2</v>
      </c>
      <c r="AP28" s="200">
        <f t="shared" si="7"/>
        <v>-0.10621557828481509</v>
      </c>
      <c r="AQ28" s="200">
        <f t="shared" si="7"/>
        <v>0</v>
      </c>
      <c r="AR28" s="200">
        <f t="shared" si="7"/>
        <v>1.4084507042253502E-2</v>
      </c>
      <c r="AS28" s="200">
        <f t="shared" si="7"/>
        <v>3.4722222222222321E-2</v>
      </c>
      <c r="AT28" s="200">
        <f>AT18/AN18-1</f>
        <v>-4.881656804733725E-2</v>
      </c>
      <c r="AU28" s="200">
        <f t="shared" si="8"/>
        <v>-8.5536547433903598E-2</v>
      </c>
      <c r="AV28" s="200">
        <f t="shared" si="8"/>
        <v>3.4013605442176909E-2</v>
      </c>
      <c r="AW28" s="200">
        <f t="shared" si="8"/>
        <v>4.6052631578947345E-2</v>
      </c>
      <c r="AX28" s="200">
        <f t="shared" si="8"/>
        <v>5.031446540880502E-2</v>
      </c>
      <c r="AY28" s="200">
        <f>AY18/AN18-1</f>
        <v>-7.7662721893490994E-2</v>
      </c>
      <c r="AZ28" s="200">
        <f t="shared" si="9"/>
        <v>-0.14033680834001605</v>
      </c>
      <c r="BA28" s="200">
        <f t="shared" si="9"/>
        <v>-4.4776119402985093E-2</v>
      </c>
      <c r="BB28" s="200">
        <f t="shared" si="9"/>
        <v>-4.6875000000000111E-2</v>
      </c>
      <c r="BC28" s="200">
        <f t="shared" si="9"/>
        <v>-4.0983606557377095E-2</v>
      </c>
      <c r="BI28" t="s">
        <v>316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200">
        <f t="shared" si="1"/>
        <v>4.5362903225806495E-2</v>
      </c>
      <c r="E29" s="200">
        <f t="shared" si="1"/>
        <v>2.5072324011571778E-2</v>
      </c>
      <c r="F29" s="200">
        <f t="shared" si="1"/>
        <v>1.6933207902163572E-2</v>
      </c>
      <c r="G29" s="200">
        <f t="shared" si="1"/>
        <v>1.1100832562442209E-2</v>
      </c>
      <c r="H29" s="200">
        <f t="shared" si="1"/>
        <v>6.4043915827995956E-3</v>
      </c>
      <c r="I29" s="200">
        <f>I19/C19-1</f>
        <v>5.4435483870967749E-2</v>
      </c>
      <c r="J29" s="200">
        <f t="shared" si="2"/>
        <v>4.2065009560229516E-2</v>
      </c>
      <c r="K29" s="200">
        <f t="shared" si="2"/>
        <v>3.4862385321100975E-2</v>
      </c>
      <c r="L29" s="200">
        <f t="shared" si="2"/>
        <v>2.7482269503546153E-2</v>
      </c>
      <c r="M29" s="200">
        <f t="shared" si="2"/>
        <v>2.1570319240724833E-2</v>
      </c>
      <c r="N29" s="200">
        <f>N19/C19-1</f>
        <v>1.1088709677419262E-2</v>
      </c>
      <c r="O29" s="200">
        <f t="shared" si="3"/>
        <v>-6.9790628115653064E-2</v>
      </c>
      <c r="P29" s="200">
        <f t="shared" si="3"/>
        <v>-0.10825294748124326</v>
      </c>
      <c r="Q29" s="200">
        <f t="shared" si="3"/>
        <v>-0.11418269230769229</v>
      </c>
      <c r="R29" s="200">
        <f t="shared" si="3"/>
        <v>-8.1411126187245553E-2</v>
      </c>
      <c r="V29" s="200">
        <f t="shared" si="4"/>
        <v>-0.12074554294975692</v>
      </c>
      <c r="W29" s="200">
        <f t="shared" si="4"/>
        <v>3.2258064516129004E-2</v>
      </c>
      <c r="X29" s="200">
        <f t="shared" si="4"/>
        <v>8.9285714285713969E-3</v>
      </c>
      <c r="Y29" s="200">
        <f t="shared" si="4"/>
        <v>8.8495575221239076E-3</v>
      </c>
      <c r="Z29" s="200">
        <f t="shared" si="4"/>
        <v>8.7719298245614308E-3</v>
      </c>
      <c r="AA29" s="200">
        <f>AA19/U19-1</f>
        <v>-0.10858995137763372</v>
      </c>
      <c r="AB29" s="200">
        <f t="shared" si="5"/>
        <v>4.5454545454545414E-2</v>
      </c>
      <c r="AC29" s="200">
        <f t="shared" si="5"/>
        <v>3.6521739130434883E-2</v>
      </c>
      <c r="AD29" s="200">
        <f t="shared" si="5"/>
        <v>2.7684563758389347E-2</v>
      </c>
      <c r="AE29" s="200">
        <f t="shared" si="5"/>
        <v>2.0408163265306145E-2</v>
      </c>
      <c r="AF29" s="200">
        <f>AF19/U19-1</f>
        <v>-0.14667747163695311</v>
      </c>
      <c r="AG29" s="200">
        <f t="shared" si="6"/>
        <v>-7.407407407407407E-2</v>
      </c>
      <c r="AH29" s="200">
        <f t="shared" si="6"/>
        <v>-8.7179487179487203E-2</v>
      </c>
      <c r="AI29" s="200">
        <f t="shared" si="6"/>
        <v>-0.1235955056179775</v>
      </c>
      <c r="AJ29" s="200">
        <f t="shared" si="6"/>
        <v>-0.10256410256410253</v>
      </c>
      <c r="AO29" s="200">
        <f t="shared" si="7"/>
        <v>2.6515151515151603E-2</v>
      </c>
      <c r="AP29" s="200">
        <f t="shared" si="7"/>
        <v>4.3050430504305126E-2</v>
      </c>
      <c r="AQ29" s="200">
        <f t="shared" si="7"/>
        <v>2.8301886792452935E-2</v>
      </c>
      <c r="AR29" s="200">
        <f t="shared" si="7"/>
        <v>9.1743119266054496E-3</v>
      </c>
      <c r="AS29" s="200">
        <f t="shared" si="7"/>
        <v>0</v>
      </c>
      <c r="AT29" s="200">
        <f>AT19/AN19-1</f>
        <v>4.924242424242431E-2</v>
      </c>
      <c r="AU29" s="200">
        <f t="shared" si="8"/>
        <v>7.8219013237063706E-2</v>
      </c>
      <c r="AV29" s="200">
        <f t="shared" si="8"/>
        <v>3.5714285714285809E-2</v>
      </c>
      <c r="AW29" s="200">
        <f t="shared" si="8"/>
        <v>1.7241379310344751E-2</v>
      </c>
      <c r="AX29" s="200">
        <f t="shared" si="8"/>
        <v>1.6949152542372836E-2</v>
      </c>
      <c r="AY29" s="200">
        <f>AY19/AN19-1</f>
        <v>7.575757575757569E-3</v>
      </c>
      <c r="AZ29" s="200">
        <f t="shared" si="9"/>
        <v>1.2531328320801949E-2</v>
      </c>
      <c r="BA29" s="200">
        <f t="shared" si="9"/>
        <v>-5.9405940594059459E-2</v>
      </c>
      <c r="BB29" s="200">
        <f t="shared" si="9"/>
        <v>-9.4736842105263119E-2</v>
      </c>
      <c r="BC29" s="200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315</v>
      </c>
      <c r="AM31" t="s">
        <v>315</v>
      </c>
    </row>
    <row r="32" spans="2:68" x14ac:dyDescent="0.25">
      <c r="U32">
        <v>2011</v>
      </c>
      <c r="V32" s="78">
        <v>2015</v>
      </c>
      <c r="W32" s="199">
        <v>2020</v>
      </c>
      <c r="X32" s="199">
        <v>2025</v>
      </c>
      <c r="Y32" s="199">
        <v>2030</v>
      </c>
      <c r="Z32" s="198">
        <v>2035</v>
      </c>
      <c r="AA32" s="78">
        <v>2015</v>
      </c>
      <c r="AB32" s="199">
        <v>2020</v>
      </c>
      <c r="AC32" s="199">
        <v>2025</v>
      </c>
      <c r="AD32" s="199">
        <v>2030</v>
      </c>
      <c r="AE32" s="198">
        <v>2035</v>
      </c>
      <c r="AF32" s="78">
        <v>2015</v>
      </c>
      <c r="AG32" s="199">
        <v>2020</v>
      </c>
      <c r="AH32" s="199">
        <v>2025</v>
      </c>
      <c r="AI32" s="199">
        <v>2030</v>
      </c>
      <c r="AJ32" s="198">
        <v>2035</v>
      </c>
      <c r="AN32">
        <v>2011</v>
      </c>
      <c r="AO32" s="78">
        <v>2015</v>
      </c>
      <c r="AP32" s="199">
        <v>2020</v>
      </c>
      <c r="AQ32" s="199">
        <v>2025</v>
      </c>
      <c r="AR32" s="199">
        <v>2030</v>
      </c>
      <c r="AS32" s="198">
        <v>2035</v>
      </c>
      <c r="AT32" s="78">
        <v>2015</v>
      </c>
      <c r="AU32" s="199">
        <v>2020</v>
      </c>
      <c r="AV32" s="199">
        <v>2025</v>
      </c>
      <c r="AW32" s="199">
        <v>2030</v>
      </c>
      <c r="AX32" s="198">
        <v>2035</v>
      </c>
      <c r="AY32" s="78">
        <v>2015</v>
      </c>
      <c r="AZ32" s="199">
        <v>2020</v>
      </c>
      <c r="BA32" s="199">
        <v>2025</v>
      </c>
      <c r="BB32" s="199">
        <v>2030</v>
      </c>
      <c r="BC32" s="198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314</v>
      </c>
    </row>
    <row r="35" spans="2:55" x14ac:dyDescent="0.25">
      <c r="C35" t="s">
        <v>224</v>
      </c>
      <c r="D35" t="s">
        <v>313</v>
      </c>
      <c r="E35" t="s">
        <v>246</v>
      </c>
      <c r="F35" t="s">
        <v>251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312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287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284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7">
        <f>(V33/U33)^(1/(V32-U32))-1</f>
        <v>1.8970074044000862E-2</v>
      </c>
      <c r="W42" s="197">
        <f>(W33/V33)^(1/(W32-V32))-1</f>
        <v>5.962944044239471E-3</v>
      </c>
      <c r="X42" s="197">
        <f>(X33/W33)^(1/(X32-W32))-1</f>
        <v>3.9848515148914743E-3</v>
      </c>
      <c r="Y42" s="197">
        <f>(Y33/X33)^(1/(Y32-X32))-1</f>
        <v>2.773741429406007E-3</v>
      </c>
      <c r="Z42" s="197">
        <f>(Z33/Y33)^(1/(Z32-Y32))-1</f>
        <v>2.2551775519457085E-3</v>
      </c>
      <c r="AA42" s="197">
        <f>(AA33/U33)^(1/(AA32-U32))-1</f>
        <v>2.4200203441211432E-2</v>
      </c>
      <c r="AB42" s="197">
        <f>(AB33/AA33)^(1/(AB32-AA32))-1</f>
        <v>1.6190173044798639E-2</v>
      </c>
      <c r="AC42" s="197">
        <f>(AC33/AB33)^(1/(AC32-AB32))-1</f>
        <v>1.1129093467930451E-2</v>
      </c>
      <c r="AD42" s="197">
        <f>(AD33/AC33)^(1/(AD32-AC32))-1</f>
        <v>7.9835969709516341E-3</v>
      </c>
      <c r="AE42" s="197">
        <f>(AE33/AD33)^(1/(AE32-AD32))-1</f>
        <v>5.4678712507574279E-3</v>
      </c>
      <c r="AF42" s="197">
        <f>(AF33/U33)^(1/(AF32-U32))-1</f>
        <v>1.7429343745218651E-2</v>
      </c>
      <c r="AG42" s="197">
        <f>(AG33/AF33)^(1/(AG32-AF32))-1</f>
        <v>-3.4935352041365331E-3</v>
      </c>
      <c r="AH42" s="197">
        <f>(AH33/AG33)^(1/(AH32-AG32))-1</f>
        <v>-7.5263888527359324E-3</v>
      </c>
      <c r="AI42" s="197">
        <f>(AI33/AH33)^(1/(AI32-AH32))-1</f>
        <v>-8.1993553946574371E-3</v>
      </c>
      <c r="AJ42" s="197">
        <f>(AJ33/AI33)^(1/(AJ32-AI32))-1</f>
        <v>-9.1437259266209381E-3</v>
      </c>
      <c r="AO42" s="197">
        <f>(AO33/AN33)^(1/(AO32-AN32))-1</f>
        <v>3.4227539726290335E-3</v>
      </c>
      <c r="AP42" s="197">
        <f>(AP33/AO33)^(1/(AP32-AO32))-1</f>
        <v>4.4844848921270497E-3</v>
      </c>
      <c r="AQ42" s="197">
        <f>(AQ33/AP33)^(1/(AQ32-AP32))-1</f>
        <v>5.2542297827959938E-3</v>
      </c>
      <c r="AR42" s="197">
        <f>(AR33/AQ33)^(1/(AR32-AQ32))-1</f>
        <v>8.4757887127040465E-3</v>
      </c>
      <c r="AS42" s="197">
        <f>(AS33/AR33)^(1/(AS32-AR32))-1</f>
        <v>1.1311439625934394E-2</v>
      </c>
      <c r="AT42" s="197">
        <f>(AT33/AN33)^(1/(AT32-AN32))-1</f>
        <v>9.3296321558093975E-3</v>
      </c>
      <c r="AU42" s="197">
        <f>(AU33/AT33)^(1/(AU32-AT32))-1</f>
        <v>1.1869558861851592E-2</v>
      </c>
      <c r="AV42" s="197">
        <f>(AV33/AU33)^(1/(AV32-AU32))-1</f>
        <v>1.1403599651385044E-2</v>
      </c>
      <c r="AW42" s="197">
        <f>(AW33/AV33)^(1/(AW32-AV32))-1</f>
        <v>1.3787746070069717E-2</v>
      </c>
      <c r="AX42" s="197">
        <f>(AX33/AW33)^(1/(AX32-AW32))-1</f>
        <v>1.2898245280189125E-2</v>
      </c>
      <c r="AY42" s="197">
        <f>(AY33/AN33)^(1/(AY32-AN32))-1</f>
        <v>8.5898432806441605E-4</v>
      </c>
      <c r="AZ42" s="197">
        <f>(AZ33/AY33)^(1/(AZ32-AY32))-1</f>
        <v>1.140253818557202E-3</v>
      </c>
      <c r="BA42" s="197">
        <f>(BA33/AZ33)^(1/(BA32-AZ32))-1</f>
        <v>-5.5150422735510407E-3</v>
      </c>
      <c r="BB42" s="197">
        <f>(BB33/BA33)^(1/(BB32-BA32))-1</f>
        <v>-5.6714433615395743E-3</v>
      </c>
      <c r="BC42" s="197">
        <f>(BC33/BB33)^(1/(BC32-BB32))-1</f>
        <v>-7.8134576287804958E-3</v>
      </c>
    </row>
    <row r="43" spans="2:55" x14ac:dyDescent="0.25">
      <c r="B43" t="s">
        <v>284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6">
        <f>AVERAGE(V42:Z42)</f>
        <v>6.7893577168967045E-3</v>
      </c>
      <c r="W43" s="196"/>
      <c r="X43" s="196"/>
      <c r="Y43" s="196"/>
      <c r="Z43" s="196"/>
      <c r="AA43" s="196">
        <f>AVERAGE(AA42:AE42)</f>
        <v>1.2994187635129916E-2</v>
      </c>
      <c r="AB43" s="196"/>
      <c r="AC43" s="196"/>
      <c r="AD43" s="196"/>
      <c r="AE43" s="196"/>
      <c r="AF43" s="196">
        <f>AVERAGE(AF42:AJ42)</f>
        <v>-2.1867323265864378E-3</v>
      </c>
      <c r="AG43" s="196"/>
      <c r="AH43" s="196"/>
      <c r="AI43" s="196"/>
      <c r="AJ43" s="196"/>
      <c r="AO43" s="196">
        <f>AVERAGE(AO42:AS42)</f>
        <v>6.5897393972381034E-3</v>
      </c>
      <c r="AP43" s="196"/>
      <c r="AQ43" s="196"/>
      <c r="AR43" s="196"/>
      <c r="AS43" s="196"/>
      <c r="AT43" s="196">
        <f>AVERAGE(AT42:AX42)</f>
        <v>1.1857756403860975E-2</v>
      </c>
      <c r="AU43" s="196"/>
      <c r="AV43" s="196"/>
      <c r="AW43" s="196"/>
      <c r="AX43" s="196"/>
      <c r="AY43" s="196">
        <f>AVERAGE(AY42:BC42)</f>
        <v>-3.4001410234498985E-3</v>
      </c>
      <c r="AZ43" s="196"/>
      <c r="BA43" s="196"/>
      <c r="BB43" s="196"/>
      <c r="BC43" s="196"/>
    </row>
    <row r="44" spans="2:55" x14ac:dyDescent="0.25">
      <c r="B44" t="s">
        <v>288</v>
      </c>
      <c r="C44" t="s">
        <v>140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6"/>
      <c r="W44" s="196"/>
      <c r="X44" s="196"/>
      <c r="Y44" s="196"/>
      <c r="Z44" s="196"/>
      <c r="AA44" s="196">
        <f>AA43-V43</f>
        <v>6.2048299182332119E-3</v>
      </c>
      <c r="AB44" s="196"/>
      <c r="AC44" s="196"/>
      <c r="AD44" s="196"/>
      <c r="AE44" s="196"/>
      <c r="AF44" s="196">
        <f>V43-AF43</f>
        <v>8.9760900434831432E-3</v>
      </c>
      <c r="AG44" s="196"/>
      <c r="AH44" s="196"/>
      <c r="AI44" s="196"/>
      <c r="AJ44" s="196"/>
      <c r="AO44" s="196"/>
      <c r="AP44" s="196"/>
      <c r="AQ44" s="196"/>
      <c r="AR44" s="196"/>
      <c r="AS44" s="196"/>
      <c r="AT44" s="196">
        <f>AT43-AO43</f>
        <v>5.2680170066228714E-3</v>
      </c>
      <c r="AU44" s="196"/>
      <c r="AV44" s="196"/>
      <c r="AW44" s="196"/>
      <c r="AX44" s="196"/>
      <c r="AY44" s="196">
        <f>AO43-AY43</f>
        <v>9.9898804206880014E-3</v>
      </c>
      <c r="AZ44" s="196"/>
      <c r="BA44" s="196"/>
      <c r="BB44" s="196"/>
      <c r="BC44" s="196"/>
    </row>
    <row r="45" spans="2:55" x14ac:dyDescent="0.25">
      <c r="B45" t="s">
        <v>311</v>
      </c>
      <c r="C45" t="s">
        <v>310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91">
        <f t="shared" ref="V45:Z48" si="13">V35/U35-1</f>
        <v>0.12195121951219523</v>
      </c>
      <c r="W45" s="191">
        <f t="shared" si="13"/>
        <v>0.17391304347826098</v>
      </c>
      <c r="X45" s="191">
        <f t="shared" si="13"/>
        <v>0.16666666666666652</v>
      </c>
      <c r="Y45" s="191">
        <f t="shared" si="13"/>
        <v>0.12698412698412698</v>
      </c>
      <c r="Z45" s="191">
        <f t="shared" si="13"/>
        <v>0.12676056338028174</v>
      </c>
      <c r="AA45" s="191">
        <f>AA35/U35-1</f>
        <v>0.12195121951219523</v>
      </c>
      <c r="AB45" s="191">
        <f t="shared" ref="AB45:AE48" si="14">AB35/AA35-1</f>
        <v>0.19565217391304368</v>
      </c>
      <c r="AC45" s="191">
        <f t="shared" si="14"/>
        <v>0.1636363636363638</v>
      </c>
      <c r="AD45" s="191">
        <f t="shared" si="14"/>
        <v>0.125</v>
      </c>
      <c r="AE45" s="191">
        <f t="shared" si="14"/>
        <v>0.11111111111111116</v>
      </c>
      <c r="AF45" s="191">
        <f>AF35/U35-1</f>
        <v>7.317073170731736E-2</v>
      </c>
      <c r="AG45" s="191">
        <f t="shared" ref="AG45:AJ48" si="15">AG35/AF35-1</f>
        <v>0.25</v>
      </c>
      <c r="AH45" s="191">
        <f t="shared" si="15"/>
        <v>0.25454545454545463</v>
      </c>
      <c r="AI45" s="191">
        <f t="shared" si="15"/>
        <v>0.10144927536231862</v>
      </c>
      <c r="AJ45" s="191">
        <f t="shared" si="15"/>
        <v>0</v>
      </c>
      <c r="AO45" s="191">
        <f t="shared" ref="AO45:AS48" si="16">AO35/AN35-1</f>
        <v>0.33333333333333304</v>
      </c>
      <c r="AP45" s="191">
        <f t="shared" si="16"/>
        <v>0.41666666666666674</v>
      </c>
      <c r="AQ45" s="191">
        <f t="shared" si="16"/>
        <v>9.8039215686274606E-2</v>
      </c>
      <c r="AR45" s="191">
        <f t="shared" si="16"/>
        <v>7.1428571428571397E-2</v>
      </c>
      <c r="AS45" s="191">
        <f t="shared" si="16"/>
        <v>0.1333333333333333</v>
      </c>
      <c r="AT45" s="191">
        <f>AT35/AN35-1</f>
        <v>0.3472222222222221</v>
      </c>
      <c r="AU45" s="191">
        <f t="shared" ref="AU45:AX48" si="17">AU35/AT35-1</f>
        <v>0.42955326460481102</v>
      </c>
      <c r="AV45" s="191">
        <f t="shared" si="17"/>
        <v>0.11538461538461542</v>
      </c>
      <c r="AW45" s="191">
        <f t="shared" si="17"/>
        <v>6.8965517241379448E-2</v>
      </c>
      <c r="AX45" s="191">
        <f t="shared" si="17"/>
        <v>0.11290322580645173</v>
      </c>
      <c r="AY45" s="191">
        <f>AY35/AN35-1</f>
        <v>0.29166666666666652</v>
      </c>
      <c r="AZ45" s="191">
        <f t="shared" ref="AZ45:BC48" si="18">AZ35/AY35-1</f>
        <v>0.37634408602150549</v>
      </c>
      <c r="BA45" s="191">
        <f t="shared" si="18"/>
        <v>0.12500000000000022</v>
      </c>
      <c r="BB45" s="191">
        <f t="shared" si="18"/>
        <v>5.555555555555558E-2</v>
      </c>
      <c r="BC45" s="191">
        <f t="shared" si="18"/>
        <v>3.5087719298245723E-2</v>
      </c>
    </row>
    <row r="46" spans="2:55" x14ac:dyDescent="0.25">
      <c r="V46" s="191">
        <f t="shared" si="13"/>
        <v>0.14583333333333348</v>
      </c>
      <c r="W46" s="191">
        <f t="shared" si="13"/>
        <v>4.5454545454545414E-2</v>
      </c>
      <c r="X46" s="191">
        <f t="shared" si="13"/>
        <v>3.4782608695652195E-2</v>
      </c>
      <c r="Y46" s="191">
        <f t="shared" si="13"/>
        <v>2.5210084033613356E-2</v>
      </c>
      <c r="Z46" s="191">
        <f t="shared" si="13"/>
        <v>2.4590163934426368E-2</v>
      </c>
      <c r="AA46" s="191">
        <f>AA36/U36-1</f>
        <v>0.15625</v>
      </c>
      <c r="AB46" s="191">
        <f t="shared" si="14"/>
        <v>9.0090090090090058E-2</v>
      </c>
      <c r="AC46" s="191">
        <f t="shared" si="14"/>
        <v>6.6115702479338845E-2</v>
      </c>
      <c r="AD46" s="191">
        <f t="shared" si="14"/>
        <v>3.8759689922480689E-2</v>
      </c>
      <c r="AE46" s="191">
        <f t="shared" si="14"/>
        <v>2.2388059701492491E-2</v>
      </c>
      <c r="AF46" s="191">
        <f>AF36/U36-1</f>
        <v>0.13541666666666674</v>
      </c>
      <c r="AG46" s="191">
        <f t="shared" si="15"/>
        <v>-9.1743119266054496E-3</v>
      </c>
      <c r="AH46" s="191">
        <f t="shared" si="15"/>
        <v>-3.703703703703709E-2</v>
      </c>
      <c r="AI46" s="191">
        <f t="shared" si="15"/>
        <v>-3.8461538461538547E-2</v>
      </c>
      <c r="AJ46" s="191">
        <f t="shared" si="15"/>
        <v>-4.0000000000000036E-2</v>
      </c>
      <c r="AO46" s="191">
        <f t="shared" si="16"/>
        <v>6.4102564102566095E-3</v>
      </c>
      <c r="AP46" s="191">
        <f t="shared" si="16"/>
        <v>1.0615711252653925E-2</v>
      </c>
      <c r="AQ46" s="191">
        <f t="shared" si="16"/>
        <v>8.4033613445377853E-3</v>
      </c>
      <c r="AR46" s="191">
        <f t="shared" si="16"/>
        <v>2.5000000000000133E-2</v>
      </c>
      <c r="AS46" s="191">
        <f t="shared" si="16"/>
        <v>3.2520325203251987E-2</v>
      </c>
      <c r="AT46" s="191">
        <f>AT36/AN36-1</f>
        <v>2.2435897435897578E-2</v>
      </c>
      <c r="AU46" s="191">
        <f t="shared" si="17"/>
        <v>3.6572622779519337E-2</v>
      </c>
      <c r="AV46" s="191">
        <f t="shared" si="17"/>
        <v>4.0322580645161255E-2</v>
      </c>
      <c r="AW46" s="191">
        <f t="shared" si="17"/>
        <v>3.8759689922480689E-2</v>
      </c>
      <c r="AX46" s="191">
        <f t="shared" si="17"/>
        <v>4.4776119402984982E-2</v>
      </c>
      <c r="AY46" s="191">
        <f>AY36/AN36-1</f>
        <v>-6.4102564102563875E-3</v>
      </c>
      <c r="AZ46" s="191">
        <f t="shared" si="18"/>
        <v>-1.0752688172043001E-2</v>
      </c>
      <c r="BA46" s="191">
        <f t="shared" si="18"/>
        <v>-4.3478260869565188E-2</v>
      </c>
      <c r="BB46" s="191">
        <f t="shared" si="18"/>
        <v>-7.2727272727272751E-2</v>
      </c>
      <c r="BC46" s="191">
        <f t="shared" si="18"/>
        <v>-6.8627450980392135E-2</v>
      </c>
    </row>
    <row r="47" spans="2:55" x14ac:dyDescent="0.25">
      <c r="B47" t="s">
        <v>309</v>
      </c>
      <c r="D47" s="176">
        <f t="shared" ref="D47:I47" si="19">D45/D44</f>
        <v>0.13754646840148702</v>
      </c>
      <c r="E47" s="176">
        <f t="shared" si="19"/>
        <v>0.12922297297297297</v>
      </c>
      <c r="F47" s="176">
        <f t="shared" si="19"/>
        <v>0.11457521434138736</v>
      </c>
      <c r="G47" s="176">
        <f t="shared" si="19"/>
        <v>0.11201179071481208</v>
      </c>
      <c r="H47" s="176">
        <f t="shared" si="19"/>
        <v>0.1105598866052445</v>
      </c>
      <c r="I47" s="176">
        <f t="shared" si="19"/>
        <v>0.1103448275862069</v>
      </c>
      <c r="V47" s="191">
        <f t="shared" si="13"/>
        <v>1.3513513513513375E-2</v>
      </c>
      <c r="W47" s="191">
        <f t="shared" si="13"/>
        <v>-4.6666666666666634E-2</v>
      </c>
      <c r="X47" s="191">
        <f t="shared" si="13"/>
        <v>1.3986013986013957E-2</v>
      </c>
      <c r="Y47" s="191">
        <f t="shared" si="13"/>
        <v>1.379310344827589E-2</v>
      </c>
      <c r="Z47" s="191">
        <f t="shared" si="13"/>
        <v>6.8027210884353817E-3</v>
      </c>
      <c r="AA47" s="191">
        <f>AA37/U37-1</f>
        <v>3.3783783783783772E-2</v>
      </c>
      <c r="AB47" s="191">
        <f t="shared" si="14"/>
        <v>-3.9215686274509887E-2</v>
      </c>
      <c r="AC47" s="191">
        <f t="shared" si="14"/>
        <v>3.4013605442176909E-2</v>
      </c>
      <c r="AD47" s="191">
        <f t="shared" si="14"/>
        <v>2.6315789473684292E-2</v>
      </c>
      <c r="AE47" s="191">
        <f t="shared" si="14"/>
        <v>2.5641025641025772E-2</v>
      </c>
      <c r="AF47" s="191">
        <f>AF37/U37-1</f>
        <v>6.7567567567567988E-3</v>
      </c>
      <c r="AG47" s="191">
        <f t="shared" si="15"/>
        <v>-9.3959731543624136E-2</v>
      </c>
      <c r="AH47" s="191">
        <f t="shared" si="15"/>
        <v>-4.4444444444444398E-2</v>
      </c>
      <c r="AI47" s="191">
        <f t="shared" si="15"/>
        <v>-3.1007751937984551E-2</v>
      </c>
      <c r="AJ47" s="191">
        <f t="shared" si="15"/>
        <v>-2.4000000000000021E-2</v>
      </c>
      <c r="AO47" s="191">
        <f t="shared" si="16"/>
        <v>-5.9911242603550185E-2</v>
      </c>
      <c r="AP47" s="191">
        <f t="shared" si="16"/>
        <v>-0.10621557828481509</v>
      </c>
      <c r="AQ47" s="191">
        <f t="shared" si="16"/>
        <v>0</v>
      </c>
      <c r="AR47" s="191">
        <f t="shared" si="16"/>
        <v>1.4084507042253502E-2</v>
      </c>
      <c r="AS47" s="191">
        <f t="shared" si="16"/>
        <v>3.4722222222222321E-2</v>
      </c>
      <c r="AT47" s="191">
        <f>AT37/AN37-1</f>
        <v>-4.8816568047337139E-2</v>
      </c>
      <c r="AU47" s="191">
        <f t="shared" si="17"/>
        <v>-8.5536547433903598E-2</v>
      </c>
      <c r="AV47" s="191">
        <f t="shared" si="17"/>
        <v>3.4013605442176909E-2</v>
      </c>
      <c r="AW47" s="191">
        <f t="shared" si="17"/>
        <v>4.6052631578947345E-2</v>
      </c>
      <c r="AX47" s="191">
        <f t="shared" si="17"/>
        <v>5.0314465408804798E-2</v>
      </c>
      <c r="AY47" s="191">
        <f>AY37/AN37-1</f>
        <v>-7.7662721893490883E-2</v>
      </c>
      <c r="AZ47" s="191">
        <f t="shared" si="18"/>
        <v>-0.14033680834001605</v>
      </c>
      <c r="BA47" s="191">
        <f t="shared" si="18"/>
        <v>-4.4776119402985093E-2</v>
      </c>
      <c r="BB47" s="191">
        <f t="shared" si="18"/>
        <v>-4.6875000000000111E-2</v>
      </c>
      <c r="BC47" s="191">
        <f t="shared" si="18"/>
        <v>-4.0983606557377095E-2</v>
      </c>
    </row>
    <row r="48" spans="2:55" x14ac:dyDescent="0.25">
      <c r="B48" t="s">
        <v>293</v>
      </c>
      <c r="D48" s="195">
        <f>AVERAGE(D47:I47)</f>
        <v>0.11904352677035181</v>
      </c>
      <c r="V48" s="191">
        <f t="shared" si="13"/>
        <v>-0.12074554294975681</v>
      </c>
      <c r="W48" s="191">
        <f t="shared" si="13"/>
        <v>3.2258064516129004E-2</v>
      </c>
      <c r="X48" s="191">
        <f t="shared" si="13"/>
        <v>8.9285714285713969E-3</v>
      </c>
      <c r="Y48" s="191">
        <f t="shared" si="13"/>
        <v>8.8495575221239076E-3</v>
      </c>
      <c r="Z48" s="191">
        <f t="shared" si="13"/>
        <v>8.7719298245614308E-3</v>
      </c>
      <c r="AA48" s="191">
        <f>AA38/U38-1</f>
        <v>-0.10858995137763383</v>
      </c>
      <c r="AB48" s="191">
        <f t="shared" si="14"/>
        <v>4.5454545454545636E-2</v>
      </c>
      <c r="AC48" s="191">
        <f t="shared" si="14"/>
        <v>3.6521739130434883E-2</v>
      </c>
      <c r="AD48" s="191">
        <f t="shared" si="14"/>
        <v>2.7684563758389125E-2</v>
      </c>
      <c r="AE48" s="191">
        <f t="shared" si="14"/>
        <v>2.0408163265306145E-2</v>
      </c>
      <c r="AF48" s="191">
        <f>AF38/U38-1</f>
        <v>-0.14667747163695299</v>
      </c>
      <c r="AG48" s="191">
        <f t="shared" si="15"/>
        <v>-7.407407407407407E-2</v>
      </c>
      <c r="AH48" s="191">
        <f t="shared" si="15"/>
        <v>-8.7179487179487203E-2</v>
      </c>
      <c r="AI48" s="191">
        <f t="shared" si="15"/>
        <v>-0.12359550561797761</v>
      </c>
      <c r="AJ48" s="191">
        <f t="shared" si="15"/>
        <v>-0.10256410256410253</v>
      </c>
      <c r="AO48" s="191">
        <f t="shared" si="16"/>
        <v>2.6515151515151603E-2</v>
      </c>
      <c r="AP48" s="191">
        <f t="shared" si="16"/>
        <v>4.3050430504304904E-2</v>
      </c>
      <c r="AQ48" s="191">
        <f t="shared" si="16"/>
        <v>2.8301886792452935E-2</v>
      </c>
      <c r="AR48" s="191">
        <f t="shared" si="16"/>
        <v>9.1743119266054496E-3</v>
      </c>
      <c r="AS48" s="191">
        <f t="shared" si="16"/>
        <v>0</v>
      </c>
      <c r="AT48" s="191">
        <f>AT38/AN38-1</f>
        <v>4.9242424242424088E-2</v>
      </c>
      <c r="AU48" s="191">
        <f t="shared" si="17"/>
        <v>7.8219013237063706E-2</v>
      </c>
      <c r="AV48" s="191">
        <f t="shared" si="17"/>
        <v>3.5714285714285809E-2</v>
      </c>
      <c r="AW48" s="191">
        <f t="shared" si="17"/>
        <v>1.7241379310344751E-2</v>
      </c>
      <c r="AX48" s="191">
        <f t="shared" si="17"/>
        <v>1.6949152542372836E-2</v>
      </c>
      <c r="AY48" s="191">
        <f>AY38/AN38-1</f>
        <v>7.575757575757569E-3</v>
      </c>
      <c r="AZ48" s="191">
        <f t="shared" si="18"/>
        <v>1.2531328320801949E-2</v>
      </c>
      <c r="BA48" s="191">
        <f t="shared" si="18"/>
        <v>-5.9405940594059348E-2</v>
      </c>
      <c r="BB48" s="191">
        <f t="shared" si="18"/>
        <v>-9.473684210526323E-2</v>
      </c>
      <c r="BC48" s="191">
        <f t="shared" si="18"/>
        <v>-0.12790697674418594</v>
      </c>
    </row>
    <row r="52" spans="40:93" x14ac:dyDescent="0.25">
      <c r="AN52" t="s">
        <v>308</v>
      </c>
      <c r="AY52" t="s">
        <v>307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306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305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304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303</v>
      </c>
      <c r="BI65" t="s">
        <v>302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4">
        <v>2010</v>
      </c>
      <c r="F66" s="194">
        <v>2011</v>
      </c>
      <c r="G66" s="194">
        <v>2012</v>
      </c>
      <c r="H66" s="194">
        <v>2013</v>
      </c>
      <c r="I66" s="194">
        <v>2014</v>
      </c>
      <c r="J66" s="194">
        <v>2015</v>
      </c>
      <c r="K66" s="194">
        <v>2016</v>
      </c>
      <c r="L66" s="194">
        <v>2017</v>
      </c>
      <c r="M66" s="194">
        <v>2018</v>
      </c>
      <c r="N66" s="194">
        <v>2019</v>
      </c>
      <c r="O66" s="194">
        <v>2020</v>
      </c>
      <c r="P66" s="194">
        <v>2021</v>
      </c>
      <c r="Q66" s="194">
        <v>2022</v>
      </c>
      <c r="R66" s="194">
        <v>2023</v>
      </c>
      <c r="S66" s="194">
        <v>2024</v>
      </c>
      <c r="T66" s="194">
        <v>2025</v>
      </c>
      <c r="U66" s="194">
        <v>2026</v>
      </c>
      <c r="V66" s="194">
        <v>2027</v>
      </c>
      <c r="W66" s="194">
        <v>2028</v>
      </c>
      <c r="X66" s="194">
        <v>2029</v>
      </c>
      <c r="Y66" s="194">
        <v>2030</v>
      </c>
      <c r="Z66" s="194">
        <v>2031</v>
      </c>
      <c r="AA66" s="194">
        <v>2032</v>
      </c>
      <c r="AB66" s="194">
        <v>2033</v>
      </c>
      <c r="AC66" s="194">
        <v>2034</v>
      </c>
      <c r="AD66" s="194">
        <v>2035</v>
      </c>
      <c r="AE66" s="194">
        <v>2036</v>
      </c>
      <c r="AF66" s="194">
        <v>2037</v>
      </c>
      <c r="AG66" s="194">
        <v>2038</v>
      </c>
      <c r="AH66" s="194">
        <v>2039</v>
      </c>
      <c r="AI66" s="194">
        <v>2040</v>
      </c>
      <c r="AJ66" s="193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301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300</v>
      </c>
      <c r="BX68" t="s">
        <v>299</v>
      </c>
      <c r="CJ68" t="s">
        <v>298</v>
      </c>
      <c r="CU68" t="s">
        <v>297</v>
      </c>
      <c r="DF68" t="s">
        <v>296</v>
      </c>
    </row>
    <row r="70" spans="1:110" x14ac:dyDescent="0.25">
      <c r="F70" s="11">
        <f>U33</f>
        <v>104.73927357360537</v>
      </c>
    </row>
    <row r="73" spans="1:110" x14ac:dyDescent="0.25">
      <c r="E73" s="192">
        <f>E77/D77-1</f>
        <v>0.27288760622093955</v>
      </c>
      <c r="F73" s="192">
        <f>F76/E76-1</f>
        <v>0.194850346391233</v>
      </c>
      <c r="G73" s="192">
        <f>G77/F77-1</f>
        <v>-2.6586676825228861E-2</v>
      </c>
      <c r="J73" s="191">
        <f>(J76/G76)^(1/(J75-G75))-1</f>
        <v>-2.3598758847122037E-2</v>
      </c>
      <c r="O73" s="191">
        <f>(O76/J76)^(1/(O75-J75))-1</f>
        <v>2.7772006767478707E-2</v>
      </c>
      <c r="T73" s="191">
        <f>(T76/O76)^(1/(T75-O75))-1</f>
        <v>2.2006315854426139E-2</v>
      </c>
      <c r="Y73" s="191">
        <f>(Y76/T76)^(1/(Y75-T75))-1</f>
        <v>2.1763260013069941E-2</v>
      </c>
      <c r="AD73" s="191">
        <f>(AD76/Y76)^(1/(AD75-Y75))-1</f>
        <v>2.198988164876714E-2</v>
      </c>
      <c r="AI73" s="191">
        <f>(AI76/AD76)^(1/(AI75-AD75))-1</f>
        <v>2.3009639008272131E-2</v>
      </c>
    </row>
    <row r="74" spans="1:110" x14ac:dyDescent="0.25">
      <c r="C74" t="s">
        <v>295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293</v>
      </c>
    </row>
    <row r="76" spans="1:110" ht="51.75" x14ac:dyDescent="0.25">
      <c r="A76">
        <v>1</v>
      </c>
      <c r="B76" t="s">
        <v>292</v>
      </c>
      <c r="C76" s="184" t="s">
        <v>291</v>
      </c>
      <c r="D76" s="186">
        <v>62.37</v>
      </c>
      <c r="E76" s="186">
        <v>79.39</v>
      </c>
      <c r="F76" s="190">
        <v>94.859168999999994</v>
      </c>
      <c r="G76" s="190">
        <f>G67/[10]Deflator!$V$17</f>
        <v>92.33717892988723</v>
      </c>
      <c r="H76" s="190">
        <f>H67/[10]Deflator!$V$17</f>
        <v>90.028939491256082</v>
      </c>
      <c r="I76" s="190">
        <f>I67/[10]Deflator!$V$17</f>
        <v>85.470846918531095</v>
      </c>
      <c r="J76" s="190">
        <f>J67/[10]Deflator!$V$17</f>
        <v>85.953105081231584</v>
      </c>
      <c r="K76" s="190">
        <f>K67/[10]Deflator!$V$17</f>
        <v>85.863028332544943</v>
      </c>
      <c r="L76" s="190">
        <f>L67/[10]Deflator!$V$17</f>
        <v>88.902546477037802</v>
      </c>
      <c r="M76" s="190">
        <f>M67/[10]Deflator!$V$17</f>
        <v>93.522189921013762</v>
      </c>
      <c r="N76" s="190">
        <f>N67/[10]Deflator!$V$17</f>
        <v>96.072765473515915</v>
      </c>
      <c r="O76" s="190">
        <f>O67/[10]Deflator!$V$17</f>
        <v>98.57016734982632</v>
      </c>
      <c r="P76" s="190">
        <f>P67/[10]Deflator!$V$17</f>
        <v>100.82064346844696</v>
      </c>
      <c r="Q76" s="190">
        <f>Q67/[10]Deflator!$V$17</f>
        <v>103.01987618949572</v>
      </c>
      <c r="R76" s="190">
        <f>R67/[10]Deflator!$V$17</f>
        <v>105.26615592328017</v>
      </c>
      <c r="S76" s="190">
        <f>S67/[10]Deflator!$V$17</f>
        <v>107.5605164347495</v>
      </c>
      <c r="T76" s="190">
        <f>T67/[10]Deflator!$V$17</f>
        <v>109.9039729939998</v>
      </c>
      <c r="U76" s="190">
        <f>U67/[10]Deflator!$V$17</f>
        <v>112.29758856837999</v>
      </c>
      <c r="V76" s="190">
        <f>V67/[10]Deflator!$V$17</f>
        <v>114.74241736451903</v>
      </c>
      <c r="W76" s="190">
        <f>W67/[10]Deflator!$V$17</f>
        <v>117.2395661533654</v>
      </c>
      <c r="X76" s="190">
        <f>X67/[10]Deflator!$V$17</f>
        <v>119.79015728048071</v>
      </c>
      <c r="Y76" s="190">
        <f>Y67/[10]Deflator!$V$17</f>
        <v>122.39531795849319</v>
      </c>
      <c r="Z76" s="190">
        <f>Z67/[10]Deflator!$V$17</f>
        <v>125.05625229968362</v>
      </c>
      <c r="AA76" s="190">
        <f>AA67/[10]Deflator!$V$17</f>
        <v>127.77411866590658</v>
      </c>
      <c r="AB76" s="190">
        <f>AB67/[10]Deflator!$V$17</f>
        <v>130.55013479722936</v>
      </c>
      <c r="AC76" s="190">
        <f>AC67/[10]Deflator!$V$17</f>
        <v>133.38557878534527</v>
      </c>
      <c r="AD76" s="190">
        <f>AD67/[10]Deflator!$V$17</f>
        <v>136.45761769555207</v>
      </c>
      <c r="AE76" s="190">
        <f>AE67/[10]Deflator!$V$17</f>
        <v>139.59939193623111</v>
      </c>
      <c r="AF76" s="190">
        <f>AF67/[10]Deflator!$V$17</f>
        <v>142.81250569253899</v>
      </c>
      <c r="AG76" s="190">
        <f>AG67/[10]Deflator!$V$17</f>
        <v>146.09853297381929</v>
      </c>
      <c r="AH76" s="190">
        <f>AH67/[10]Deflator!$V$17</f>
        <v>149.45916751925429</v>
      </c>
      <c r="AI76" s="190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5">
        <v>2.4E-2</v>
      </c>
    </row>
    <row r="77" spans="1:110" x14ac:dyDescent="0.25">
      <c r="A77">
        <v>2</v>
      </c>
      <c r="B77" t="s">
        <v>290</v>
      </c>
      <c r="C77" t="s">
        <v>290</v>
      </c>
      <c r="D77">
        <f>+D76</f>
        <v>62.37</v>
      </c>
      <c r="E77">
        <f>+E76</f>
        <v>79.39</v>
      </c>
      <c r="F77">
        <f>+F76</f>
        <v>94.859168999999994</v>
      </c>
      <c r="G77" s="189">
        <f>G76</f>
        <v>92.33717892988723</v>
      </c>
      <c r="H77" s="188">
        <f t="shared" ref="H77:N77" si="24">($O$77/$G$77)^(1/($O$75-$G$75))*G77</f>
        <v>98.513554427606991</v>
      </c>
      <c r="I77" s="188">
        <f t="shared" si="24"/>
        <v>105.10306377596994</v>
      </c>
      <c r="J77" s="188">
        <f t="shared" si="24"/>
        <v>112.13334123694902</v>
      </c>
      <c r="K77" s="188">
        <f t="shared" si="24"/>
        <v>119.63386951082258</v>
      </c>
      <c r="L77" s="188">
        <f t="shared" si="24"/>
        <v>127.63610337704354</v>
      </c>
      <c r="M77" s="188">
        <f t="shared" si="24"/>
        <v>136.17360160536808</v>
      </c>
      <c r="N77" s="188">
        <f t="shared" si="24"/>
        <v>145.28216769043632</v>
      </c>
      <c r="O77" s="187">
        <v>155</v>
      </c>
      <c r="P77" s="188">
        <f t="shared" ref="P77:X77" si="25">($Y$77/$O$77)^(1/($Y$75-$O$75))*O77</f>
        <v>159.00161221441482</v>
      </c>
      <c r="Q77" s="188">
        <f t="shared" si="25"/>
        <v>163.10653346311707</v>
      </c>
      <c r="R77" s="188">
        <f t="shared" si="25"/>
        <v>167.31743086025816</v>
      </c>
      <c r="S77" s="188">
        <f t="shared" si="25"/>
        <v>171.63704037648341</v>
      </c>
      <c r="T77" s="188">
        <f t="shared" si="25"/>
        <v>176.06816861659016</v>
      </c>
      <c r="U77" s="188">
        <f t="shared" si="25"/>
        <v>180.61369464307916</v>
      </c>
      <c r="V77" s="188">
        <f t="shared" si="25"/>
        <v>185.27657184678452</v>
      </c>
      <c r="W77" s="188">
        <f t="shared" si="25"/>
        <v>190.05982986579741</v>
      </c>
      <c r="X77" s="188">
        <f t="shared" si="25"/>
        <v>194.96657655393017</v>
      </c>
      <c r="Y77" s="187">
        <v>200</v>
      </c>
      <c r="Z77" s="188">
        <f t="shared" ref="Z77:AH77" si="26">($AI$77/$Y$77)^(1/($AI$75-$Y$75))*Y77</f>
        <v>204.1002818892168</v>
      </c>
      <c r="AA77" s="188">
        <f t="shared" si="26"/>
        <v>208.2846253362888</v>
      </c>
      <c r="AB77" s="188">
        <f t="shared" si="26"/>
        <v>212.55475372163227</v>
      </c>
      <c r="AC77" s="188">
        <f t="shared" si="26"/>
        <v>216.91242575739099</v>
      </c>
      <c r="AD77" s="188">
        <f t="shared" si="26"/>
        <v>221.35943621178657</v>
      </c>
      <c r="AE77" s="188">
        <f t="shared" si="26"/>
        <v>225.89761664831872</v>
      </c>
      <c r="AF77" s="188">
        <f t="shared" si="26"/>
        <v>230.52883618012044</v>
      </c>
      <c r="AG77" s="188">
        <f t="shared" si="26"/>
        <v>235.25500223977832</v>
      </c>
      <c r="AH77" s="188">
        <f t="shared" si="26"/>
        <v>240.07806136493542</v>
      </c>
      <c r="AI77" s="187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289</v>
      </c>
    </row>
    <row r="80" spans="1:110" x14ac:dyDescent="0.25">
      <c r="AF80" t="s">
        <v>2</v>
      </c>
    </row>
    <row r="82" spans="1:131" x14ac:dyDescent="0.25">
      <c r="C82" t="s">
        <v>294</v>
      </c>
    </row>
    <row r="83" spans="1:13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293</v>
      </c>
    </row>
    <row r="84" spans="1:131" ht="51.75" x14ac:dyDescent="0.25">
      <c r="A84">
        <v>1</v>
      </c>
      <c r="B84" t="s">
        <v>292</v>
      </c>
      <c r="C84" s="184" t="s">
        <v>291</v>
      </c>
      <c r="D84" s="186">
        <v>62.37</v>
      </c>
      <c r="E84" s="186">
        <v>79.39</v>
      </c>
      <c r="F84" s="186">
        <v>92.86</v>
      </c>
      <c r="G84" s="186">
        <v>94.73</v>
      </c>
      <c r="H84" s="186">
        <v>103.71</v>
      </c>
      <c r="I84" s="186">
        <v>110.9</v>
      </c>
      <c r="J84" s="186">
        <v>116.91</v>
      </c>
      <c r="K84" s="186">
        <v>119.92</v>
      </c>
      <c r="L84" s="186">
        <v>122.89</v>
      </c>
      <c r="M84" s="186">
        <v>124</v>
      </c>
      <c r="N84" s="186">
        <v>125.22</v>
      </c>
      <c r="O84" s="186">
        <v>126.68</v>
      </c>
      <c r="P84" s="186">
        <v>127.99</v>
      </c>
      <c r="Q84" s="186">
        <v>129.41999999999999</v>
      </c>
      <c r="R84" s="186">
        <v>130.47999999999999</v>
      </c>
      <c r="S84" s="186">
        <v>131.54</v>
      </c>
      <c r="T84" s="186">
        <v>132.56</v>
      </c>
      <c r="U84" s="186">
        <v>133.47999999999999</v>
      </c>
      <c r="V84" s="186">
        <v>134.34</v>
      </c>
      <c r="W84" s="186">
        <v>135.38</v>
      </c>
      <c r="X84" s="186">
        <v>137.03</v>
      </c>
      <c r="Y84" s="186">
        <v>138.49</v>
      </c>
      <c r="Z84" s="186">
        <v>139.84</v>
      </c>
      <c r="AA84" s="186">
        <v>141.13999999999999</v>
      </c>
      <c r="AB84" s="186">
        <v>142.35</v>
      </c>
      <c r="AC84" s="186">
        <v>143.79</v>
      </c>
      <c r="AD84" s="184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5">
        <v>2.4E-2</v>
      </c>
    </row>
    <row r="85" spans="1:131" x14ac:dyDescent="0.25">
      <c r="A85">
        <v>2</v>
      </c>
      <c r="B85" t="s">
        <v>290</v>
      </c>
      <c r="C85" t="s">
        <v>290</v>
      </c>
      <c r="D85">
        <f>+D84</f>
        <v>62.37</v>
      </c>
      <c r="E85">
        <f>+E84</f>
        <v>79.39</v>
      </c>
      <c r="F85">
        <f>+F84</f>
        <v>92.86</v>
      </c>
      <c r="G85" s="184">
        <v>139.22</v>
      </c>
      <c r="H85" s="184">
        <v>173.04</v>
      </c>
      <c r="I85" s="184">
        <v>178.88</v>
      </c>
      <c r="J85" s="184">
        <v>182.1</v>
      </c>
      <c r="K85" s="184">
        <v>184.27</v>
      </c>
      <c r="L85" s="184">
        <v>185.75</v>
      </c>
      <c r="M85" s="184">
        <v>187.38</v>
      </c>
      <c r="N85" s="184">
        <v>188.86</v>
      </c>
      <c r="O85" s="184">
        <v>189.93</v>
      </c>
      <c r="P85" s="184">
        <v>191.04</v>
      </c>
      <c r="Q85" s="184">
        <v>191.91</v>
      </c>
      <c r="R85" s="184">
        <v>192.47</v>
      </c>
      <c r="S85" s="184">
        <v>192.85</v>
      </c>
      <c r="T85" s="184">
        <v>193.48</v>
      </c>
      <c r="U85" s="184">
        <v>194.18</v>
      </c>
      <c r="V85" s="184">
        <v>195.14</v>
      </c>
      <c r="W85" s="184">
        <v>195.82</v>
      </c>
      <c r="X85" s="184">
        <v>196.98</v>
      </c>
      <c r="Y85" s="184">
        <v>198.24</v>
      </c>
      <c r="Z85" s="184">
        <v>198.88</v>
      </c>
      <c r="AA85" s="184">
        <v>199.24</v>
      </c>
      <c r="AB85" s="184">
        <v>199.55</v>
      </c>
      <c r="AC85" s="184">
        <v>200.3</v>
      </c>
      <c r="AD85" s="184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31" x14ac:dyDescent="0.25">
      <c r="A86">
        <v>3</v>
      </c>
      <c r="B86" t="s">
        <v>289</v>
      </c>
    </row>
    <row r="92" spans="1:131" x14ac:dyDescent="0.25">
      <c r="CJ92" t="s">
        <v>288</v>
      </c>
    </row>
    <row r="93" spans="1:131" x14ac:dyDescent="0.25">
      <c r="BN93" t="s">
        <v>287</v>
      </c>
      <c r="BQ93" t="s">
        <v>284</v>
      </c>
      <c r="BT93" t="s">
        <v>286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31" x14ac:dyDescent="0.25">
      <c r="BK94" t="s">
        <v>285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284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10" t="s">
        <v>283</v>
      </c>
      <c r="DM94" s="210"/>
      <c r="DN94" s="210" t="s">
        <v>109</v>
      </c>
      <c r="DO94" s="210"/>
      <c r="DP94" s="210" t="s">
        <v>106</v>
      </c>
      <c r="DQ94" s="210"/>
    </row>
    <row r="95" spans="1:131" x14ac:dyDescent="0.25">
      <c r="BK95" t="s">
        <v>282</v>
      </c>
      <c r="BL95" t="s">
        <v>281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280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279</v>
      </c>
      <c r="DG95" t="s">
        <v>278</v>
      </c>
      <c r="DH95" t="s">
        <v>277</v>
      </c>
      <c r="DI95" t="s">
        <v>276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  <c r="DV95" t="s">
        <v>410</v>
      </c>
      <c r="DX95" t="s">
        <v>411</v>
      </c>
      <c r="DZ95" t="s">
        <v>412</v>
      </c>
    </row>
    <row r="96" spans="1:131" x14ac:dyDescent="0.25">
      <c r="BK96" t="s">
        <v>275</v>
      </c>
      <c r="BL96" t="s">
        <v>274</v>
      </c>
      <c r="BY96" t="s">
        <v>273</v>
      </c>
      <c r="BZ96">
        <v>62</v>
      </c>
      <c r="CA96">
        <v>60</v>
      </c>
      <c r="CB96">
        <v>58</v>
      </c>
      <c r="CC96">
        <v>58</v>
      </c>
      <c r="CJ96" t="s">
        <v>272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271</v>
      </c>
      <c r="DG96" t="s">
        <v>270</v>
      </c>
      <c r="DH96" t="s">
        <v>269</v>
      </c>
      <c r="DI96" t="s">
        <v>268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  <c r="DV96">
        <v>2030</v>
      </c>
      <c r="DW96">
        <v>2050</v>
      </c>
      <c r="DX96">
        <v>2030</v>
      </c>
      <c r="DY96">
        <v>2050</v>
      </c>
      <c r="DZ96">
        <v>2030</v>
      </c>
      <c r="EA96">
        <v>2050</v>
      </c>
    </row>
    <row r="97" spans="63:131" x14ac:dyDescent="0.25">
      <c r="BK97" t="s">
        <v>257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267</v>
      </c>
      <c r="DG97" t="s">
        <v>266</v>
      </c>
      <c r="DH97" t="s">
        <v>265</v>
      </c>
      <c r="DV97">
        <v>85</v>
      </c>
      <c r="DW97">
        <v>83</v>
      </c>
      <c r="DX97">
        <v>74</v>
      </c>
      <c r="DY97">
        <v>60</v>
      </c>
      <c r="DZ97">
        <v>42</v>
      </c>
      <c r="EA97">
        <v>25</v>
      </c>
    </row>
    <row r="98" spans="63:131" x14ac:dyDescent="0.25">
      <c r="BK98" t="s">
        <v>254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264</v>
      </c>
      <c r="CL98">
        <v>1</v>
      </c>
      <c r="DF98" t="s">
        <v>256</v>
      </c>
      <c r="DG98" t="s">
        <v>255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31" x14ac:dyDescent="0.25">
      <c r="BK99" t="s">
        <v>244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3">
        <v>2021</v>
      </c>
      <c r="CL99">
        <v>2030</v>
      </c>
      <c r="CM99">
        <v>2050</v>
      </c>
      <c r="DF99" t="s">
        <v>250</v>
      </c>
      <c r="DG99" t="s">
        <v>249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31" x14ac:dyDescent="0.25">
      <c r="BK100" t="s">
        <v>246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244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31" x14ac:dyDescent="0.25">
      <c r="BK101" t="s">
        <v>263</v>
      </c>
      <c r="BL101" t="s">
        <v>262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246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31" x14ac:dyDescent="0.25">
      <c r="BK102" t="s">
        <v>261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260</v>
      </c>
      <c r="DG102" t="s">
        <v>259</v>
      </c>
      <c r="DH102" t="s">
        <v>258</v>
      </c>
    </row>
    <row r="103" spans="63:131" x14ac:dyDescent="0.25">
      <c r="BK103" t="s">
        <v>257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256</v>
      </c>
      <c r="DG103" t="s">
        <v>255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31" x14ac:dyDescent="0.25">
      <c r="BK104" t="s">
        <v>254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253</v>
      </c>
      <c r="CL104" t="s">
        <v>252</v>
      </c>
      <c r="CO104" t="s">
        <v>251</v>
      </c>
      <c r="CR104" t="s">
        <v>244</v>
      </c>
      <c r="DF104" t="s">
        <v>250</v>
      </c>
      <c r="DG104" t="s">
        <v>249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31" x14ac:dyDescent="0.25">
      <c r="BK105" t="s">
        <v>248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247</v>
      </c>
      <c r="CO105">
        <f>CL105</f>
        <v>2025</v>
      </c>
      <c r="CP105">
        <f>CM105</f>
        <v>2040</v>
      </c>
      <c r="CQ105" t="s">
        <v>247</v>
      </c>
      <c r="CR105">
        <f>CO105</f>
        <v>2025</v>
      </c>
      <c r="CS105">
        <f>CP105</f>
        <v>2040</v>
      </c>
      <c r="CT105" t="s">
        <v>247</v>
      </c>
      <c r="DF105" t="s">
        <v>246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31" x14ac:dyDescent="0.25">
      <c r="BK106" t="s">
        <v>246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245</v>
      </c>
      <c r="DG106" t="s">
        <v>244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3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3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243</v>
      </c>
      <c r="DJ108" s="177">
        <f t="shared" ref="DJ108:DQ108" si="30">DJ101/DJ96</f>
        <v>0.13854166666666667</v>
      </c>
      <c r="DK108" s="177">
        <f t="shared" si="30"/>
        <v>0.14782608695652172</v>
      </c>
      <c r="DL108" s="177">
        <f t="shared" si="30"/>
        <v>0.17142857142857143</v>
      </c>
      <c r="DM108" s="177">
        <f t="shared" si="30"/>
        <v>0.21249999999999999</v>
      </c>
      <c r="DN108" s="177">
        <f t="shared" si="30"/>
        <v>0.14218749999999999</v>
      </c>
      <c r="DO108" s="177">
        <f t="shared" si="30"/>
        <v>0.12333333333333334</v>
      </c>
      <c r="DP108" s="177">
        <f t="shared" si="30"/>
        <v>0.13292682926829269</v>
      </c>
      <c r="DQ108" s="177">
        <f t="shared" si="30"/>
        <v>0.11157894736842106</v>
      </c>
    </row>
    <row r="110" spans="63:131" x14ac:dyDescent="0.25">
      <c r="CJ110" t="s">
        <v>242</v>
      </c>
    </row>
    <row r="111" spans="63:13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3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241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240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239</v>
      </c>
    </row>
    <row r="129" spans="88:95" x14ac:dyDescent="0.25">
      <c r="CK129" t="s">
        <v>237</v>
      </c>
      <c r="CL129" t="s">
        <v>236</v>
      </c>
      <c r="CM129" t="s">
        <v>235</v>
      </c>
      <c r="CN129" t="s">
        <v>234</v>
      </c>
      <c r="CO129" t="s">
        <v>233</v>
      </c>
      <c r="CP129" t="s">
        <v>232</v>
      </c>
      <c r="CQ129" t="s">
        <v>231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6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6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6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238</v>
      </c>
    </row>
    <row r="135" spans="88:95" x14ac:dyDescent="0.25">
      <c r="CK135" t="s">
        <v>237</v>
      </c>
      <c r="CL135" t="s">
        <v>236</v>
      </c>
      <c r="CM135" t="s">
        <v>235</v>
      </c>
      <c r="CN135" t="s">
        <v>234</v>
      </c>
      <c r="CO135" t="s">
        <v>233</v>
      </c>
      <c r="CP135" t="s">
        <v>232</v>
      </c>
      <c r="CQ135" t="s">
        <v>231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6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6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6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</vt:lpstr>
      <vt:lpstr>Liq Fuel Prices</vt:lpstr>
      <vt:lpstr>IEA_WEO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Bruno Merven</cp:lastModifiedBy>
  <dcterms:created xsi:type="dcterms:W3CDTF">2023-09-29T12:20:46Z</dcterms:created>
  <dcterms:modified xsi:type="dcterms:W3CDTF">2023-12-05T03:24:46Z</dcterms:modified>
</cp:coreProperties>
</file>