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B7AADA38-1D33-40E1-966B-6ED8BE62D21D}"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102" i="142" l="1"/>
  <c r="AW103" i="142"/>
  <c r="AW104" i="142"/>
  <c r="C180" i="142"/>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5"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L124" i="142"/>
  <c r="F65" i="142"/>
  <c r="F69" i="142"/>
  <c r="B124" i="142"/>
  <c r="AH124" i="142" s="1"/>
  <c r="B185" i="142" l="1"/>
  <c r="AH185" i="142" s="1"/>
  <c r="N188" i="142"/>
  <c r="N101" i="142"/>
  <c r="F73" i="142"/>
  <c r="D73" i="142"/>
  <c r="N100" i="142"/>
  <c r="N187" i="142"/>
  <c r="N124" i="142"/>
  <c r="H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AY159" i="142"/>
  <c r="AY141" i="142"/>
  <c r="AY123" i="142"/>
  <c r="AY92" i="142"/>
  <c r="AY183" i="142"/>
  <c r="AY165" i="142"/>
  <c r="AY94" i="142"/>
  <c r="AY98" i="142"/>
  <c r="AY121" i="142"/>
  <c r="AY181" i="142"/>
  <c r="AY163" i="142"/>
  <c r="AY145" i="142"/>
  <c r="AY127" i="142"/>
  <c r="AY97" i="142"/>
  <c r="AY117" i="142"/>
  <c r="AY91" i="142"/>
  <c r="AY139" i="142"/>
  <c r="AY126" i="142"/>
  <c r="AY144" i="142"/>
  <c r="AY119" i="142"/>
  <c r="AY186" i="142"/>
  <c r="AY162" i="142"/>
  <c r="AY137" i="142"/>
  <c r="AY90" i="142"/>
  <c r="AY180" i="142"/>
  <c r="AY120" i="142"/>
  <c r="AY142" i="142"/>
  <c r="AY96" i="142"/>
  <c r="AY95" i="142"/>
  <c r="AY93" i="142"/>
  <c r="AY99" i="142"/>
  <c r="AY140" i="142"/>
  <c r="AY125" i="142"/>
  <c r="AY122" i="142"/>
  <c r="AY160" i="142"/>
  <c r="AY118" i="142"/>
  <c r="AY166" i="142"/>
  <c r="AY116" i="142"/>
  <c r="AY184" i="142"/>
  <c r="AY188" i="142"/>
  <c r="AY114" i="142"/>
  <c r="AY185" i="142"/>
  <c r="AY146" i="142"/>
  <c r="AY158" i="142"/>
  <c r="AY143" i="142"/>
  <c r="AY164" i="142"/>
  <c r="AY167" i="142"/>
  <c r="AY161" i="142"/>
  <c r="AY168" i="142"/>
  <c r="AY156" i="142"/>
  <c r="AY178" i="142"/>
  <c r="AY182" i="142"/>
  <c r="AY101"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F263" i="112" l="1"/>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tc={D7AB6710-6B74-42AB-9CE0-DBB75A684CD5}</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24" authorId="15" shapeId="0" xr:uid="{D7AB6710-6B74-42AB-9CE0-DBB75A684CD5}">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24" authorId="16"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7"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8"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9"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<sst xmlns="http://schemas.openxmlformats.org/spreadsheetml/2006/main" count="3231" uniqueCount="836">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</sst>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new"/>
      <sheetName val="Summary Hydrogen DRI"/>
      <sheetName val="HDRI-Items"/>
      <sheetName val="HDRI-TSData"/>
      <sheetName val="HDRI-TIDData"/>
      <sheetName val="IS-Items"/>
      <sheetName val="IS-TSData"/>
      <sheetName val="IS-TIDData"/>
      <sheetName val="Iron &amp; Steel"/>
      <sheetName val="I&amp;S SATIM input"/>
      <sheetName val="Energy Intensity"/>
      <sheetName val="I&amp;S capacity + production"/>
      <sheetName val="Energy and Emissions"/>
      <sheetName val="Scrap"/>
      <sheetName val="Coke"/>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NameConv"/>
      <sheetName val="G61 info data and lit"/>
      <sheetName val="G61 Scenarios Modelled"/>
      <sheetName val="G61 Plant Data"/>
      <sheetName val="Production and Capacity"/>
      <sheetName val="Age of cement kilns"/>
      <sheetName val="NetZero levers"/>
      <sheetName val="PAMS levers"/>
      <sheetName val="Data for SATIM"/>
      <sheetName val="NMM-TSData"/>
      <sheetName val="NMM-Items"/>
      <sheetName val="NMM-TIDData"/>
      <sheetName val="2017 inputs to SATIM"/>
      <sheetName val="NMM data"/>
      <sheetName val="Sheet1"/>
      <sheetName val="Cement Methodology"/>
      <sheetName val="RES (Cement)"/>
      <sheetName val="IND_NMM_2017_Cement"/>
      <sheetName val="Bricks&amp;Ceramics methodology"/>
      <sheetName val="RES (Brick&amp;Ceramics)"/>
      <sheetName val="IND_NMM_2017_Bricks&amp;Ceramics"/>
      <sheetName val="Glass methodology"/>
      <sheetName val="RES (Glass)"/>
      <sheetName val="IND_NMM_2017_Glass"/>
      <sheetName val="Lime methodology"/>
      <sheetName val="RES (Lime)"/>
      <sheetName val="IND_NMM_2017_Lime"/>
      <sheetName val="IND_NMM_2017_Dummy_processes "/>
      <sheetName val="REGIONS"/>
      <sheetName val="ITEMS_Tech (jm)"/>
      <sheetName val="Constraints (jm)"/>
      <sheetName val="ITEMS_Comm_Grp"/>
      <sheetName val="CommData"/>
      <sheetName val="ITEMS_Comm (jm)"/>
      <sheetName val="AFA"/>
      <sheetName val="vt_REGION1_IND-NMM"/>
    </sheetNames>
    <definedNames>
      <definedName name="pamsindex" refersTo="='PAMS levers'!$C$3"/>
    </definedNames>
    <sheetDataSet>
      <sheetData sheetId="0"/>
      <sheetData sheetId="1"/>
      <sheetData sheetId="2"/>
      <sheetData sheetId="3"/>
      <sheetData sheetId="4"/>
      <sheetData sheetId="5"/>
      <sheetData sheetId="6"/>
      <sheetData sheetId="7"/>
      <sheetData sheetId="8">
        <row r="3">
          <cell r="C3" t="b">
            <v>0</v>
          </cell>
        </row>
        <row r="4">
          <cell r="C4" t="str">
            <v>High</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Plants&amp;boilers_JM "/>
      <sheetName val="ProcData_Xtechs_JM"/>
      <sheetName val="ProcData_CHP_JM"/>
      <sheetName val="ITEMS_GRP_P&amp;P_JM"/>
      <sheetName val="ITEMS_P&amp;P_Constraints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C124" dT="2021-04-09T13:42:04.07" personId="{AFD984B0-7FCA-4548-946E-FA56C0C853B8}" id="{D7AB6710-6B74-42AB-9CE0-DBB75A684CD5}">
    <text>Need to change this to ICPGMU once commodity has been added to RES/topology</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43698.705245717596</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5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topLeftCell="P137" zoomScale="85" zoomScaleNormal="85" workbookViewId="0">
      <selection activeCell="AW119" sqref="AW119"/>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614</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Methodology!C44</f>
        <v>0.6</v>
      </c>
      <c r="F95" s="60">
        <f>SUMIF(AFA!$C$3:$L$3,RIGHT(D95,1),AFA!$C$4:$L$4)</f>
        <v>0.15426999999999999</v>
      </c>
      <c r="G95" s="59">
        <v>100</v>
      </c>
      <c r="H95" s="60">
        <f t="shared" si="44"/>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c r="AV102" s="72" t="s">
        <v>476</v>
      </c>
      <c r="AW102" s="72" t="str">
        <f t="shared" ref="AW102:AW104" si="66">AO102</f>
        <v>*</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c r="AV103" s="72" t="s">
        <v>476</v>
      </c>
      <c r="AW103" s="72" t="str">
        <f t="shared" si="66"/>
        <v>*</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c r="AV104" s="72" t="s">
        <v>476</v>
      </c>
      <c r="AW104" s="72" t="str">
        <f t="shared" si="66"/>
        <v>*</v>
      </c>
    </row>
    <row r="105" spans="1:51">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J105" s="61">
        <v>1</v>
      </c>
      <c r="K105" s="60">
        <f t="shared" ref="K105:K113" si="69">J105*SUMIF($C$60:$K$60,$B$103,$C61:$K61)</f>
        <v>0.80918000000000012</v>
      </c>
      <c r="L105" s="60">
        <f>K105*E105</f>
        <v>0.80918000000000012</v>
      </c>
      <c r="N105" s="74" t="str">
        <f>""</f>
        <v/>
      </c>
      <c r="S105" s="78"/>
      <c r="T105" s="74"/>
      <c r="U105" s="74"/>
      <c r="V105" s="74"/>
      <c r="W105" s="74"/>
      <c r="Y105" s="74"/>
      <c r="Z105" s="14"/>
      <c r="AE105" s="13"/>
      <c r="AH105" t="str">
        <f t="shared" ref="AH105:AH165" si="70">B105</f>
        <v>ICPKELC-E</v>
      </c>
      <c r="AI105" t="str">
        <f t="shared" ref="AI105:AI165" si="71">A105</f>
        <v>Industry-Chemicals-Elec Heating - Electricity</v>
      </c>
      <c r="AJ105" s="70" t="s">
        <v>387</v>
      </c>
      <c r="AK105" s="70" t="s">
        <v>610</v>
      </c>
      <c r="AL105" s="70" t="s">
        <v>480</v>
      </c>
      <c r="AM105" s="70" t="s">
        <v>611</v>
      </c>
      <c r="AO105" s="70" t="str">
        <f t="shared" ref="AO105:AO113" si="72">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3">AO105</f>
        <v>ICPK</v>
      </c>
      <c r="AX105" s="254" t="s">
        <v>387</v>
      </c>
      <c r="AY105" s="266">
        <f t="shared" ref="AY105:AY168" si="74">SUMIFS($L$81:$L$188,$D$81:$D$188,$AW105)</f>
        <v>0.80918000000000012</v>
      </c>
    </row>
    <row r="106" spans="1:51">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J106" s="61">
        <v>1</v>
      </c>
      <c r="K106" s="60">
        <f t="shared" si="69"/>
        <v>6.0688500000000003</v>
      </c>
      <c r="L106" s="60">
        <f t="shared" ref="L106:L113" si="76">K106*E106</f>
        <v>0.30344250000000006</v>
      </c>
      <c r="N106" s="74" t="str">
        <f>""</f>
        <v/>
      </c>
      <c r="S106" s="78"/>
      <c r="T106" s="74"/>
      <c r="U106" s="74"/>
      <c r="V106" s="74"/>
      <c r="W106" s="74"/>
      <c r="Y106" s="74"/>
      <c r="Z106" s="14"/>
      <c r="AE106" s="13"/>
      <c r="AH106" t="str">
        <f t="shared" si="70"/>
        <v>ICPAELC-E</v>
      </c>
      <c r="AI106" t="str">
        <f t="shared" si="71"/>
        <v>Industry-Chemicals-Compressed air - Electricity</v>
      </c>
      <c r="AJ106" s="70" t="s">
        <v>387</v>
      </c>
      <c r="AK106" s="70" t="s">
        <v>610</v>
      </c>
      <c r="AL106" s="70" t="s">
        <v>480</v>
      </c>
      <c r="AM106" s="70" t="s">
        <v>611</v>
      </c>
      <c r="AO106" s="70" t="str">
        <f t="shared" si="72"/>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3"/>
        <v>ICPA</v>
      </c>
      <c r="AX106" s="254" t="s">
        <v>387</v>
      </c>
      <c r="AY106" s="266">
        <f t="shared" si="74"/>
        <v>0.30344250000000006</v>
      </c>
    </row>
    <row r="107" spans="1:51">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J107" s="61">
        <v>1</v>
      </c>
      <c r="K107" s="60">
        <f t="shared" si="69"/>
        <v>1.6183600000000002</v>
      </c>
      <c r="L107" s="60">
        <f t="shared" si="76"/>
        <v>0.48550800000000005</v>
      </c>
      <c r="N107" s="74" t="str">
        <f>""</f>
        <v/>
      </c>
      <c r="S107" s="78"/>
      <c r="T107" s="74"/>
      <c r="U107" s="74"/>
      <c r="V107" s="74"/>
      <c r="W107" s="74"/>
      <c r="Y107" s="74"/>
      <c r="Z107" s="14"/>
      <c r="AE107" s="13"/>
      <c r="AH107" t="str">
        <f t="shared" si="70"/>
        <v>ICPLELC-E</v>
      </c>
      <c r="AI107" t="str">
        <f t="shared" si="71"/>
        <v>Industry-Chemicals-Lighting - Electricity</v>
      </c>
      <c r="AJ107" s="70" t="s">
        <v>387</v>
      </c>
      <c r="AK107" s="70" t="s">
        <v>610</v>
      </c>
      <c r="AL107" s="70" t="s">
        <v>480</v>
      </c>
      <c r="AM107" s="70" t="s">
        <v>611</v>
      </c>
      <c r="AO107" s="70" t="str">
        <f t="shared" si="72"/>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3"/>
        <v>ICPL</v>
      </c>
      <c r="AX107" s="254" t="s">
        <v>387</v>
      </c>
      <c r="AY107" s="266">
        <f t="shared" si="74"/>
        <v>0.48550800000000005</v>
      </c>
    </row>
    <row r="108" spans="1:51">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J108" s="61">
        <v>1</v>
      </c>
      <c r="K108" s="60">
        <f t="shared" si="69"/>
        <v>2.0229500000000002</v>
      </c>
      <c r="L108" s="60">
        <f t="shared" si="76"/>
        <v>4.0459000000000005</v>
      </c>
      <c r="N108" s="74" t="str">
        <f>""</f>
        <v/>
      </c>
      <c r="S108" s="78"/>
      <c r="T108" s="74"/>
      <c r="U108" s="74"/>
      <c r="V108" s="74"/>
      <c r="W108" s="74"/>
      <c r="Y108" s="74"/>
      <c r="Z108" s="14"/>
      <c r="AE108" s="13"/>
      <c r="AH108" t="str">
        <f t="shared" si="70"/>
        <v>ICPCELC-E</v>
      </c>
      <c r="AI108" t="str">
        <f t="shared" si="71"/>
        <v>Industry-Chemicals-Cooling - Electricity</v>
      </c>
      <c r="AJ108" s="70" t="s">
        <v>387</v>
      </c>
      <c r="AK108" s="70" t="s">
        <v>610</v>
      </c>
      <c r="AL108" s="70" t="s">
        <v>480</v>
      </c>
      <c r="AM108" s="70" t="s">
        <v>611</v>
      </c>
      <c r="AO108" s="70" t="str">
        <f t="shared" si="72"/>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3"/>
        <v>ICPC</v>
      </c>
      <c r="AX108" s="254" t="s">
        <v>387</v>
      </c>
      <c r="AY108" s="266">
        <f t="shared" si="74"/>
        <v>4.0459000000000005</v>
      </c>
    </row>
    <row r="109" spans="1:51">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J109" s="61">
        <v>1</v>
      </c>
      <c r="K109" s="60">
        <f t="shared" si="69"/>
        <v>0.80918000000000012</v>
      </c>
      <c r="L109" s="60">
        <f t="shared" si="76"/>
        <v>0.72826200000000008</v>
      </c>
      <c r="N109" s="74" t="str">
        <f>""</f>
        <v/>
      </c>
      <c r="S109" s="78"/>
      <c r="T109" s="74"/>
      <c r="U109" s="74"/>
      <c r="V109" s="74"/>
      <c r="W109" s="74"/>
      <c r="Y109" s="74"/>
      <c r="Z109" s="14"/>
      <c r="AE109" s="13"/>
      <c r="AH109" t="str">
        <f t="shared" si="70"/>
        <v>ICPHELC-E</v>
      </c>
      <c r="AI109" t="str">
        <f t="shared" si="71"/>
        <v>Industry-Chemicals-HVAC - Electricity</v>
      </c>
      <c r="AJ109" s="70" t="s">
        <v>387</v>
      </c>
      <c r="AK109" s="70" t="s">
        <v>610</v>
      </c>
      <c r="AL109" s="70" t="s">
        <v>480</v>
      </c>
      <c r="AM109" s="70" t="s">
        <v>611</v>
      </c>
      <c r="AO109" s="70" t="str">
        <f t="shared" si="72"/>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3"/>
        <v>ICPH</v>
      </c>
      <c r="AX109" s="254" t="s">
        <v>387</v>
      </c>
      <c r="AY109" s="266">
        <f t="shared" si="74"/>
        <v>0.72826200000000008</v>
      </c>
    </row>
    <row r="110" spans="1:51">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J110" s="61">
        <v>1</v>
      </c>
      <c r="K110" s="60">
        <f t="shared" si="69"/>
        <v>14.16065</v>
      </c>
      <c r="L110" s="60">
        <f>K110*E110</f>
        <v>11.328520000000001</v>
      </c>
      <c r="N110" s="74" t="str">
        <f>""</f>
        <v/>
      </c>
      <c r="S110" s="78"/>
      <c r="T110" s="74"/>
      <c r="U110" s="74"/>
      <c r="V110" s="74"/>
      <c r="W110" s="74"/>
      <c r="Y110" s="74"/>
      <c r="Z110" s="14"/>
      <c r="AE110" s="13"/>
      <c r="AH110" t="str">
        <f t="shared" si="70"/>
        <v>ICPPELC-E</v>
      </c>
      <c r="AI110" t="str">
        <f t="shared" si="71"/>
        <v>Industry-Chemicals-Pumping - Electricity</v>
      </c>
      <c r="AJ110" s="70" t="s">
        <v>387</v>
      </c>
      <c r="AK110" s="70" t="s">
        <v>610</v>
      </c>
      <c r="AL110" s="70" t="s">
        <v>480</v>
      </c>
      <c r="AM110" s="70" t="s">
        <v>611</v>
      </c>
      <c r="AO110" s="70" t="str">
        <f t="shared" si="72"/>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3"/>
        <v>ICPP</v>
      </c>
      <c r="AX110" s="254" t="s">
        <v>387</v>
      </c>
      <c r="AY110" s="266">
        <f t="shared" si="74"/>
        <v>11.328520000000001</v>
      </c>
    </row>
    <row r="111" spans="1:51">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J111" s="61">
        <v>1</v>
      </c>
      <c r="K111" s="60">
        <f t="shared" si="69"/>
        <v>3.2367200000000005</v>
      </c>
      <c r="L111" s="60">
        <f t="shared" si="76"/>
        <v>2.5893760000000006</v>
      </c>
      <c r="N111" s="74" t="str">
        <f>""</f>
        <v/>
      </c>
      <c r="S111" s="78"/>
      <c r="T111" s="74"/>
      <c r="U111" s="74"/>
      <c r="V111" s="74"/>
      <c r="W111" s="74"/>
      <c r="Y111" s="74"/>
      <c r="Z111" s="14"/>
      <c r="AE111" s="13"/>
      <c r="AH111" t="str">
        <f t="shared" si="70"/>
        <v>ICPFELC-E</v>
      </c>
      <c r="AI111" t="str">
        <f t="shared" si="71"/>
        <v>Industry-Chemicals-Fans - Electricity</v>
      </c>
      <c r="AJ111" s="70" t="s">
        <v>387</v>
      </c>
      <c r="AK111" s="70" t="s">
        <v>610</v>
      </c>
      <c r="AL111" s="70" t="s">
        <v>480</v>
      </c>
      <c r="AM111" s="70" t="s">
        <v>611</v>
      </c>
      <c r="AO111" s="70" t="str">
        <f t="shared" si="72"/>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3"/>
        <v>ICPF</v>
      </c>
      <c r="AX111" s="254" t="s">
        <v>387</v>
      </c>
      <c r="AY111" s="266">
        <f t="shared" si="74"/>
        <v>2.5893760000000006</v>
      </c>
    </row>
    <row r="112" spans="1:51">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J112" s="61">
        <v>1</v>
      </c>
      <c r="K112" s="60">
        <f t="shared" si="69"/>
        <v>8.091800000000001</v>
      </c>
      <c r="L112" s="60">
        <f t="shared" si="76"/>
        <v>6.473440000000001</v>
      </c>
      <c r="N112" s="74" t="str">
        <f>""</f>
        <v/>
      </c>
      <c r="S112" s="78"/>
      <c r="T112" s="74"/>
      <c r="U112" s="74"/>
      <c r="V112" s="74"/>
      <c r="W112" s="74"/>
      <c r="Y112" s="74"/>
      <c r="Z112" s="14"/>
      <c r="AE112" s="13"/>
      <c r="AH112" t="str">
        <f t="shared" si="70"/>
        <v>ICPOELC-E</v>
      </c>
      <c r="AI112" t="str">
        <f t="shared" si="71"/>
        <v>Industry-Chemicals-Other motive - Electricity</v>
      </c>
      <c r="AJ112" s="70" t="s">
        <v>387</v>
      </c>
      <c r="AK112" s="70" t="s">
        <v>610</v>
      </c>
      <c r="AL112" s="70" t="s">
        <v>480</v>
      </c>
      <c r="AM112" s="70" t="s">
        <v>611</v>
      </c>
      <c r="AO112" s="70" t="str">
        <f t="shared" si="72"/>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3"/>
        <v>ICPO</v>
      </c>
      <c r="AX112" s="254" t="s">
        <v>387</v>
      </c>
      <c r="AY112" s="266">
        <f t="shared" si="74"/>
        <v>6.473440000000001</v>
      </c>
    </row>
    <row r="113" spans="1:51">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J113" s="61">
        <v>1</v>
      </c>
      <c r="K113" s="60">
        <f t="shared" si="69"/>
        <v>3.2367200000000005</v>
      </c>
      <c r="L113" s="60">
        <f t="shared" si="76"/>
        <v>2.4599072000000004</v>
      </c>
      <c r="N113" s="74" t="str">
        <f>""</f>
        <v/>
      </c>
      <c r="S113" s="78"/>
      <c r="T113" s="74"/>
      <c r="U113" s="74"/>
      <c r="V113" s="74"/>
      <c r="W113" s="74"/>
      <c r="Y113" s="74"/>
      <c r="Z113" s="14"/>
      <c r="AE113" s="13"/>
      <c r="AH113" t="str">
        <f t="shared" si="70"/>
        <v>ICPEELC-E</v>
      </c>
      <c r="AI113" t="str">
        <f t="shared" si="71"/>
        <v>Industry-Chemicals-Electrochemical - Electricity</v>
      </c>
      <c r="AJ113" s="70" t="s">
        <v>387</v>
      </c>
      <c r="AK113" s="70" t="s">
        <v>610</v>
      </c>
      <c r="AL113" s="70" t="s">
        <v>480</v>
      </c>
      <c r="AM113" s="70" t="s">
        <v>611</v>
      </c>
      <c r="AO113" s="70" t="str">
        <f t="shared" si="72"/>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3"/>
        <v>ICPE</v>
      </c>
      <c r="AX113" s="254" t="s">
        <v>387</v>
      </c>
      <c r="AY113" s="266">
        <f t="shared" si="74"/>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3"/>
        <v>*</v>
      </c>
      <c r="AX114" s="254" t="s">
        <v>387</v>
      </c>
      <c r="AY114" s="266">
        <f t="shared" si="74"/>
        <v>338.97013191086643</v>
      </c>
    </row>
    <row r="115" spans="1:51"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2" si="79">L115/F115</f>
        <v>101.08822194853181</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Y115" s="74"/>
      <c r="Z115" s="14"/>
      <c r="AE115" s="13"/>
      <c r="AH115" t="str">
        <f t="shared" si="70"/>
        <v>ICPSCLE-E</v>
      </c>
      <c r="AI115" t="str">
        <f t="shared" si="71"/>
        <v>Industry-Chemicals-boiler/process heating -  - Existing</v>
      </c>
      <c r="AJ115" s="70" t="s">
        <v>387</v>
      </c>
      <c r="AK115" s="70" t="s">
        <v>610</v>
      </c>
      <c r="AL115" s="70" t="s">
        <v>480</v>
      </c>
      <c r="AM115" s="70" t="s">
        <v>611</v>
      </c>
      <c r="AO115" s="70" t="str">
        <f t="shared" ref="AO115" si="85">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3"/>
        <v>ICPS</v>
      </c>
      <c r="AX115" s="254" t="s">
        <v>387</v>
      </c>
      <c r="AY115" s="266">
        <f t="shared" si="74"/>
        <v>19.307168400000002</v>
      </c>
    </row>
    <row r="116" spans="1:51">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6">S116*T$75</f>
        <v>0.12384622905138175</v>
      </c>
      <c r="U116" s="77">
        <f t="shared" si="86"/>
        <v>0</v>
      </c>
      <c r="V116" s="77">
        <f t="shared" si="86"/>
        <v>0</v>
      </c>
      <c r="W116" s="74"/>
      <c r="Y116" s="74"/>
      <c r="Z116" s="14"/>
      <c r="AE116" s="13"/>
      <c r="AH116" t="str">
        <f t="shared" si="70"/>
        <v>ICPSGAS-E</v>
      </c>
      <c r="AI116" t="str">
        <f t="shared" si="71"/>
        <v>Industry-Chemicals-boiler/process heating -  - Existing</v>
      </c>
      <c r="AJ116" s="70" t="s">
        <v>387</v>
      </c>
      <c r="AK116" s="70" t="s">
        <v>610</v>
      </c>
      <c r="AL116" s="70" t="s">
        <v>480</v>
      </c>
      <c r="AM116" s="70" t="s">
        <v>611</v>
      </c>
      <c r="AO116" s="26" t="s">
        <v>476</v>
      </c>
      <c r="AP116" s="70" t="str">
        <f t="shared" ref="AP116:AP122" si="87">A116</f>
        <v>Industry-Chemicals-boiler/process heating -  - Existing</v>
      </c>
      <c r="AQ116" s="245" t="s">
        <v>387</v>
      </c>
      <c r="AR116" s="70" t="s">
        <v>631</v>
      </c>
      <c r="AS116" s="70" t="s">
        <v>480</v>
      </c>
      <c r="AV116" s="72" t="s">
        <v>476</v>
      </c>
      <c r="AW116" s="72" t="str">
        <f t="shared" si="73"/>
        <v>*</v>
      </c>
      <c r="AX116" s="254" t="s">
        <v>387</v>
      </c>
      <c r="AY116" s="266">
        <f t="shared" si="74"/>
        <v>338.97013191086643</v>
      </c>
    </row>
    <row r="117" spans="1:51">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8">S117*T$75</f>
        <v>3.4867878398988847E-2</v>
      </c>
      <c r="U117" s="77">
        <f t="shared" si="88"/>
        <v>0</v>
      </c>
      <c r="V117" s="77">
        <f t="shared" si="88"/>
        <v>0</v>
      </c>
      <c r="W117" s="74"/>
      <c r="Y117" s="74"/>
      <c r="Z117" s="14"/>
      <c r="AE117" s="13"/>
      <c r="AH117" t="str">
        <f t="shared" si="70"/>
        <v>ICPSOHF-E</v>
      </c>
      <c r="AI117" t="str">
        <f t="shared" si="71"/>
        <v>Industry-Chemicals-boiler/process heating -  - Existing</v>
      </c>
      <c r="AJ117" s="70" t="s">
        <v>387</v>
      </c>
      <c r="AK117" s="70" t="s">
        <v>610</v>
      </c>
      <c r="AL117" s="70" t="s">
        <v>480</v>
      </c>
      <c r="AM117" s="70" t="s">
        <v>611</v>
      </c>
      <c r="AO117" s="26" t="s">
        <v>476</v>
      </c>
      <c r="AP117" s="70" t="str">
        <f t="shared" si="87"/>
        <v>Industry-Chemicals-boiler/process heating -  - Existing</v>
      </c>
      <c r="AQ117" s="245" t="s">
        <v>387</v>
      </c>
      <c r="AR117" s="70" t="s">
        <v>631</v>
      </c>
      <c r="AS117" s="70" t="s">
        <v>480</v>
      </c>
      <c r="AV117" s="72" t="s">
        <v>476</v>
      </c>
      <c r="AW117" s="72" t="str">
        <f t="shared" si="73"/>
        <v>*</v>
      </c>
      <c r="AX117" s="254" t="s">
        <v>387</v>
      </c>
      <c r="AY117" s="266">
        <f t="shared" si="74"/>
        <v>338.97013191086643</v>
      </c>
    </row>
    <row r="118" spans="1:51">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89">S118*T$75</f>
        <v>0</v>
      </c>
      <c r="U118" s="77">
        <f t="shared" si="89"/>
        <v>0</v>
      </c>
      <c r="V118" s="77">
        <f t="shared" si="89"/>
        <v>0</v>
      </c>
      <c r="W118" s="74"/>
      <c r="Y118" s="74"/>
      <c r="Z118" s="14"/>
      <c r="AE118" s="13"/>
      <c r="AH118" t="str">
        <f t="shared" si="70"/>
        <v>ICPSOLP-E</v>
      </c>
      <c r="AI118" t="str">
        <f t="shared" si="71"/>
        <v>Industry-Chemicals-boiler/process heating -  - Existing</v>
      </c>
      <c r="AJ118" s="70" t="s">
        <v>387</v>
      </c>
      <c r="AK118" s="70" t="s">
        <v>610</v>
      </c>
      <c r="AL118" s="70" t="s">
        <v>480</v>
      </c>
      <c r="AM118" s="70" t="s">
        <v>611</v>
      </c>
      <c r="AO118" s="26" t="s">
        <v>476</v>
      </c>
      <c r="AP118" s="70" t="str">
        <f t="shared" si="87"/>
        <v>Industry-Chemicals-boiler/process heating -  - Existing</v>
      </c>
      <c r="AQ118" s="245" t="s">
        <v>387</v>
      </c>
      <c r="AR118" s="70" t="s">
        <v>631</v>
      </c>
      <c r="AS118" s="70" t="s">
        <v>480</v>
      </c>
      <c r="AV118" s="72" t="s">
        <v>476</v>
      </c>
      <c r="AW118" s="72" t="str">
        <f t="shared" si="73"/>
        <v>*</v>
      </c>
      <c r="AX118" s="254" t="s">
        <v>387</v>
      </c>
      <c r="AY118" s="266">
        <f t="shared" si="74"/>
        <v>338.97013191086643</v>
      </c>
    </row>
    <row r="119" spans="1:51"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0">S119*T$75</f>
        <v>1.4333513556550326E-2</v>
      </c>
      <c r="U119" s="77">
        <f t="shared" si="90"/>
        <v>0</v>
      </c>
      <c r="V119" s="77">
        <f t="shared" si="90"/>
        <v>0</v>
      </c>
      <c r="W119" s="74"/>
      <c r="Y119" s="74"/>
      <c r="Z119" s="14"/>
      <c r="AE119" s="13"/>
      <c r="AH119" t="str">
        <f t="shared" si="70"/>
        <v>ICPSELC-E</v>
      </c>
      <c r="AI119" t="str">
        <f t="shared" si="71"/>
        <v>Industry-Chemicals-boiler/process heating -  - Existing</v>
      </c>
      <c r="AJ119" s="70" t="s">
        <v>387</v>
      </c>
      <c r="AK119" s="70" t="s">
        <v>610</v>
      </c>
      <c r="AL119" s="70" t="s">
        <v>480</v>
      </c>
      <c r="AM119" s="70" t="s">
        <v>611</v>
      </c>
      <c r="AO119" s="26" t="s">
        <v>476</v>
      </c>
      <c r="AP119" s="70" t="str">
        <f t="shared" si="87"/>
        <v>Industry-Chemicals-boiler/process heating -  - Existing</v>
      </c>
      <c r="AQ119" s="245" t="s">
        <v>387</v>
      </c>
      <c r="AR119" s="70" t="s">
        <v>631</v>
      </c>
      <c r="AS119" s="70" t="s">
        <v>632</v>
      </c>
      <c r="AV119" s="72" t="s">
        <v>476</v>
      </c>
      <c r="AW119" s="72" t="str">
        <f t="shared" si="73"/>
        <v>*</v>
      </c>
      <c r="AX119" s="254" t="s">
        <v>387</v>
      </c>
      <c r="AY119" s="266">
        <f t="shared" si="74"/>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J120" s="61">
        <v>1</v>
      </c>
      <c r="K120" s="60">
        <v>0</v>
      </c>
      <c r="L120" s="60">
        <f>K120*E120</f>
        <v>0</v>
      </c>
      <c r="N120" s="196">
        <f t="shared" si="81"/>
        <v>0</v>
      </c>
      <c r="O120" s="216">
        <v>0.02</v>
      </c>
      <c r="P120" s="216">
        <v>0.21</v>
      </c>
      <c r="Q120" s="216">
        <v>0.21</v>
      </c>
      <c r="R120" s="77"/>
      <c r="S120" s="78">
        <f t="shared" si="83"/>
        <v>0</v>
      </c>
      <c r="T120" s="77">
        <f t="shared" ref="T120:V120" si="91">S120*T$75</f>
        <v>0</v>
      </c>
      <c r="U120" s="77">
        <f t="shared" si="91"/>
        <v>0</v>
      </c>
      <c r="V120" s="77">
        <f t="shared" si="91"/>
        <v>0</v>
      </c>
      <c r="W120" s="74"/>
      <c r="Y120" s="74"/>
      <c r="Z120" s="14"/>
      <c r="AE120" s="13"/>
      <c r="AH120" t="str">
        <f t="shared" si="70"/>
        <v>ICPSELC-N</v>
      </c>
      <c r="AI120" t="str">
        <f t="shared" si="71"/>
        <v>Industry-Chemicals-boiler/process heating -  - Heat Pump New</v>
      </c>
      <c r="AJ120" s="70" t="s">
        <v>387</v>
      </c>
      <c r="AK120" s="70" t="s">
        <v>610</v>
      </c>
      <c r="AL120" s="70" t="s">
        <v>480</v>
      </c>
      <c r="AM120" s="70" t="s">
        <v>611</v>
      </c>
      <c r="AO120" s="26" t="s">
        <v>476</v>
      </c>
      <c r="AP120" s="70" t="str">
        <f t="shared" si="87"/>
        <v>Industry-Chemicals-boiler/process heating -  - Heat Pump New</v>
      </c>
      <c r="AQ120" s="245" t="s">
        <v>387</v>
      </c>
      <c r="AR120" s="70" t="s">
        <v>631</v>
      </c>
      <c r="AS120" s="70" t="s">
        <v>632</v>
      </c>
      <c r="AV120" s="72" t="s">
        <v>476</v>
      </c>
      <c r="AW120" s="72" t="str">
        <f t="shared" si="73"/>
        <v>*</v>
      </c>
      <c r="AX120" s="254" t="s">
        <v>387</v>
      </c>
      <c r="AY120" s="266">
        <f t="shared" si="74"/>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2">S121*T$75</f>
        <v>0</v>
      </c>
      <c r="U121" s="77">
        <f t="shared" si="92"/>
        <v>0</v>
      </c>
      <c r="V121" s="77">
        <f t="shared" si="92"/>
        <v>0</v>
      </c>
      <c r="W121" s="74"/>
      <c r="Y121" s="74"/>
      <c r="Z121" s="14"/>
      <c r="AE121" s="13"/>
      <c r="AH121" t="str">
        <f t="shared" si="70"/>
        <v>ICPSHGN-N</v>
      </c>
      <c r="AI121" t="str">
        <f t="shared" si="71"/>
        <v>Industry-Chemicals-boiler/process heating - Hydrogen - New</v>
      </c>
      <c r="AJ121" s="70" t="s">
        <v>387</v>
      </c>
      <c r="AK121" s="70" t="s">
        <v>610</v>
      </c>
      <c r="AL121" s="70" t="s">
        <v>480</v>
      </c>
      <c r="AM121" s="70" t="s">
        <v>611</v>
      </c>
      <c r="AO121" s="26" t="s">
        <v>476</v>
      </c>
      <c r="AP121" s="70" t="str">
        <f t="shared" si="87"/>
        <v>Industry-Chemicals-boiler/process heating - Hydrogen - New</v>
      </c>
      <c r="AQ121" s="245" t="s">
        <v>387</v>
      </c>
      <c r="AR121" s="70" t="s">
        <v>631</v>
      </c>
      <c r="AS121" s="70" t="s">
        <v>480</v>
      </c>
      <c r="AV121" s="72" t="s">
        <v>476</v>
      </c>
      <c r="AW121" s="72" t="str">
        <f t="shared" si="73"/>
        <v>*</v>
      </c>
      <c r="AX121" s="254" t="s">
        <v>387</v>
      </c>
      <c r="AY121" s="266">
        <f t="shared" si="74"/>
        <v>338.97013191086643</v>
      </c>
    </row>
    <row r="122" spans="1:51">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J122" s="61">
        <v>1</v>
      </c>
      <c r="K122" s="60">
        <f>J122*INDEX($C$10:$L$19,MATCH(B103,$B$10:$B$19,0),MATCH($B$6&amp;RIGHT(C122,3),$C$6:$L$6,0))</f>
        <v>0</v>
      </c>
      <c r="L122" s="60">
        <f t="shared" si="80"/>
        <v>0</v>
      </c>
      <c r="N122" s="78">
        <f t="shared" si="81"/>
        <v>0</v>
      </c>
      <c r="O122" s="77">
        <f t="shared" si="82"/>
        <v>0.5</v>
      </c>
      <c r="P122" s="77">
        <f t="shared" si="82"/>
        <v>1</v>
      </c>
      <c r="Q122" s="77">
        <f t="shared" si="82"/>
        <v>1</v>
      </c>
      <c r="R122" s="77"/>
      <c r="S122" s="78">
        <f t="shared" si="83"/>
        <v>0</v>
      </c>
      <c r="T122" s="77">
        <f t="shared" ref="T122:V122" si="93">S122*T$75</f>
        <v>0</v>
      </c>
      <c r="U122" s="77">
        <f t="shared" si="93"/>
        <v>0</v>
      </c>
      <c r="V122" s="77">
        <f t="shared" si="93"/>
        <v>0</v>
      </c>
      <c r="W122" s="74"/>
      <c r="Y122" s="74"/>
      <c r="Z122" s="14"/>
      <c r="AE122" s="13"/>
      <c r="AH122" t="str">
        <f t="shared" si="70"/>
        <v>ICPSWAS-E</v>
      </c>
      <c r="AI122" t="str">
        <f t="shared" si="71"/>
        <v>Industry-Chemicals-boiler/process heating -  - Existing</v>
      </c>
      <c r="AJ122" s="70" t="s">
        <v>387</v>
      </c>
      <c r="AK122" s="70" t="s">
        <v>610</v>
      </c>
      <c r="AL122" s="70" t="s">
        <v>480</v>
      </c>
      <c r="AM122" s="70" t="s">
        <v>611</v>
      </c>
      <c r="AO122" s="26" t="s">
        <v>476</v>
      </c>
      <c r="AP122" s="70" t="str">
        <f t="shared" si="87"/>
        <v>Industry-Chemicals-boiler/process heating -  - Existing</v>
      </c>
      <c r="AQ122" s="245" t="s">
        <v>387</v>
      </c>
      <c r="AR122" s="70" t="s">
        <v>631</v>
      </c>
      <c r="AS122" s="70" t="s">
        <v>480</v>
      </c>
      <c r="AV122" s="72" t="s">
        <v>476</v>
      </c>
      <c r="AW122" s="72" t="str">
        <f t="shared" si="73"/>
        <v>*</v>
      </c>
      <c r="AX122" s="254" t="s">
        <v>387</v>
      </c>
      <c r="AY122" s="266">
        <f t="shared" si="74"/>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3"/>
        <v>*</v>
      </c>
      <c r="AX123" s="254" t="s">
        <v>387</v>
      </c>
      <c r="AY123" s="266">
        <f t="shared" si="74"/>
        <v>338.97013191086643</v>
      </c>
    </row>
    <row r="124" spans="1:51" ht="15">
      <c r="A124" s="45" t="str">
        <f>A$5&amp;"-"&amp;A$14&amp;"-"&amp;A$71&amp;" - "&amp;VLOOKUP(RIGHT(C124,3),NameConv!$E$4:$G$20,2,FALSE)&amp;" - Existing"</f>
        <v>Industry-Chemicals-Non-Energy Use -  - Existing</v>
      </c>
      <c r="B124" s="45" t="str">
        <f>D124&amp;RIGHT(C124,3)&amp;"-E"</f>
        <v>ICPTGMU-E</v>
      </c>
      <c r="C124" s="213" t="s">
        <v>470</v>
      </c>
      <c r="D124" s="46" t="str">
        <f>$B$5&amp;RIGHT($B103,2)&amp;$B$71</f>
        <v>ICPT</v>
      </c>
      <c r="E124" s="87">
        <v>1</v>
      </c>
      <c r="F124" s="60">
        <v>1</v>
      </c>
      <c r="G124" s="59">
        <v>100</v>
      </c>
      <c r="H124" s="60">
        <f>L124/F124</f>
        <v>26.6</v>
      </c>
      <c r="J124" s="61">
        <f>1-J116</f>
        <v>0</v>
      </c>
      <c r="K124" s="221">
        <v>26.6</v>
      </c>
      <c r="L124" s="60">
        <f>K124*E124</f>
        <v>26.6</v>
      </c>
      <c r="N124" s="78">
        <f>L124/(SUMIF($D$81:$D$187,$D124,$L$81:$L$187)+$P$76)</f>
        <v>1</v>
      </c>
      <c r="O124" s="77">
        <f t="shared" si="82"/>
        <v>1</v>
      </c>
      <c r="P124" s="77">
        <f t="shared" si="82"/>
        <v>1</v>
      </c>
      <c r="Q124" s="77">
        <f t="shared" si="82"/>
        <v>1</v>
      </c>
      <c r="R124" s="77"/>
      <c r="S124" s="78">
        <f t="shared" ref="S124" si="94">N124</f>
        <v>1</v>
      </c>
      <c r="T124" s="77">
        <f>S124*T$75</f>
        <v>0.9</v>
      </c>
      <c r="U124" s="77">
        <f t="shared" ref="U124:V124" si="95">T124*U$75</f>
        <v>0</v>
      </c>
      <c r="V124" s="77">
        <f t="shared" si="95"/>
        <v>0</v>
      </c>
      <c r="W124" s="74"/>
      <c r="X124" s="77"/>
      <c r="Y124" s="74"/>
      <c r="Z124" s="14"/>
      <c r="AE124" s="13"/>
      <c r="AH124" t="str">
        <f t="shared" si="70"/>
        <v>ICPTGMU-E</v>
      </c>
      <c r="AI124" t="str">
        <f t="shared" si="71"/>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3"/>
        <v>ICPT</v>
      </c>
      <c r="AX124" s="254" t="s">
        <v>387</v>
      </c>
      <c r="AY124" s="266">
        <f t="shared" si="74"/>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3"/>
        <v>*</v>
      </c>
      <c r="AX125" s="254" t="s">
        <v>387</v>
      </c>
      <c r="AY125" s="266">
        <f t="shared" si="74"/>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3"/>
        <v>*</v>
      </c>
      <c r="AX126" s="254" t="s">
        <v>387</v>
      </c>
      <c r="AY126" s="266">
        <f t="shared" si="74"/>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3"/>
        <v>*</v>
      </c>
      <c r="AX127" s="254" t="s">
        <v>387</v>
      </c>
      <c r="AY127" s="266">
        <f t="shared" si="74"/>
        <v>338.97013191086643</v>
      </c>
    </row>
    <row r="128" spans="1:51">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J128" s="61">
        <v>1</v>
      </c>
      <c r="K128" s="60">
        <f t="shared" ref="K128:K136" si="98">J128*SUMIF($C$60:$K$60,$B$126,$C61:$K61)</f>
        <v>0.10062942167027458</v>
      </c>
      <c r="L128" s="60">
        <f>K128*E128</f>
        <v>0.10062942167027458</v>
      </c>
      <c r="N128" s="74" t="str">
        <f>""</f>
        <v/>
      </c>
      <c r="S128" s="78"/>
      <c r="T128" s="74"/>
      <c r="U128" s="74"/>
      <c r="V128" s="74"/>
      <c r="W128" s="74"/>
      <c r="Y128" s="74"/>
      <c r="Z128" s="14"/>
      <c r="AE128" s="13"/>
      <c r="AH128" t="str">
        <f t="shared" si="70"/>
        <v>INFKELC-E</v>
      </c>
      <c r="AI128" t="str">
        <f t="shared" si="71"/>
        <v>Industry-Precious &amp; Non-Ferrous metals-Elec Heating - Electricity</v>
      </c>
      <c r="AJ128" s="70" t="s">
        <v>387</v>
      </c>
      <c r="AK128" s="70" t="s">
        <v>610</v>
      </c>
      <c r="AL128" s="70" t="s">
        <v>480</v>
      </c>
      <c r="AM128" s="70" t="s">
        <v>611</v>
      </c>
      <c r="AO128" s="70" t="str">
        <f t="shared" ref="AO128:AO136" si="99">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3"/>
        <v>INFK</v>
      </c>
      <c r="AX128" s="254" t="s">
        <v>387</v>
      </c>
      <c r="AY128" s="266">
        <f t="shared" si="74"/>
        <v>0.10062942167027458</v>
      </c>
    </row>
    <row r="129" spans="1:51">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0">L129/F129</f>
        <v>0</v>
      </c>
      <c r="J129" s="61">
        <v>1</v>
      </c>
      <c r="K129" s="60">
        <f t="shared" si="98"/>
        <v>0</v>
      </c>
      <c r="L129" s="60">
        <f t="shared" ref="L129:L136" si="101">K129*E129</f>
        <v>0</v>
      </c>
      <c r="N129" s="74" t="str">
        <f>""</f>
        <v/>
      </c>
      <c r="S129" s="78"/>
      <c r="T129" s="74"/>
      <c r="U129" s="74"/>
      <c r="V129" s="74"/>
      <c r="W129" s="74"/>
      <c r="Y129" s="74"/>
      <c r="Z129" s="14"/>
      <c r="AE129" s="13"/>
      <c r="AH129" t="str">
        <f t="shared" si="70"/>
        <v>INFAELC-E</v>
      </c>
      <c r="AI129" t="str">
        <f t="shared" si="71"/>
        <v>Industry-Precious &amp; Non-Ferrous metals-Compressed air - Electricity</v>
      </c>
      <c r="AJ129" s="70" t="s">
        <v>387</v>
      </c>
      <c r="AK129" s="70" t="s">
        <v>610</v>
      </c>
      <c r="AL129" s="70" t="s">
        <v>480</v>
      </c>
      <c r="AM129" s="70" t="s">
        <v>611</v>
      </c>
      <c r="AO129" s="70" t="str">
        <f t="shared" si="99"/>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3"/>
        <v>INFA</v>
      </c>
      <c r="AX129" s="254" t="s">
        <v>387</v>
      </c>
      <c r="AY129" s="266">
        <f t="shared" si="74"/>
        <v>0</v>
      </c>
    </row>
    <row r="130" spans="1:51">
      <c r="A130" s="45" t="str">
        <f t="shared" si="96"/>
        <v>Industry-Precious &amp; Non-Ferrous metals-Lighting - Electricity</v>
      </c>
      <c r="B130" s="45" t="str">
        <f t="shared" ref="B130:B136" si="102">D130&amp;RIGHT(C130,3)&amp;"-E"</f>
        <v>INFLELC-E</v>
      </c>
      <c r="C130" s="46" t="str">
        <f t="shared" si="97"/>
        <v>INFELC</v>
      </c>
      <c r="D130" s="46" t="str">
        <f>$B$5&amp;RIGHT($B126,2)&amp;$B$63</f>
        <v>INFL</v>
      </c>
      <c r="E130" s="58">
        <f>Methodology!C30</f>
        <v>0.3</v>
      </c>
      <c r="F130" s="60">
        <f>SUMIF(AFA!$C$3:$L$3,RIGHT(D130,1),AFA!$C$4:$L$4)</f>
        <v>0.12454999999999999</v>
      </c>
      <c r="G130" s="59">
        <v>100</v>
      </c>
      <c r="H130" s="60">
        <f t="shared" si="100"/>
        <v>0.24238319149805199</v>
      </c>
      <c r="J130" s="61">
        <v>1</v>
      </c>
      <c r="K130" s="60">
        <f t="shared" si="98"/>
        <v>0.10062942167027458</v>
      </c>
      <c r="L130" s="60">
        <f t="shared" si="101"/>
        <v>3.0188826501082372E-2</v>
      </c>
      <c r="N130" s="74" t="str">
        <f>""</f>
        <v/>
      </c>
      <c r="S130" s="78"/>
      <c r="T130" s="74"/>
      <c r="U130" s="74"/>
      <c r="V130" s="74"/>
      <c r="W130" s="74"/>
      <c r="Y130" s="74"/>
      <c r="Z130" s="14"/>
      <c r="AE130" s="13"/>
      <c r="AH130" t="str">
        <f t="shared" si="70"/>
        <v>INFLELC-E</v>
      </c>
      <c r="AI130" t="str">
        <f t="shared" si="71"/>
        <v>Industry-Precious &amp; Non-Ferrous metals-Lighting - Electricity</v>
      </c>
      <c r="AJ130" s="70" t="s">
        <v>387</v>
      </c>
      <c r="AK130" s="70" t="s">
        <v>610</v>
      </c>
      <c r="AL130" s="70" t="s">
        <v>480</v>
      </c>
      <c r="AM130" s="70" t="s">
        <v>611</v>
      </c>
      <c r="AO130" s="70" t="str">
        <f t="shared" si="99"/>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3"/>
        <v>INFL</v>
      </c>
      <c r="AX130" s="254" t="s">
        <v>387</v>
      </c>
      <c r="AY130" s="266">
        <f t="shared" si="74"/>
        <v>3.0188826501082372E-2</v>
      </c>
    </row>
    <row r="131" spans="1:51">
      <c r="A131" s="45" t="str">
        <f t="shared" si="96"/>
        <v>Industry-Precious &amp; Non-Ferrous metals-Cooling - Electricity</v>
      </c>
      <c r="B131" s="45" t="str">
        <f t="shared" si="102"/>
        <v>INFCELC-E</v>
      </c>
      <c r="C131" s="46" t="str">
        <f t="shared" si="97"/>
        <v>INFELC</v>
      </c>
      <c r="D131" s="46" t="str">
        <f>$B$5&amp;RIGHT($B126,2)&amp;$B$64</f>
        <v>INFC</v>
      </c>
      <c r="E131" s="58">
        <f>Methodology!C31</f>
        <v>2</v>
      </c>
      <c r="F131" s="60">
        <f>SUMIF(AFA!$C$3:$L$3,RIGHT(D131,1),AFA!$C$4:$L$4)</f>
        <v>0.12956000000000001</v>
      </c>
      <c r="G131" s="59">
        <v>100</v>
      </c>
      <c r="H131" s="60">
        <f t="shared" si="100"/>
        <v>0</v>
      </c>
      <c r="J131" s="61">
        <v>1</v>
      </c>
      <c r="K131" s="60">
        <f t="shared" si="98"/>
        <v>0</v>
      </c>
      <c r="L131" s="60">
        <f t="shared" si="101"/>
        <v>0</v>
      </c>
      <c r="N131" s="74" t="str">
        <f>""</f>
        <v/>
      </c>
      <c r="S131" s="78"/>
      <c r="T131" s="74"/>
      <c r="U131" s="74"/>
      <c r="V131" s="74"/>
      <c r="W131" s="74"/>
      <c r="Y131" s="74"/>
      <c r="Z131" s="14"/>
      <c r="AE131" s="13"/>
      <c r="AH131" t="str">
        <f t="shared" si="70"/>
        <v>INFCELC-E</v>
      </c>
      <c r="AI131" t="str">
        <f t="shared" si="71"/>
        <v>Industry-Precious &amp; Non-Ferrous metals-Cooling - Electricity</v>
      </c>
      <c r="AJ131" s="70" t="s">
        <v>387</v>
      </c>
      <c r="AK131" s="70" t="s">
        <v>610</v>
      </c>
      <c r="AL131" s="70" t="s">
        <v>480</v>
      </c>
      <c r="AM131" s="70" t="s">
        <v>611</v>
      </c>
      <c r="AO131" s="70" t="str">
        <f t="shared" si="99"/>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3"/>
        <v>INFC</v>
      </c>
      <c r="AX131" s="254" t="s">
        <v>387</v>
      </c>
      <c r="AY131" s="266">
        <f t="shared" si="74"/>
        <v>0</v>
      </c>
    </row>
    <row r="132" spans="1:51">
      <c r="A132" s="45" t="str">
        <f t="shared" si="96"/>
        <v>Industry-Precious &amp; Non-Ferrous metals-HVAC - Electricity</v>
      </c>
      <c r="B132" s="45" t="str">
        <f t="shared" si="102"/>
        <v>INFHELC-E</v>
      </c>
      <c r="C132" s="46" t="str">
        <f t="shared" si="97"/>
        <v>INFELC</v>
      </c>
      <c r="D132" s="46" t="str">
        <f>$B$5&amp;RIGHT($B126,2)&amp;$B$65</f>
        <v>INFH</v>
      </c>
      <c r="E132" s="58">
        <f>Methodology!C32</f>
        <v>0.9</v>
      </c>
      <c r="F132" s="60">
        <f>SUMIF(AFA!$C$3:$L$3,RIGHT(D132,1),AFA!$C$4:$L$4)</f>
        <v>0.13161</v>
      </c>
      <c r="G132" s="59">
        <v>100</v>
      </c>
      <c r="H132" s="60">
        <f t="shared" si="100"/>
        <v>0.68814284251384494</v>
      </c>
      <c r="J132" s="61">
        <v>1</v>
      </c>
      <c r="K132" s="60">
        <f t="shared" si="98"/>
        <v>0.10062942167027458</v>
      </c>
      <c r="L132" s="60">
        <f t="shared" si="101"/>
        <v>9.056647950324713E-2</v>
      </c>
      <c r="N132" s="74" t="str">
        <f>""</f>
        <v/>
      </c>
      <c r="S132" s="78"/>
      <c r="T132" s="74"/>
      <c r="U132" s="74"/>
      <c r="V132" s="74"/>
      <c r="W132" s="74"/>
      <c r="Y132" s="74"/>
      <c r="Z132" s="14"/>
      <c r="AE132" s="13"/>
      <c r="AH132" t="str">
        <f t="shared" si="70"/>
        <v>INFHELC-E</v>
      </c>
      <c r="AI132" t="str">
        <f t="shared" si="71"/>
        <v>Industry-Precious &amp; Non-Ferrous metals-HVAC - Electricity</v>
      </c>
      <c r="AJ132" s="70" t="s">
        <v>387</v>
      </c>
      <c r="AK132" s="70" t="s">
        <v>610</v>
      </c>
      <c r="AL132" s="70" t="s">
        <v>480</v>
      </c>
      <c r="AM132" s="70" t="s">
        <v>611</v>
      </c>
      <c r="AO132" s="70" t="str">
        <f t="shared" si="99"/>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3"/>
        <v>INFH</v>
      </c>
      <c r="AX132" s="254" t="s">
        <v>387</v>
      </c>
      <c r="AY132" s="266">
        <f t="shared" si="74"/>
        <v>9.056647950324713E-2</v>
      </c>
    </row>
    <row r="133" spans="1:51">
      <c r="A133" s="45" t="str">
        <f t="shared" si="96"/>
        <v>Industry-Precious &amp; Non-Ferrous metals-Pumping - Electricity</v>
      </c>
      <c r="B133" s="45" t="str">
        <f t="shared" si="102"/>
        <v>INFPELC-E</v>
      </c>
      <c r="C133" s="46" t="str">
        <f t="shared" si="97"/>
        <v>INFELC</v>
      </c>
      <c r="D133" s="46" t="str">
        <f>$B$5&amp;RIGHT($B126,2)&amp;$B$66</f>
        <v>INFP</v>
      </c>
      <c r="E133" s="58">
        <f>Methodology!C33</f>
        <v>0.8</v>
      </c>
      <c r="F133" s="60">
        <f>SUMIF(AFA!$C$3:$L$3,RIGHT(D133,1),AFA!$C$4:$L$4)</f>
        <v>0.12116</v>
      </c>
      <c r="G133" s="59">
        <v>100</v>
      </c>
      <c r="H133" s="60">
        <f t="shared" si="100"/>
        <v>0</v>
      </c>
      <c r="J133" s="61">
        <v>1</v>
      </c>
      <c r="K133" s="60">
        <f t="shared" si="98"/>
        <v>0</v>
      </c>
      <c r="L133" s="60">
        <f t="shared" si="101"/>
        <v>0</v>
      </c>
      <c r="N133" s="74" t="str">
        <f>""</f>
        <v/>
      </c>
      <c r="S133" s="78"/>
      <c r="T133" s="74"/>
      <c r="U133" s="74"/>
      <c r="V133" s="74"/>
      <c r="W133" s="74"/>
      <c r="Y133" s="74"/>
      <c r="Z133" s="14"/>
      <c r="AE133" s="13"/>
      <c r="AH133" t="str">
        <f t="shared" si="70"/>
        <v>INFPELC-E</v>
      </c>
      <c r="AI133" t="str">
        <f t="shared" si="71"/>
        <v>Industry-Precious &amp; Non-Ferrous metals-Pumping - Electricity</v>
      </c>
      <c r="AJ133" s="70" t="s">
        <v>387</v>
      </c>
      <c r="AK133" s="70" t="s">
        <v>610</v>
      </c>
      <c r="AL133" s="70" t="s">
        <v>480</v>
      </c>
      <c r="AM133" s="70" t="s">
        <v>611</v>
      </c>
      <c r="AO133" s="70" t="str">
        <f t="shared" si="99"/>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3"/>
        <v>INFP</v>
      </c>
      <c r="AX133" s="254" t="s">
        <v>387</v>
      </c>
      <c r="AY133" s="266">
        <f t="shared" si="74"/>
        <v>0</v>
      </c>
    </row>
    <row r="134" spans="1:51">
      <c r="A134" s="45" t="str">
        <f t="shared" si="96"/>
        <v>Industry-Precious &amp; Non-Ferrous metals-Fans - Electricity</v>
      </c>
      <c r="B134" s="45" t="str">
        <f t="shared" si="102"/>
        <v>INFFELC-E</v>
      </c>
      <c r="C134" s="46" t="str">
        <f t="shared" si="97"/>
        <v>INFELC</v>
      </c>
      <c r="D134" s="46" t="str">
        <f>$B$5&amp;RIGHT($B126,2)&amp;$B$67</f>
        <v>INFF</v>
      </c>
      <c r="E134" s="58">
        <f>Methodology!C34</f>
        <v>0.8</v>
      </c>
      <c r="F134" s="60">
        <f>SUMIF(AFA!$C$3:$L$3,RIGHT(D134,1),AFA!$C$4:$L$4)</f>
        <v>0.10936999999999999</v>
      </c>
      <c r="G134" s="59">
        <v>100</v>
      </c>
      <c r="H134" s="60">
        <f t="shared" si="100"/>
        <v>0</v>
      </c>
      <c r="J134" s="61">
        <v>1</v>
      </c>
      <c r="K134" s="60">
        <f t="shared" si="98"/>
        <v>0</v>
      </c>
      <c r="L134" s="60">
        <f t="shared" si="101"/>
        <v>0</v>
      </c>
      <c r="N134" s="74" t="str">
        <f>""</f>
        <v/>
      </c>
      <c r="S134" s="78"/>
      <c r="T134" s="74"/>
      <c r="U134" s="74"/>
      <c r="V134" s="74"/>
      <c r="W134" s="74"/>
      <c r="Y134" s="74"/>
      <c r="Z134" s="14"/>
      <c r="AE134" s="13"/>
      <c r="AH134" t="str">
        <f t="shared" si="70"/>
        <v>INFFELC-E</v>
      </c>
      <c r="AI134" t="str">
        <f t="shared" si="71"/>
        <v>Industry-Precious &amp; Non-Ferrous metals-Fans - Electricity</v>
      </c>
      <c r="AJ134" s="70" t="s">
        <v>387</v>
      </c>
      <c r="AK134" s="70" t="s">
        <v>610</v>
      </c>
      <c r="AL134" s="70" t="s">
        <v>480</v>
      </c>
      <c r="AM134" s="70" t="s">
        <v>611</v>
      </c>
      <c r="AO134" s="70" t="str">
        <f t="shared" si="99"/>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3"/>
        <v>INFF</v>
      </c>
      <c r="AX134" s="254" t="s">
        <v>387</v>
      </c>
      <c r="AY134" s="266">
        <f t="shared" si="74"/>
        <v>0</v>
      </c>
    </row>
    <row r="135" spans="1:51">
      <c r="A135" s="45" t="str">
        <f t="shared" si="96"/>
        <v>Industry-Precious &amp; Non-Ferrous metals-Other motive - Electricity</v>
      </c>
      <c r="B135" s="45" t="str">
        <f t="shared" si="102"/>
        <v>INFOELC-E</v>
      </c>
      <c r="C135" s="46" t="str">
        <f t="shared" si="97"/>
        <v>INFELC</v>
      </c>
      <c r="D135" s="46" t="str">
        <f>$B$5&amp;RIGHT($B126,2)&amp;$B$68</f>
        <v>INFO</v>
      </c>
      <c r="E135" s="58">
        <f>Methodology!C35</f>
        <v>0.8</v>
      </c>
      <c r="F135" s="60">
        <f>SUMIF(AFA!$C$3:$L$3,RIGHT(D135,1),AFA!$C$4:$L$4)</f>
        <v>0.13081999999999999</v>
      </c>
      <c r="G135" s="59">
        <v>100</v>
      </c>
      <c r="H135" s="60">
        <f t="shared" si="100"/>
        <v>4.307634622791146</v>
      </c>
      <c r="J135" s="61">
        <v>1</v>
      </c>
      <c r="K135" s="60">
        <f t="shared" si="98"/>
        <v>0.70440595169192211</v>
      </c>
      <c r="L135" s="60">
        <f t="shared" si="101"/>
        <v>0.56352476135353768</v>
      </c>
      <c r="N135" s="74" t="str">
        <f>""</f>
        <v/>
      </c>
      <c r="S135" s="78"/>
      <c r="T135" s="74"/>
      <c r="U135" s="74"/>
      <c r="V135" s="74"/>
      <c r="W135" s="74"/>
      <c r="Y135" s="74"/>
      <c r="Z135" s="14"/>
      <c r="AE135" s="13"/>
      <c r="AH135" t="str">
        <f t="shared" si="70"/>
        <v>INFOELC-E</v>
      </c>
      <c r="AI135" t="str">
        <f t="shared" si="71"/>
        <v>Industry-Precious &amp; Non-Ferrous metals-Other motive - Electricity</v>
      </c>
      <c r="AJ135" s="70" t="s">
        <v>387</v>
      </c>
      <c r="AK135" s="70" t="s">
        <v>610</v>
      </c>
      <c r="AL135" s="70" t="s">
        <v>480</v>
      </c>
      <c r="AM135" s="70" t="s">
        <v>611</v>
      </c>
      <c r="AO135" s="70" t="str">
        <f t="shared" si="99"/>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3"/>
        <v>INFO</v>
      </c>
      <c r="AX135" s="254" t="s">
        <v>387</v>
      </c>
      <c r="AY135" s="266">
        <f t="shared" si="74"/>
        <v>0.56352476135353768</v>
      </c>
    </row>
    <row r="136" spans="1:51">
      <c r="A136" s="45" t="str">
        <f t="shared" si="96"/>
        <v>Industry-Precious &amp; Non-Ferrous metals-Electrochemical - Electricity</v>
      </c>
      <c r="B136" s="45" t="str">
        <f t="shared" si="102"/>
        <v>INFEELC-E</v>
      </c>
      <c r="C136" s="46" t="str">
        <f t="shared" si="97"/>
        <v>INFELC</v>
      </c>
      <c r="D136" s="46" t="str">
        <f>$B$5&amp;RIGHT($B126,2)&amp;$B$69</f>
        <v>INFE</v>
      </c>
      <c r="E136" s="58">
        <f>Methodology!C27</f>
        <v>0.76</v>
      </c>
      <c r="F136" s="60">
        <f>SUMIF(AFA!$C$3:$L$3,RIGHT(D136,1),AFA!$C$4:$L$4)</f>
        <v>0.13233</v>
      </c>
      <c r="G136" s="59">
        <v>100</v>
      </c>
      <c r="H136" s="60">
        <f t="shared" si="100"/>
        <v>52.014300931359337</v>
      </c>
      <c r="J136" s="61">
        <v>1</v>
      </c>
      <c r="K136" s="60">
        <f t="shared" si="98"/>
        <v>9.056647950324713</v>
      </c>
      <c r="L136" s="60">
        <f t="shared" si="101"/>
        <v>6.8830524422467816</v>
      </c>
      <c r="N136" s="74" t="str">
        <f>""</f>
        <v/>
      </c>
      <c r="S136" s="78"/>
      <c r="T136" s="74"/>
      <c r="U136" s="74"/>
      <c r="V136" s="74"/>
      <c r="W136" s="74"/>
      <c r="Y136" s="74"/>
      <c r="Z136" s="14"/>
      <c r="AE136" s="13"/>
      <c r="AH136" t="str">
        <f t="shared" si="70"/>
        <v>INFEELC-E</v>
      </c>
      <c r="AI136" t="str">
        <f t="shared" si="71"/>
        <v>Industry-Precious &amp; Non-Ferrous metals-Electrochemical - Electricity</v>
      </c>
      <c r="AJ136" s="70" t="s">
        <v>387</v>
      </c>
      <c r="AK136" s="70" t="s">
        <v>610</v>
      </c>
      <c r="AL136" s="70" t="s">
        <v>480</v>
      </c>
      <c r="AM136" s="70" t="s">
        <v>611</v>
      </c>
      <c r="AO136" s="70" t="str">
        <f t="shared" si="99"/>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3"/>
        <v>INFE</v>
      </c>
      <c r="AX136" s="254" t="s">
        <v>387</v>
      </c>
      <c r="AY136" s="266">
        <f t="shared" si="74"/>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3"/>
        <v>*</v>
      </c>
      <c r="AX137" s="254" t="s">
        <v>387</v>
      </c>
      <c r="AY137" s="266">
        <f t="shared" si="74"/>
        <v>338.97013191086643</v>
      </c>
    </row>
    <row r="138" spans="1:51">
      <c r="A138" s="45" t="str">
        <f>A$5&amp;"-"&amp;A$15&amp;"-"&amp;A$70&amp;" - "&amp;VLOOKUP(RIGHT(C138,3),NameConv!$E$4:$G$20,2,FALSE)&amp;" - Existing"</f>
        <v>Industry-Precious &amp; Non-Ferrous metals-boiler/process heating -  - Existing</v>
      </c>
      <c r="B138" s="45" t="str">
        <f t="shared" ref="B138:B143" si="103">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4">L138/F138</f>
        <v>1.8710053801776108</v>
      </c>
      <c r="J138" s="61">
        <v>1</v>
      </c>
      <c r="K138" s="60">
        <f>J138*INDEX($C$10:$L$19,MATCH(B126,$B$10:$B$19,0),MATCH($B$6&amp;RIGHT(C138,3),$C$6:$L$6,0))</f>
        <v>0.45100000000000001</v>
      </c>
      <c r="L138" s="60">
        <f t="shared" ref="L138:L143" si="105">K138*E138</f>
        <v>0.28864000000000001</v>
      </c>
      <c r="N138" s="78">
        <f t="shared" ref="N138:N143" si="106">L138/(SUMIF($D$81:$D$187,$D138,$L$81:$L$187)+$P$76)</f>
        <v>0.15100025110906504</v>
      </c>
      <c r="O138" s="77">
        <f t="shared" ref="O138:Q143" si="107">MIN(1,$N138+O$75)</f>
        <v>0.65100025110906501</v>
      </c>
      <c r="P138" s="77">
        <f t="shared" si="107"/>
        <v>1</v>
      </c>
      <c r="Q138" s="77">
        <f t="shared" si="107"/>
        <v>1</v>
      </c>
      <c r="R138" s="77"/>
      <c r="S138" s="78">
        <f t="shared" ref="S138:S143" si="108">N138</f>
        <v>0.15100025110906504</v>
      </c>
      <c r="T138" s="77">
        <f t="shared" ref="T138:V138" si="109">S138*T$75</f>
        <v>0.13590022599815854</v>
      </c>
      <c r="U138" s="77">
        <f t="shared" si="109"/>
        <v>0</v>
      </c>
      <c r="V138" s="77">
        <f t="shared" si="109"/>
        <v>0</v>
      </c>
      <c r="W138" s="74"/>
      <c r="Y138" s="74"/>
      <c r="Z138" s="14"/>
      <c r="AE138" s="13"/>
      <c r="AH138" t="str">
        <f t="shared" si="70"/>
        <v>INFSCOA-E</v>
      </c>
      <c r="AI138" t="str">
        <f t="shared" si="71"/>
        <v>Industry-Precious &amp; Non-Ferrous metals-boiler/process heating -  - Existing</v>
      </c>
      <c r="AJ138" s="70" t="s">
        <v>387</v>
      </c>
      <c r="AK138" s="70" t="s">
        <v>610</v>
      </c>
      <c r="AL138" s="70" t="s">
        <v>480</v>
      </c>
      <c r="AM138" s="70" t="s">
        <v>611</v>
      </c>
      <c r="AO138" s="70" t="str">
        <f t="shared" ref="AO138" si="110">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3"/>
        <v>INFS</v>
      </c>
      <c r="AX138" s="254" t="s">
        <v>387</v>
      </c>
      <c r="AY138" s="266">
        <f t="shared" si="74"/>
        <v>1.9115199999999999</v>
      </c>
    </row>
    <row r="139" spans="1:51">
      <c r="A139" s="45" t="str">
        <f>A$5&amp;"-"&amp;A$15&amp;"-"&amp;A$70&amp;" - "&amp;VLOOKUP(RIGHT(C139,3),NameConv!$E$4:$G$20,2,FALSE)&amp;" - Existing"</f>
        <v>Industry-Precious &amp; Non-Ferrous metals-boiler/process heating -  - Existing</v>
      </c>
      <c r="B139" s="45" t="str">
        <f t="shared" si="103"/>
        <v>INFSGAS-E</v>
      </c>
      <c r="C139" s="46" t="str">
        <f>G6</f>
        <v>INDGAS</v>
      </c>
      <c r="D139" s="46" t="str">
        <f>$B$5&amp;RIGHT($B126,2)&amp;$B$70</f>
        <v>INFS</v>
      </c>
      <c r="E139" s="58">
        <f>Methodology!C41</f>
        <v>0.72</v>
      </c>
      <c r="F139" s="60">
        <f>SUMIF(AFA!$C$3:$L$3,RIGHT(D139,1),AFA!$C$4:$L$4)</f>
        <v>0.15426999999999999</v>
      </c>
      <c r="G139" s="59">
        <v>100</v>
      </c>
      <c r="H139" s="60">
        <f t="shared" si="104"/>
        <v>10.519738121475335</v>
      </c>
      <c r="J139" s="61">
        <v>1</v>
      </c>
      <c r="K139" s="60">
        <f>J139*INDEX($C$10:$L$19,MATCH(B126,$B$10:$B$19,0),MATCH($B$6&amp;RIGHT(C139,3),$C$6:$L$6,0))</f>
        <v>2.254</v>
      </c>
      <c r="L139" s="60">
        <f t="shared" si="105"/>
        <v>1.6228799999999999</v>
      </c>
      <c r="N139" s="78">
        <f t="shared" si="106"/>
        <v>0.84899974889093499</v>
      </c>
      <c r="O139" s="77">
        <f t="shared" si="107"/>
        <v>1</v>
      </c>
      <c r="P139" s="77">
        <f t="shared" si="107"/>
        <v>1</v>
      </c>
      <c r="Q139" s="77">
        <f t="shared" si="107"/>
        <v>1</v>
      </c>
      <c r="R139" s="77"/>
      <c r="S139" s="78">
        <f t="shared" si="108"/>
        <v>0.84899974889093499</v>
      </c>
      <c r="T139" s="77">
        <f t="shared" ref="T139:V139" si="111">S139*T$75</f>
        <v>0.76409977400184148</v>
      </c>
      <c r="U139" s="77">
        <f t="shared" si="111"/>
        <v>0</v>
      </c>
      <c r="V139" s="77">
        <f t="shared" si="111"/>
        <v>0</v>
      </c>
      <c r="W139" s="74"/>
      <c r="Y139" s="74"/>
      <c r="Z139" s="14"/>
      <c r="AE139" s="13"/>
      <c r="AH139" t="str">
        <f t="shared" si="70"/>
        <v>INFSGAS-E</v>
      </c>
      <c r="AI139" t="str">
        <f t="shared" si="71"/>
        <v>Industry-Precious &amp; Non-Ferrous metals-boiler/process heating -  - Existing</v>
      </c>
      <c r="AJ139" s="70" t="s">
        <v>387</v>
      </c>
      <c r="AK139" s="70" t="s">
        <v>610</v>
      </c>
      <c r="AL139" s="70" t="s">
        <v>480</v>
      </c>
      <c r="AM139" s="70" t="s">
        <v>611</v>
      </c>
      <c r="AO139" s="26" t="s">
        <v>476</v>
      </c>
      <c r="AP139" s="70" t="str">
        <f t="shared" ref="AP139:AP143" si="112">A139</f>
        <v>Industry-Precious &amp; Non-Ferrous metals-boiler/process heating -  - Existing</v>
      </c>
      <c r="AQ139" s="245" t="s">
        <v>387</v>
      </c>
      <c r="AR139" s="70" t="s">
        <v>631</v>
      </c>
      <c r="AS139" s="70" t="s">
        <v>480</v>
      </c>
      <c r="AV139" s="72" t="s">
        <v>476</v>
      </c>
      <c r="AW139" s="72" t="str">
        <f t="shared" si="73"/>
        <v>*</v>
      </c>
      <c r="AX139" s="254" t="s">
        <v>387</v>
      </c>
      <c r="AY139" s="266">
        <f t="shared" si="74"/>
        <v>338.97013191086643</v>
      </c>
    </row>
    <row r="140" spans="1:51">
      <c r="A140" s="45" t="str">
        <f>A$5&amp;"-"&amp;A$15&amp;"-"&amp;A$70&amp;" - "&amp;VLOOKUP(RIGHT(C140,3),NameConv!$E$4:$G$20,2,FALSE)&amp;" - Existing"</f>
        <v>Industry-Precious &amp; Non-Ferrous metals-boiler/process heating -  - Existing</v>
      </c>
      <c r="B140" s="45" t="str">
        <f t="shared" si="103"/>
        <v>INFSOHF-E</v>
      </c>
      <c r="C140" s="46" t="str">
        <f>+$H$6</f>
        <v>INDOHF</v>
      </c>
      <c r="D140" s="46" t="str">
        <f>$B$5&amp;RIGHT($B126,2)&amp;$B$70</f>
        <v>INFS</v>
      </c>
      <c r="E140" s="58">
        <f>Methodology!C42</f>
        <v>0.68</v>
      </c>
      <c r="F140" s="60">
        <f>SUMIF(AFA!$C$3:$L$3,RIGHT(D140,1),AFA!$C$4:$L$4)</f>
        <v>0.15426999999999999</v>
      </c>
      <c r="G140" s="59">
        <v>100</v>
      </c>
      <c r="H140" s="60">
        <f t="shared" si="104"/>
        <v>0</v>
      </c>
      <c r="J140" s="61">
        <v>1</v>
      </c>
      <c r="K140" s="60">
        <f>J140*INDEX($C$10:$L$19,MATCH(B126,$B$10:$B$19,0),MATCH($B$6&amp;RIGHT(C140,3),$C$6:$L$6,0))</f>
        <v>0</v>
      </c>
      <c r="L140" s="60">
        <f t="shared" si="105"/>
        <v>0</v>
      </c>
      <c r="N140" s="78">
        <f t="shared" si="106"/>
        <v>0</v>
      </c>
      <c r="O140" s="77">
        <f t="shared" si="107"/>
        <v>0.5</v>
      </c>
      <c r="P140" s="77">
        <f t="shared" si="107"/>
        <v>1</v>
      </c>
      <c r="Q140" s="77">
        <f t="shared" si="107"/>
        <v>1</v>
      </c>
      <c r="R140" s="77"/>
      <c r="S140" s="78">
        <f t="shared" si="108"/>
        <v>0</v>
      </c>
      <c r="T140" s="77">
        <f t="shared" ref="T140:V140" si="113">S140*T$75</f>
        <v>0</v>
      </c>
      <c r="U140" s="77">
        <f t="shared" si="113"/>
        <v>0</v>
      </c>
      <c r="V140" s="77">
        <f t="shared" si="113"/>
        <v>0</v>
      </c>
      <c r="W140" s="74"/>
      <c r="Y140" s="74"/>
      <c r="Z140" s="14"/>
      <c r="AE140" s="13"/>
      <c r="AH140" t="str">
        <f t="shared" si="70"/>
        <v>INFSOHF-E</v>
      </c>
      <c r="AI140" t="str">
        <f t="shared" si="71"/>
        <v>Industry-Precious &amp; Non-Ferrous metals-boiler/process heating -  - Existing</v>
      </c>
      <c r="AJ140" s="70" t="s">
        <v>387</v>
      </c>
      <c r="AK140" s="70" t="s">
        <v>610</v>
      </c>
      <c r="AL140" s="70" t="s">
        <v>480</v>
      </c>
      <c r="AM140" s="70" t="s">
        <v>611</v>
      </c>
      <c r="AO140" s="26" t="s">
        <v>476</v>
      </c>
      <c r="AP140" s="70" t="str">
        <f t="shared" si="112"/>
        <v>Industry-Precious &amp; Non-Ferrous metals-boiler/process heating -  - Existing</v>
      </c>
      <c r="AQ140" s="245" t="s">
        <v>387</v>
      </c>
      <c r="AR140" s="70" t="s">
        <v>631</v>
      </c>
      <c r="AS140" s="70" t="s">
        <v>480</v>
      </c>
      <c r="AV140" s="72" t="s">
        <v>476</v>
      </c>
      <c r="AW140" s="72" t="str">
        <f t="shared" si="73"/>
        <v>*</v>
      </c>
      <c r="AX140" s="254" t="s">
        <v>387</v>
      </c>
      <c r="AY140" s="266">
        <f t="shared" si="74"/>
        <v>338.97013191086643</v>
      </c>
    </row>
    <row r="141" spans="1:51">
      <c r="A141" s="45" t="str">
        <f>A$5&amp;"-"&amp;A$15&amp;"-"&amp;A$70&amp;" - "&amp;VLOOKUP(RIGHT(C141,3),NameConv!$E$4:$G$20,2,FALSE)&amp;" - Existing"</f>
        <v>Industry-Precious &amp; Non-Ferrous metals-boiler/process heating -  - Existing</v>
      </c>
      <c r="B141" s="45" t="str">
        <f t="shared" si="103"/>
        <v>INFSOLP-E</v>
      </c>
      <c r="C141" s="46" t="str">
        <f>+$I$6</f>
        <v>INDOLP</v>
      </c>
      <c r="D141" s="46" t="str">
        <f>$B$5&amp;RIGHT($B126,2)&amp;$B$70</f>
        <v>INFS</v>
      </c>
      <c r="E141" s="58">
        <f>Methodology!C43</f>
        <v>0.72</v>
      </c>
      <c r="F141" s="60">
        <f>SUMIF(AFA!$C$3:$L$3,RIGHT(D141,1),AFA!$C$4:$L$4)</f>
        <v>0.15426999999999999</v>
      </c>
      <c r="G141" s="59">
        <v>100</v>
      </c>
      <c r="H141" s="60">
        <f t="shared" si="104"/>
        <v>0</v>
      </c>
      <c r="J141" s="61">
        <v>1</v>
      </c>
      <c r="K141" s="60">
        <f>J141*INDEX($C$10:$L$19,MATCH(B126,$B$10:$B$19,0),MATCH($B$6&amp;RIGHT(C141,3),$C$6:$L$6,0))</f>
        <v>0</v>
      </c>
      <c r="L141" s="60">
        <f t="shared" si="105"/>
        <v>0</v>
      </c>
      <c r="N141" s="78">
        <f t="shared" si="106"/>
        <v>0</v>
      </c>
      <c r="O141" s="77">
        <f t="shared" si="107"/>
        <v>0.5</v>
      </c>
      <c r="P141" s="77">
        <f t="shared" si="107"/>
        <v>1</v>
      </c>
      <c r="Q141" s="77">
        <f t="shared" si="107"/>
        <v>1</v>
      </c>
      <c r="R141" s="77"/>
      <c r="S141" s="78">
        <f t="shared" si="108"/>
        <v>0</v>
      </c>
      <c r="T141" s="77">
        <f t="shared" ref="T141:V141" si="114">S141*T$75</f>
        <v>0</v>
      </c>
      <c r="U141" s="77">
        <f t="shared" si="114"/>
        <v>0</v>
      </c>
      <c r="V141" s="77">
        <f t="shared" si="114"/>
        <v>0</v>
      </c>
      <c r="W141" s="74"/>
      <c r="Y141" s="74"/>
      <c r="Z141" s="14"/>
      <c r="AE141" s="13"/>
      <c r="AH141" t="str">
        <f t="shared" si="70"/>
        <v>INFSOLP-E</v>
      </c>
      <c r="AI141" t="str">
        <f t="shared" si="71"/>
        <v>Industry-Precious &amp; Non-Ferrous metals-boiler/process heating -  - Existing</v>
      </c>
      <c r="AJ141" s="70" t="s">
        <v>387</v>
      </c>
      <c r="AK141" s="70" t="s">
        <v>610</v>
      </c>
      <c r="AL141" s="70" t="s">
        <v>480</v>
      </c>
      <c r="AM141" s="70" t="s">
        <v>611</v>
      </c>
      <c r="AO141" s="26" t="s">
        <v>476</v>
      </c>
      <c r="AP141" s="70" t="str">
        <f t="shared" si="112"/>
        <v>Industry-Precious &amp; Non-Ferrous metals-boiler/process heating -  - Existing</v>
      </c>
      <c r="AQ141" s="245" t="s">
        <v>387</v>
      </c>
      <c r="AR141" s="70" t="s">
        <v>631</v>
      </c>
      <c r="AS141" s="70" t="s">
        <v>480</v>
      </c>
      <c r="AV141" s="72" t="s">
        <v>476</v>
      </c>
      <c r="AW141" s="72" t="str">
        <f t="shared" si="73"/>
        <v>*</v>
      </c>
      <c r="AX141" s="254" t="s">
        <v>387</v>
      </c>
      <c r="AY141" s="266">
        <f t="shared" si="74"/>
        <v>338.97013191086643</v>
      </c>
    </row>
    <row r="142" spans="1:51">
      <c r="A142" s="45" t="str">
        <f>A$5&amp;"-"&amp;A$15&amp;"-"&amp;A$70&amp;" - "&amp;VLOOKUP(RIGHT(C142,3),NameConv!$E$4:$G$20,2,FALSE)&amp;" - Existing"</f>
        <v>Industry-Precious &amp; Non-Ferrous metals-boiler/process heating -  - Existing</v>
      </c>
      <c r="B142" s="45" t="str">
        <f t="shared" si="103"/>
        <v>INFSELC-E</v>
      </c>
      <c r="C142" s="46" t="str">
        <f>$P$14</f>
        <v>INFELC</v>
      </c>
      <c r="D142" s="46" t="str">
        <f>$B$5&amp;RIGHT($B126,2)&amp;$B$70</f>
        <v>INFS</v>
      </c>
      <c r="E142" s="58">
        <f>Methodology!C27</f>
        <v>0.76</v>
      </c>
      <c r="F142" s="60">
        <f>SUMIF(AFA!$C$3:$L$3,RIGHT(D142,1),AFA!$C$4:$L$4)</f>
        <v>0.15426999999999999</v>
      </c>
      <c r="G142" s="59">
        <v>100</v>
      </c>
      <c r="H142" s="60">
        <f t="shared" si="104"/>
        <v>0</v>
      </c>
      <c r="J142" s="61">
        <v>1</v>
      </c>
      <c r="K142" s="60">
        <f>J142*INDEX($C$70:$J$70,MATCH($B126,$C$60:$J$60,0))</f>
        <v>0</v>
      </c>
      <c r="L142" s="60">
        <f t="shared" si="105"/>
        <v>0</v>
      </c>
      <c r="N142" s="78">
        <f t="shared" si="106"/>
        <v>0</v>
      </c>
      <c r="O142" s="77">
        <f t="shared" si="107"/>
        <v>0.5</v>
      </c>
      <c r="P142" s="77">
        <f t="shared" si="107"/>
        <v>1</v>
      </c>
      <c r="Q142" s="77">
        <f t="shared" si="107"/>
        <v>1</v>
      </c>
      <c r="R142" s="77"/>
      <c r="S142" s="78">
        <f t="shared" si="108"/>
        <v>0</v>
      </c>
      <c r="T142" s="77">
        <f t="shared" ref="T142:V142" si="115">S142*T$75</f>
        <v>0</v>
      </c>
      <c r="U142" s="77">
        <f t="shared" si="115"/>
        <v>0</v>
      </c>
      <c r="V142" s="77">
        <f t="shared" si="115"/>
        <v>0</v>
      </c>
      <c r="W142" s="74"/>
      <c r="Y142" s="74"/>
      <c r="Z142" s="14"/>
      <c r="AE142" s="13"/>
      <c r="AH142" t="str">
        <f t="shared" si="70"/>
        <v>INFSELC-E</v>
      </c>
      <c r="AI142" t="str">
        <f t="shared" si="71"/>
        <v>Industry-Precious &amp; Non-Ferrous metals-boiler/process heating -  - Existing</v>
      </c>
      <c r="AJ142" s="70" t="s">
        <v>387</v>
      </c>
      <c r="AK142" s="70" t="s">
        <v>610</v>
      </c>
      <c r="AL142" s="70" t="s">
        <v>480</v>
      </c>
      <c r="AM142" s="70" t="s">
        <v>611</v>
      </c>
      <c r="AO142" s="26" t="s">
        <v>476</v>
      </c>
      <c r="AP142" s="70" t="str">
        <f t="shared" si="112"/>
        <v>Industry-Precious &amp; Non-Ferrous metals-boiler/process heating -  - Existing</v>
      </c>
      <c r="AQ142" s="245" t="s">
        <v>387</v>
      </c>
      <c r="AR142" s="70" t="s">
        <v>631</v>
      </c>
      <c r="AS142" s="70" t="s">
        <v>632</v>
      </c>
      <c r="AV142" s="72" t="s">
        <v>476</v>
      </c>
      <c r="AW142" s="72" t="str">
        <f t="shared" si="73"/>
        <v>*</v>
      </c>
      <c r="AX142" s="254" t="s">
        <v>387</v>
      </c>
      <c r="AY142" s="266">
        <f t="shared" si="74"/>
        <v>338.97013191086643</v>
      </c>
    </row>
    <row r="143" spans="1:51">
      <c r="A143" s="45" t="str">
        <f>A$5&amp;"-"&amp;A$15&amp;"-"&amp;A$70&amp;" - "&amp;VLOOKUP(RIGHT(C143,3),NameConv!$E$4:$G$20,2,FALSE)&amp;" - Existing"</f>
        <v>Industry-Precious &amp; Non-Ferrous metals-boiler/process heating -  - Existing</v>
      </c>
      <c r="B143" s="45" t="str">
        <f t="shared" si="103"/>
        <v>INFSWAS-E</v>
      </c>
      <c r="C143" s="46" t="str">
        <f>$L$6</f>
        <v>INDWAS</v>
      </c>
      <c r="D143" s="46" t="str">
        <f>$B$5&amp;RIGHT($B126,2)&amp;$B$70</f>
        <v>INFS</v>
      </c>
      <c r="E143" s="58">
        <f>Methodology!C45</f>
        <v>0.6</v>
      </c>
      <c r="F143" s="60">
        <f>SUMIF(AFA!$C$3:$L$3,RIGHT(D143,1),AFA!$C$4:$L$4)</f>
        <v>0.15426999999999999</v>
      </c>
      <c r="G143" s="59">
        <v>100</v>
      </c>
      <c r="H143" s="60">
        <f t="shared" si="104"/>
        <v>0</v>
      </c>
      <c r="J143" s="61">
        <v>1</v>
      </c>
      <c r="K143" s="60">
        <f>J143*INDEX($C$10:$L$19,MATCH(B126,$B$10:$B$19,0),MATCH($B$6&amp;RIGHT(C143,3),$C$6:$L$6,0))</f>
        <v>0</v>
      </c>
      <c r="L143" s="60">
        <f t="shared" si="105"/>
        <v>0</v>
      </c>
      <c r="N143" s="78">
        <f t="shared" si="106"/>
        <v>0</v>
      </c>
      <c r="O143" s="77">
        <f t="shared" si="107"/>
        <v>0.5</v>
      </c>
      <c r="P143" s="77">
        <f t="shared" si="107"/>
        <v>1</v>
      </c>
      <c r="Q143" s="77">
        <f t="shared" si="107"/>
        <v>1</v>
      </c>
      <c r="R143" s="77"/>
      <c r="S143" s="78">
        <f t="shared" si="108"/>
        <v>0</v>
      </c>
      <c r="T143" s="77">
        <f t="shared" ref="T143:V143" si="116">S143*T$75</f>
        <v>0</v>
      </c>
      <c r="U143" s="77">
        <f t="shared" si="116"/>
        <v>0</v>
      </c>
      <c r="V143" s="77">
        <f t="shared" si="116"/>
        <v>0</v>
      </c>
      <c r="W143" s="74"/>
      <c r="Y143" s="74"/>
      <c r="Z143" s="14"/>
      <c r="AE143" s="13"/>
      <c r="AH143" t="str">
        <f t="shared" si="70"/>
        <v>INFSWAS-E</v>
      </c>
      <c r="AI143" t="str">
        <f t="shared" si="71"/>
        <v>Industry-Precious &amp; Non-Ferrous metals-boiler/process heating -  - Existing</v>
      </c>
      <c r="AJ143" s="70" t="s">
        <v>387</v>
      </c>
      <c r="AK143" s="70" t="s">
        <v>610</v>
      </c>
      <c r="AL143" s="70" t="s">
        <v>480</v>
      </c>
      <c r="AM143" s="70" t="s">
        <v>611</v>
      </c>
      <c r="AO143" s="26" t="s">
        <v>476</v>
      </c>
      <c r="AP143" s="70" t="str">
        <f t="shared" si="112"/>
        <v>Industry-Precious &amp; Non-Ferrous metals-boiler/process heating -  - Existing</v>
      </c>
      <c r="AQ143" s="245" t="s">
        <v>387</v>
      </c>
      <c r="AR143" s="70" t="s">
        <v>631</v>
      </c>
      <c r="AS143" s="70" t="s">
        <v>480</v>
      </c>
      <c r="AV143" s="72" t="s">
        <v>476</v>
      </c>
      <c r="AW143" s="72" t="str">
        <f t="shared" si="73"/>
        <v>*</v>
      </c>
      <c r="AX143" s="254" t="s">
        <v>387</v>
      </c>
      <c r="AY143" s="266">
        <f t="shared" si="74"/>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3"/>
        <v>*</v>
      </c>
      <c r="AX144" s="254" t="s">
        <v>387</v>
      </c>
      <c r="AY144" s="266">
        <f t="shared" si="74"/>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3"/>
        <v>*</v>
      </c>
      <c r="AX145" s="254" t="s">
        <v>387</v>
      </c>
      <c r="AY145" s="266">
        <f t="shared" si="74"/>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3"/>
        <v>*</v>
      </c>
      <c r="AX146" s="254" t="s">
        <v>387</v>
      </c>
      <c r="AY146" s="266">
        <f t="shared" si="74"/>
        <v>338.97013191086643</v>
      </c>
    </row>
    <row r="147" spans="1:51">
      <c r="A147" s="45" t="str">
        <f t="shared" ref="A147:A155" si="117">A$5&amp;"-"&amp;A$17&amp;"-"&amp;A31&amp;" - Electricity"</f>
        <v>Industry-Food, Beverage &amp; Tabacco-Elec Heating - Electricity</v>
      </c>
      <c r="B147" s="45" t="str">
        <f>D147&amp;RIGHT(C147,3)&amp;"-E"</f>
        <v>IFBKELC-E</v>
      </c>
      <c r="C147" s="46" t="str">
        <f t="shared" ref="C147:C155" si="118">$P$16</f>
        <v>IFBELC</v>
      </c>
      <c r="D147" s="46" t="str">
        <f>$B$5&amp;RIGHT($B145,2)&amp;$B$61</f>
        <v>IFBK</v>
      </c>
      <c r="E147" s="58">
        <f>Methodology!C28</f>
        <v>1</v>
      </c>
      <c r="F147" s="60">
        <f>SUMIF(AFA!$C$3:$L$3,RIGHT(D147,1),AFA!$C$4:$L$4)</f>
        <v>0.11433</v>
      </c>
      <c r="G147" s="59">
        <v>100</v>
      </c>
      <c r="H147" s="60">
        <f>L147/F147</f>
        <v>9.1545526108632913</v>
      </c>
      <c r="J147" s="61">
        <v>1</v>
      </c>
      <c r="K147" s="60">
        <f t="shared" ref="K147:K155" si="119">J147*SUMIF($C$60:$K$60,$B$145,$C61:$K61)</f>
        <v>1.04664</v>
      </c>
      <c r="L147" s="60">
        <f>K147*E147</f>
        <v>1.04664</v>
      </c>
      <c r="N147" s="74" t="str">
        <f>""</f>
        <v/>
      </c>
      <c r="S147" s="78"/>
      <c r="T147" s="74"/>
      <c r="U147" s="74"/>
      <c r="V147" s="74"/>
      <c r="W147" s="74"/>
      <c r="Y147" s="74"/>
      <c r="Z147" s="14"/>
      <c r="AE147" s="13"/>
      <c r="AH147" t="str">
        <f t="shared" si="70"/>
        <v>IFBKELC-E</v>
      </c>
      <c r="AI147" t="str">
        <f t="shared" si="71"/>
        <v>Industry-Food, Beverage &amp; Tabacco-Elec Heating - Electricity</v>
      </c>
      <c r="AJ147" s="70" t="s">
        <v>387</v>
      </c>
      <c r="AK147" s="70" t="s">
        <v>610</v>
      </c>
      <c r="AL147" s="70" t="s">
        <v>480</v>
      </c>
      <c r="AM147" s="70" t="s">
        <v>611</v>
      </c>
      <c r="AO147" s="70" t="str">
        <f t="shared" ref="AO147:AO155" si="120">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3"/>
        <v>IFBK</v>
      </c>
      <c r="AX147" s="254" t="s">
        <v>387</v>
      </c>
      <c r="AY147" s="266">
        <f t="shared" si="74"/>
        <v>1.04664</v>
      </c>
    </row>
    <row r="148" spans="1:51">
      <c r="A148" s="45" t="str">
        <f t="shared" si="117"/>
        <v>Industry-Food, Beverage &amp; Tabacco-Compressed air - Electricity</v>
      </c>
      <c r="B148" s="45" t="str">
        <f>D148&amp;RIGHT(C148,3)&amp;"-E"</f>
        <v>IFBAELC-E</v>
      </c>
      <c r="C148" s="46" t="str">
        <f t="shared" si="118"/>
        <v>IFBELC</v>
      </c>
      <c r="D148" s="46" t="str">
        <f>$B$5&amp;RIGHT($B145,2)&amp;$B$62</f>
        <v>IFBA</v>
      </c>
      <c r="E148" s="58">
        <f>Methodology!C29</f>
        <v>0.05</v>
      </c>
      <c r="F148" s="60">
        <f>SUMIF(AFA!$C$3:$L$3,RIGHT(D148,1),AFA!$C$4:$L$4)</f>
        <v>0.11584999999999999</v>
      </c>
      <c r="G148" s="59">
        <v>100</v>
      </c>
      <c r="H148" s="60">
        <f t="shared" ref="H148:H155" si="121">L148/F148</f>
        <v>0.25812688821752272</v>
      </c>
      <c r="J148" s="61">
        <v>1</v>
      </c>
      <c r="K148" s="60">
        <f t="shared" si="119"/>
        <v>0.59808000000000006</v>
      </c>
      <c r="L148" s="60">
        <f t="shared" ref="L148:L155" si="122">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70"/>
        <v>IFBAELC-E</v>
      </c>
      <c r="AI148" t="str">
        <f t="shared" si="71"/>
        <v>Industry-Food, Beverage &amp; Tabacco-Compressed air - Electricity</v>
      </c>
      <c r="AJ148" s="70" t="s">
        <v>387</v>
      </c>
      <c r="AK148" s="70" t="s">
        <v>610</v>
      </c>
      <c r="AL148" s="70" t="s">
        <v>480</v>
      </c>
      <c r="AM148" s="70" t="s">
        <v>611</v>
      </c>
      <c r="AO148" s="70" t="str">
        <f t="shared" si="120"/>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3"/>
        <v>IFBA</v>
      </c>
      <c r="AX148" s="254" t="s">
        <v>387</v>
      </c>
      <c r="AY148" s="266">
        <f t="shared" si="74"/>
        <v>2.9904000000000003E-2</v>
      </c>
    </row>
    <row r="149" spans="1:51">
      <c r="A149" s="45" t="str">
        <f t="shared" si="117"/>
        <v>Industry-Food, Beverage &amp; Tabacco-Lighting - Electricity</v>
      </c>
      <c r="B149" s="45" t="str">
        <f t="shared" ref="B149:B155" si="123">D149&amp;RIGHT(C149,3)&amp;"-E"</f>
        <v>IFBLELC-E</v>
      </c>
      <c r="C149" s="46" t="str">
        <f t="shared" si="118"/>
        <v>IFBELC</v>
      </c>
      <c r="D149" s="46" t="str">
        <f>$B$5&amp;RIGHT($B145,2)&amp;$B$63</f>
        <v>IFBL</v>
      </c>
      <c r="E149" s="58">
        <f>Methodology!C30</f>
        <v>0.3</v>
      </c>
      <c r="F149" s="60">
        <f>SUMIF(AFA!$C$3:$L$3,RIGHT(D149,1),AFA!$C$4:$L$4)</f>
        <v>0.12454999999999999</v>
      </c>
      <c r="G149" s="59">
        <v>100</v>
      </c>
      <c r="H149" s="60">
        <f t="shared" si="121"/>
        <v>1.8007226013649138</v>
      </c>
      <c r="J149" s="61">
        <v>1</v>
      </c>
      <c r="K149" s="60">
        <f t="shared" si="119"/>
        <v>0.74760000000000004</v>
      </c>
      <c r="L149" s="60">
        <f t="shared" si="122"/>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70"/>
        <v>IFBLELC-E</v>
      </c>
      <c r="AI149" t="str">
        <f t="shared" si="71"/>
        <v>Industry-Food, Beverage &amp; Tabacco-Lighting - Electricity</v>
      </c>
      <c r="AJ149" s="70" t="s">
        <v>387</v>
      </c>
      <c r="AK149" s="70" t="s">
        <v>610</v>
      </c>
      <c r="AL149" s="70" t="s">
        <v>480</v>
      </c>
      <c r="AM149" s="70" t="s">
        <v>611</v>
      </c>
      <c r="AO149" s="70" t="str">
        <f t="shared" si="120"/>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3"/>
        <v>IFBL</v>
      </c>
      <c r="AX149" s="254" t="s">
        <v>387</v>
      </c>
      <c r="AY149" s="266">
        <f t="shared" si="74"/>
        <v>0.22428000000000001</v>
      </c>
    </row>
    <row r="150" spans="1:51">
      <c r="A150" s="45" t="str">
        <f t="shared" si="117"/>
        <v>Industry-Food, Beverage &amp; Tabacco-Cooling - Electricity</v>
      </c>
      <c r="B150" s="45" t="str">
        <f t="shared" si="123"/>
        <v>IFBCELC-E</v>
      </c>
      <c r="C150" s="46" t="str">
        <f t="shared" si="118"/>
        <v>IFBELC</v>
      </c>
      <c r="D150" s="46" t="str">
        <f>$B$5&amp;RIGHT($B145,2)&amp;$B$64</f>
        <v>IFBC</v>
      </c>
      <c r="E150" s="58">
        <f>Methodology!C31</f>
        <v>2</v>
      </c>
      <c r="F150" s="60">
        <f>SUMIF(AFA!$C$3:$L$3,RIGHT(D150,1),AFA!$C$4:$L$4)</f>
        <v>0.12956000000000001</v>
      </c>
      <c r="G150" s="59">
        <v>100</v>
      </c>
      <c r="H150" s="60">
        <f t="shared" si="121"/>
        <v>53.086755171349182</v>
      </c>
      <c r="J150" s="61">
        <v>1</v>
      </c>
      <c r="K150" s="60">
        <f t="shared" si="119"/>
        <v>3.4389600000000002</v>
      </c>
      <c r="L150" s="60">
        <f t="shared" si="122"/>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70"/>
        <v>IFBCELC-E</v>
      </c>
      <c r="AI150" t="str">
        <f t="shared" si="71"/>
        <v>Industry-Food, Beverage &amp; Tabacco-Cooling - Electricity</v>
      </c>
      <c r="AJ150" s="70" t="s">
        <v>387</v>
      </c>
      <c r="AK150" s="70" t="s">
        <v>610</v>
      </c>
      <c r="AL150" s="70" t="s">
        <v>480</v>
      </c>
      <c r="AM150" s="70" t="s">
        <v>611</v>
      </c>
      <c r="AO150" s="70" t="str">
        <f t="shared" si="120"/>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3"/>
        <v>IFBC</v>
      </c>
      <c r="AX150" s="254" t="s">
        <v>387</v>
      </c>
      <c r="AY150" s="266">
        <f t="shared" si="74"/>
        <v>6.8779200000000005</v>
      </c>
    </row>
    <row r="151" spans="1:51">
      <c r="A151" s="45" t="str">
        <f t="shared" si="117"/>
        <v>Industry-Food, Beverage &amp; Tabacco-HVAC - Electricity</v>
      </c>
      <c r="B151" s="45" t="str">
        <f t="shared" si="123"/>
        <v>IFBHELC-E</v>
      </c>
      <c r="C151" s="46" t="str">
        <f t="shared" si="118"/>
        <v>IFBELC</v>
      </c>
      <c r="D151" s="46" t="str">
        <f>$B$5&amp;RIGHT($B145,2)&amp;$B$65</f>
        <v>IFBH</v>
      </c>
      <c r="E151" s="58">
        <f>Methodology!C32</f>
        <v>0.9</v>
      </c>
      <c r="F151" s="60">
        <f>SUMIF(AFA!$C$3:$L$3,RIGHT(D151,1),AFA!$C$4:$L$4)</f>
        <v>0.13161</v>
      </c>
      <c r="G151" s="59">
        <v>100</v>
      </c>
      <c r="H151" s="60">
        <f t="shared" si="121"/>
        <v>6.1348529746979708</v>
      </c>
      <c r="J151" s="61">
        <v>1</v>
      </c>
      <c r="K151" s="60">
        <f t="shared" si="119"/>
        <v>0.89711999999999992</v>
      </c>
      <c r="L151" s="60">
        <f t="shared" si="122"/>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70"/>
        <v>IFBHELC-E</v>
      </c>
      <c r="AI151" t="str">
        <f t="shared" si="71"/>
        <v>Industry-Food, Beverage &amp; Tabacco-HVAC - Electricity</v>
      </c>
      <c r="AJ151" s="70" t="s">
        <v>387</v>
      </c>
      <c r="AK151" s="70" t="s">
        <v>610</v>
      </c>
      <c r="AL151" s="70" t="s">
        <v>480</v>
      </c>
      <c r="AM151" s="70" t="s">
        <v>611</v>
      </c>
      <c r="AO151" s="70" t="str">
        <f t="shared" si="120"/>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3"/>
        <v>IFBH</v>
      </c>
      <c r="AX151" s="254" t="s">
        <v>387</v>
      </c>
      <c r="AY151" s="266">
        <f t="shared" si="74"/>
        <v>0.8074079999999999</v>
      </c>
    </row>
    <row r="152" spans="1:51">
      <c r="A152" s="45" t="str">
        <f t="shared" si="117"/>
        <v>Industry-Food, Beverage &amp; Tabacco-Pumping - Electricity</v>
      </c>
      <c r="B152" s="45" t="str">
        <f t="shared" si="123"/>
        <v>IFBPELC-E</v>
      </c>
      <c r="C152" s="46" t="str">
        <f t="shared" si="118"/>
        <v>IFBELC</v>
      </c>
      <c r="D152" s="46" t="str">
        <f>$B$5&amp;RIGHT($B145,2)&amp;$B$66</f>
        <v>IFBP</v>
      </c>
      <c r="E152" s="58">
        <f>Methodology!C33</f>
        <v>0.8</v>
      </c>
      <c r="F152" s="60">
        <f>SUMIF(AFA!$C$3:$L$3,RIGHT(D152,1),AFA!$C$4:$L$4)</f>
        <v>0.12116</v>
      </c>
      <c r="G152" s="59">
        <v>100</v>
      </c>
      <c r="H152" s="60">
        <f t="shared" si="121"/>
        <v>27.643182568504457</v>
      </c>
      <c r="J152" s="61">
        <v>1</v>
      </c>
      <c r="K152" s="60">
        <f t="shared" si="119"/>
        <v>4.1865600000000001</v>
      </c>
      <c r="L152" s="60">
        <f t="shared" si="122"/>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70"/>
        <v>IFBPELC-E</v>
      </c>
      <c r="AI152" t="str">
        <f t="shared" si="71"/>
        <v>Industry-Food, Beverage &amp; Tabacco-Pumping - Electricity</v>
      </c>
      <c r="AJ152" s="70" t="s">
        <v>387</v>
      </c>
      <c r="AK152" s="70" t="s">
        <v>610</v>
      </c>
      <c r="AL152" s="70" t="s">
        <v>480</v>
      </c>
      <c r="AM152" s="70" t="s">
        <v>611</v>
      </c>
      <c r="AO152" s="70" t="str">
        <f t="shared" si="120"/>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3"/>
        <v>IFBP</v>
      </c>
      <c r="AX152" s="254" t="s">
        <v>387</v>
      </c>
      <c r="AY152" s="266">
        <f t="shared" si="74"/>
        <v>3.3492480000000002</v>
      </c>
    </row>
    <row r="153" spans="1:51">
      <c r="A153" s="45" t="str">
        <f t="shared" si="117"/>
        <v>Industry-Food, Beverage &amp; Tabacco-Fans - Electricity</v>
      </c>
      <c r="B153" s="45" t="str">
        <f t="shared" si="123"/>
        <v>IFBFELC-E</v>
      </c>
      <c r="C153" s="46" t="str">
        <f t="shared" si="118"/>
        <v>IFBELC</v>
      </c>
      <c r="D153" s="46" t="str">
        <f>$B$5&amp;RIGHT($B145,2)&amp;$B$67</f>
        <v>IFBF</v>
      </c>
      <c r="E153" s="58">
        <f>Methodology!C34</f>
        <v>0.8</v>
      </c>
      <c r="F153" s="60">
        <f>SUMIF(AFA!$C$3:$L$3,RIGHT(D153,1),AFA!$C$4:$L$4)</f>
        <v>0.10936999999999999</v>
      </c>
      <c r="G153" s="59">
        <v>100</v>
      </c>
      <c r="H153" s="60">
        <f t="shared" si="121"/>
        <v>4.3747279875651461</v>
      </c>
      <c r="J153" s="61">
        <v>1</v>
      </c>
      <c r="K153" s="60">
        <f t="shared" si="119"/>
        <v>0.59808000000000006</v>
      </c>
      <c r="L153" s="60">
        <f t="shared" si="122"/>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70"/>
        <v>IFBFELC-E</v>
      </c>
      <c r="AI153" t="str">
        <f t="shared" si="71"/>
        <v>Industry-Food, Beverage &amp; Tabacco-Fans - Electricity</v>
      </c>
      <c r="AJ153" s="70" t="s">
        <v>387</v>
      </c>
      <c r="AK153" s="70" t="s">
        <v>610</v>
      </c>
      <c r="AL153" s="70" t="s">
        <v>480</v>
      </c>
      <c r="AM153" s="70" t="s">
        <v>611</v>
      </c>
      <c r="AO153" s="70" t="str">
        <f t="shared" si="120"/>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3"/>
        <v>IFBF</v>
      </c>
      <c r="AX153" s="254" t="s">
        <v>387</v>
      </c>
      <c r="AY153" s="266">
        <f t="shared" si="74"/>
        <v>0.47846400000000006</v>
      </c>
    </row>
    <row r="154" spans="1:51">
      <c r="A154" s="45" t="str">
        <f t="shared" si="117"/>
        <v>Industry-Food, Beverage &amp; Tabacco-Other motive - Electricity</v>
      </c>
      <c r="B154" s="45" t="str">
        <f t="shared" si="123"/>
        <v>IFBOELC-E</v>
      </c>
      <c r="C154" s="46" t="str">
        <f t="shared" si="118"/>
        <v>IFBELC</v>
      </c>
      <c r="D154" s="46" t="str">
        <f>$B$5&amp;RIGHT($B145,2)&amp;$B$68</f>
        <v>IFBO</v>
      </c>
      <c r="E154" s="58">
        <f>Methodology!C35</f>
        <v>0.8</v>
      </c>
      <c r="F154" s="60">
        <f>SUMIF(AFA!$C$3:$L$3,RIGHT(D154,1),AFA!$C$4:$L$4)</f>
        <v>0.13081999999999999</v>
      </c>
      <c r="G154" s="59">
        <v>100</v>
      </c>
      <c r="H154" s="60">
        <f t="shared" si="121"/>
        <v>19.201467665494576</v>
      </c>
      <c r="J154" s="61">
        <v>1</v>
      </c>
      <c r="K154" s="60">
        <f t="shared" si="119"/>
        <v>3.13992</v>
      </c>
      <c r="L154" s="60">
        <f t="shared" si="122"/>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70"/>
        <v>IFBOELC-E</v>
      </c>
      <c r="AI154" t="str">
        <f t="shared" si="71"/>
        <v>Industry-Food, Beverage &amp; Tabacco-Other motive - Electricity</v>
      </c>
      <c r="AJ154" s="70" t="s">
        <v>387</v>
      </c>
      <c r="AK154" s="70" t="s">
        <v>610</v>
      </c>
      <c r="AL154" s="70" t="s">
        <v>480</v>
      </c>
      <c r="AM154" s="70" t="s">
        <v>611</v>
      </c>
      <c r="AO154" s="70" t="str">
        <f t="shared" si="120"/>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3"/>
        <v>IFBO</v>
      </c>
      <c r="AX154" s="254" t="s">
        <v>387</v>
      </c>
      <c r="AY154" s="266">
        <f t="shared" si="74"/>
        <v>2.5119360000000004</v>
      </c>
    </row>
    <row r="155" spans="1:51">
      <c r="A155" s="45" t="str">
        <f t="shared" si="117"/>
        <v>Industry-Food, Beverage &amp; Tabacco-Electrochemical - Electricity</v>
      </c>
      <c r="B155" s="45" t="str">
        <f t="shared" si="123"/>
        <v>IFBEELC-E</v>
      </c>
      <c r="C155" s="46" t="str">
        <f t="shared" si="118"/>
        <v>IFBELC</v>
      </c>
      <c r="D155" s="46" t="str">
        <f>$B$5&amp;RIGHT($B145,2)&amp;$B$69</f>
        <v>IFBE</v>
      </c>
      <c r="E155" s="58">
        <f>Methodology!C27</f>
        <v>0.76</v>
      </c>
      <c r="F155" s="60">
        <f>SUMIF(AFA!$C$3:$L$3,RIGHT(D155,1),AFA!$C$4:$L$4)</f>
        <v>0.13233</v>
      </c>
      <c r="G155" s="59">
        <v>100</v>
      </c>
      <c r="H155" s="60">
        <f t="shared" si="121"/>
        <v>0</v>
      </c>
      <c r="J155" s="61">
        <v>1</v>
      </c>
      <c r="K155" s="60">
        <f t="shared" si="119"/>
        <v>0</v>
      </c>
      <c r="L155" s="60">
        <f t="shared" si="122"/>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70"/>
        <v>IFBEELC-E</v>
      </c>
      <c r="AI155" t="str">
        <f t="shared" si="71"/>
        <v>Industry-Food, Beverage &amp; Tabacco-Electrochemical - Electricity</v>
      </c>
      <c r="AJ155" s="70" t="s">
        <v>387</v>
      </c>
      <c r="AK155" s="70" t="s">
        <v>610</v>
      </c>
      <c r="AL155" s="70" t="s">
        <v>480</v>
      </c>
      <c r="AM155" s="70" t="s">
        <v>611</v>
      </c>
      <c r="AO155" s="70" t="str">
        <f t="shared" si="120"/>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3"/>
        <v>IFBE</v>
      </c>
      <c r="AX155" s="254" t="s">
        <v>387</v>
      </c>
      <c r="AY155" s="266">
        <f t="shared" si="74"/>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3"/>
        <v>*</v>
      </c>
      <c r="AX156" s="254" t="s">
        <v>387</v>
      </c>
      <c r="AY156" s="266">
        <f t="shared" si="74"/>
        <v>338.97013191086643</v>
      </c>
    </row>
    <row r="157" spans="1:51">
      <c r="A157" s="45" t="str">
        <f>A$5&amp;"-"&amp;A$17&amp;"-"&amp;A$70&amp;" - "&amp;VLOOKUP(RIGHT(C157,3),NameConv!$E$4:$G$23,2,FALSE)&amp;" - Existing"</f>
        <v>Industry-Food, Beverage &amp; Tabacco-boiler/process heating -  - Existing</v>
      </c>
      <c r="B157" s="45" t="str">
        <f t="shared" ref="B157:B165" si="124">D157&amp;RIGHT(C157,3)&amp;"-E"</f>
        <v>IFBSCOA-E</v>
      </c>
      <c r="C157" s="46" t="str">
        <f>+$C$6</f>
        <v>INDCOA</v>
      </c>
      <c r="D157" s="46" t="str">
        <f t="shared" ref="D157:D165" si="125">$B$5&amp;RIGHT($B$145,2)&amp;$B$70</f>
        <v>IFBS</v>
      </c>
      <c r="E157" s="58">
        <f>Methodology!C40</f>
        <v>0.64</v>
      </c>
      <c r="F157" s="60">
        <f>SUMIF(AFA!$C$3:$L$3,RIGHT(D157,1),AFA!$C$4:$L$4)</f>
        <v>0.15426999999999999</v>
      </c>
      <c r="G157" s="59">
        <v>100</v>
      </c>
      <c r="H157" s="60">
        <f t="shared" ref="H157:H165" si="126">L157/F157</f>
        <v>67.505542231153186</v>
      </c>
      <c r="J157" s="61">
        <v>1</v>
      </c>
      <c r="K157" s="60">
        <f>J157*INDEX($C$10:$L$19,MATCH(B145,$B$10:$B$19,0),MATCH($B$6&amp;RIGHT(C157,3),$C$6:$L$6,0))</f>
        <v>16.272000000000002</v>
      </c>
      <c r="L157" s="60">
        <f>K157*E157</f>
        <v>10.414080000000002</v>
      </c>
      <c r="N157" s="78">
        <f t="shared" ref="N157:N165" si="127">L157/SUMIF($D$81:$D$187,$D157,$L$81:$L$187)</f>
        <v>0.25685398787785141</v>
      </c>
      <c r="O157" s="77">
        <f t="shared" ref="O157:Q161" si="128">MIN(1,$N157+O$75)</f>
        <v>0.75685398787785141</v>
      </c>
      <c r="P157" s="77">
        <f t="shared" si="128"/>
        <v>1</v>
      </c>
      <c r="Q157" s="77">
        <f t="shared" si="128"/>
        <v>1</v>
      </c>
      <c r="R157" s="77"/>
      <c r="S157" s="78">
        <f t="shared" ref="S157:S162" si="129">N157</f>
        <v>0.25685398787785141</v>
      </c>
      <c r="T157" s="77">
        <f t="shared" ref="T157:V157" si="130">S157*T$75</f>
        <v>0.23116858909006627</v>
      </c>
      <c r="U157" s="77">
        <f t="shared" si="130"/>
        <v>0</v>
      </c>
      <c r="V157" s="77">
        <f t="shared" si="130"/>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70"/>
        <v>IFBSCOA-E</v>
      </c>
      <c r="AI157" t="str">
        <f t="shared" si="71"/>
        <v>Industry-Food, Beverage &amp; Tabacco-boiler/process heating -  - Existing</v>
      </c>
      <c r="AJ157" s="70" t="s">
        <v>387</v>
      </c>
      <c r="AK157" s="70" t="s">
        <v>610</v>
      </c>
      <c r="AL157" s="70" t="s">
        <v>480</v>
      </c>
      <c r="AM157" s="70" t="s">
        <v>611</v>
      </c>
      <c r="AO157" s="70" t="str">
        <f t="shared" ref="AO157" si="131">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3"/>
        <v>IFBS</v>
      </c>
      <c r="AX157" s="254" t="s">
        <v>387</v>
      </c>
      <c r="AY157" s="266">
        <f t="shared" si="74"/>
        <v>40.544747177343751</v>
      </c>
    </row>
    <row r="158" spans="1:51">
      <c r="A158" s="45" t="str">
        <f>A$5&amp;"-"&amp;A$17&amp;"-"&amp;A$70&amp;" - "&amp;VLOOKUP(RIGHT(C158,3),NameConv!$E$4:$G$23,2,FALSE)&amp;" - Existing"</f>
        <v>Industry-Food, Beverage &amp; Tabacco-boiler/process heating -  - Existing</v>
      </c>
      <c r="B158" s="45" t="str">
        <f t="shared" si="124"/>
        <v>IFBSGAS-E</v>
      </c>
      <c r="C158" s="46" t="str">
        <f>G6</f>
        <v>INDGAS</v>
      </c>
      <c r="D158" s="46" t="str">
        <f t="shared" si="125"/>
        <v>IFBS</v>
      </c>
      <c r="E158" s="58">
        <f>Methodology!C41</f>
        <v>0.72</v>
      </c>
      <c r="F158" s="60">
        <f>SUMIF(AFA!$C$3:$L$3,RIGHT(D158,1),AFA!$C$4:$L$4)</f>
        <v>0.15426999999999999</v>
      </c>
      <c r="G158" s="59">
        <v>100</v>
      </c>
      <c r="H158" s="60">
        <f t="shared" si="126"/>
        <v>34.377369400037274</v>
      </c>
      <c r="J158" s="61">
        <v>1</v>
      </c>
      <c r="K158" s="60">
        <f>J158*INDEX($C$10:$L$19,MATCH(B145,$B$10:$B$19,0),MATCH($B$6&amp;RIGHT(C158,3),$C$6:$L$6,0))</f>
        <v>7.3658288574218753</v>
      </c>
      <c r="L158" s="60">
        <f t="shared" ref="L158:L165" si="132">K158*E158</f>
        <v>5.3033967773437496</v>
      </c>
      <c r="N158" s="78">
        <f t="shared" si="127"/>
        <v>0.13080354784669287</v>
      </c>
      <c r="O158" s="77">
        <f t="shared" si="128"/>
        <v>0.6308035478466929</v>
      </c>
      <c r="P158" s="77">
        <f t="shared" si="128"/>
        <v>1</v>
      </c>
      <c r="Q158" s="77">
        <f t="shared" si="128"/>
        <v>1</v>
      </c>
      <c r="R158" s="77"/>
      <c r="S158" s="78">
        <f t="shared" si="129"/>
        <v>0.13080354784669287</v>
      </c>
      <c r="T158" s="77">
        <f t="shared" ref="T158:V158" si="133">S158*T$75</f>
        <v>0.11772319306202358</v>
      </c>
      <c r="U158" s="77">
        <f t="shared" si="133"/>
        <v>0</v>
      </c>
      <c r="V158" s="77">
        <f t="shared" si="133"/>
        <v>0</v>
      </c>
      <c r="W158" s="74"/>
      <c r="Y158" s="74"/>
      <c r="Z158" s="14"/>
      <c r="AE158" s="13"/>
      <c r="AH158" t="str">
        <f t="shared" si="70"/>
        <v>IFBSGAS-E</v>
      </c>
      <c r="AI158" t="str">
        <f t="shared" si="71"/>
        <v>Industry-Food, Beverage &amp; Tabacco-boiler/process heating -  - Existing</v>
      </c>
      <c r="AJ158" s="70" t="s">
        <v>387</v>
      </c>
      <c r="AK158" s="70" t="s">
        <v>610</v>
      </c>
      <c r="AL158" s="70" t="s">
        <v>480</v>
      </c>
      <c r="AM158" s="70" t="s">
        <v>611</v>
      </c>
      <c r="AO158" s="26" t="s">
        <v>476</v>
      </c>
      <c r="AP158" s="70" t="str">
        <f t="shared" ref="AP158:AP165" si="134">A158</f>
        <v>Industry-Food, Beverage &amp; Tabacco-boiler/process heating -  - Existing</v>
      </c>
      <c r="AQ158" s="245" t="s">
        <v>387</v>
      </c>
      <c r="AR158" s="70" t="s">
        <v>631</v>
      </c>
      <c r="AS158" s="70" t="s">
        <v>480</v>
      </c>
      <c r="AV158" s="72" t="s">
        <v>476</v>
      </c>
      <c r="AW158" s="72" t="str">
        <f t="shared" si="73"/>
        <v>*</v>
      </c>
      <c r="AX158" s="254" t="s">
        <v>387</v>
      </c>
      <c r="AY158" s="266">
        <f t="shared" si="74"/>
        <v>338.97013191086643</v>
      </c>
    </row>
    <row r="159" spans="1:51">
      <c r="A159" s="45" t="str">
        <f>A$5&amp;"-"&amp;A$17&amp;"-"&amp;A$70&amp;" - "&amp;VLOOKUP(RIGHT(C159,3),NameConv!$E$4:$G$23,2,FALSE)&amp;" - Existing"</f>
        <v>Industry-Food, Beverage &amp; Tabacco-boiler/process heating -  - Existing</v>
      </c>
      <c r="B159" s="45" t="str">
        <f t="shared" si="124"/>
        <v>IFBSOHF-E</v>
      </c>
      <c r="C159" s="46" t="str">
        <f>+$H$6</f>
        <v>INDOHF</v>
      </c>
      <c r="D159" s="46" t="str">
        <f t="shared" si="125"/>
        <v>IFBS</v>
      </c>
      <c r="E159" s="58">
        <f>Methodology!C42</f>
        <v>0.68</v>
      </c>
      <c r="F159" s="60">
        <f>SUMIF(AFA!$C$3:$L$3,RIGHT(D159,1),AFA!$C$4:$L$4)</f>
        <v>0.15426999999999999</v>
      </c>
      <c r="G159" s="59">
        <v>100</v>
      </c>
      <c r="H159" s="60">
        <f t="shared" si="126"/>
        <v>0</v>
      </c>
      <c r="J159" s="61">
        <v>1</v>
      </c>
      <c r="K159" s="60">
        <f>J159*INDEX($C$10:$L$19,MATCH(B145,$B$10:$B$19,0),MATCH($B$6&amp;RIGHT(C159,3),$C$6:$L$6,0))</f>
        <v>0</v>
      </c>
      <c r="L159" s="60">
        <f t="shared" si="132"/>
        <v>0</v>
      </c>
      <c r="N159" s="78">
        <f t="shared" si="127"/>
        <v>0</v>
      </c>
      <c r="O159" s="77">
        <f t="shared" si="128"/>
        <v>0.5</v>
      </c>
      <c r="P159" s="77">
        <f t="shared" si="128"/>
        <v>1</v>
      </c>
      <c r="Q159" s="77">
        <f t="shared" si="128"/>
        <v>1</v>
      </c>
      <c r="R159" s="77"/>
      <c r="S159" s="78">
        <f t="shared" si="129"/>
        <v>0</v>
      </c>
      <c r="T159" s="77">
        <f t="shared" ref="T159:V159" si="135">S159*T$75</f>
        <v>0</v>
      </c>
      <c r="U159" s="77">
        <f t="shared" si="135"/>
        <v>0</v>
      </c>
      <c r="V159" s="77">
        <f t="shared" si="135"/>
        <v>0</v>
      </c>
      <c r="W159" s="74"/>
      <c r="Y159" s="74"/>
      <c r="Z159" s="14"/>
      <c r="AE159" s="13"/>
      <c r="AH159" t="str">
        <f t="shared" si="70"/>
        <v>IFBSOHF-E</v>
      </c>
      <c r="AI159" t="str">
        <f t="shared" si="71"/>
        <v>Industry-Food, Beverage &amp; Tabacco-boiler/process heating -  - Existing</v>
      </c>
      <c r="AJ159" s="70" t="s">
        <v>387</v>
      </c>
      <c r="AK159" s="70" t="s">
        <v>610</v>
      </c>
      <c r="AL159" s="70" t="s">
        <v>480</v>
      </c>
      <c r="AM159" s="70" t="s">
        <v>611</v>
      </c>
      <c r="AO159" s="26" t="s">
        <v>476</v>
      </c>
      <c r="AP159" s="70" t="str">
        <f t="shared" si="134"/>
        <v>Industry-Food, Beverage &amp; Tabacco-boiler/process heating -  - Existing</v>
      </c>
      <c r="AQ159" s="245" t="s">
        <v>387</v>
      </c>
      <c r="AR159" s="70" t="s">
        <v>631</v>
      </c>
      <c r="AS159" s="70" t="s">
        <v>480</v>
      </c>
      <c r="AV159" s="72" t="s">
        <v>476</v>
      </c>
      <c r="AW159" s="72" t="str">
        <f t="shared" si="73"/>
        <v>*</v>
      </c>
      <c r="AX159" s="254" t="s">
        <v>387</v>
      </c>
      <c r="AY159" s="266">
        <f t="shared" si="74"/>
        <v>338.97013191086643</v>
      </c>
    </row>
    <row r="160" spans="1:51">
      <c r="A160" s="45" t="str">
        <f>A$5&amp;"-"&amp;A$17&amp;"-"&amp;A$70&amp;" - "&amp;VLOOKUP(RIGHT(C160,3),NameConv!$E$4:$G$23,2,FALSE)&amp;" - Existing"</f>
        <v>Industry-Food, Beverage &amp; Tabacco-boiler/process heating -  - Existing</v>
      </c>
      <c r="B160" s="45" t="str">
        <f t="shared" si="124"/>
        <v>IFBSOLP-E</v>
      </c>
      <c r="C160" s="46" t="str">
        <f>+$I$6</f>
        <v>INDOLP</v>
      </c>
      <c r="D160" s="46" t="str">
        <f t="shared" si="125"/>
        <v>IFBS</v>
      </c>
      <c r="E160" s="58">
        <f>Methodology!C43</f>
        <v>0.72</v>
      </c>
      <c r="F160" s="60">
        <f>SUMIF(AFA!$C$3:$L$3,RIGHT(D160,1),AFA!$C$4:$L$4)</f>
        <v>0.15426999999999999</v>
      </c>
      <c r="G160" s="59">
        <v>100</v>
      </c>
      <c r="H160" s="60">
        <f t="shared" si="126"/>
        <v>0</v>
      </c>
      <c r="J160" s="61">
        <v>1</v>
      </c>
      <c r="K160" s="60">
        <f>J160*INDEX($C$10:$L$19,MATCH(B145,$B$10:$B$19,0),MATCH($B$6&amp;RIGHT(C160,3),$C$6:$L$6,0))</f>
        <v>0</v>
      </c>
      <c r="L160" s="60">
        <f t="shared" si="132"/>
        <v>0</v>
      </c>
      <c r="N160" s="78">
        <f t="shared" si="127"/>
        <v>0</v>
      </c>
      <c r="O160" s="77">
        <f t="shared" si="128"/>
        <v>0.5</v>
      </c>
      <c r="P160" s="77">
        <f t="shared" si="128"/>
        <v>1</v>
      </c>
      <c r="Q160" s="77">
        <f t="shared" si="128"/>
        <v>1</v>
      </c>
      <c r="R160" s="77"/>
      <c r="S160" s="78">
        <f t="shared" si="129"/>
        <v>0</v>
      </c>
      <c r="T160" s="77">
        <f t="shared" ref="T160:V160" si="136">S160*T$75</f>
        <v>0</v>
      </c>
      <c r="U160" s="77">
        <f t="shared" si="136"/>
        <v>0</v>
      </c>
      <c r="V160" s="77">
        <f t="shared" si="136"/>
        <v>0</v>
      </c>
      <c r="W160" s="74"/>
      <c r="Y160" s="74"/>
      <c r="Z160" s="14"/>
      <c r="AE160" s="13"/>
      <c r="AH160" t="str">
        <f t="shared" si="70"/>
        <v>IFBSOLP-E</v>
      </c>
      <c r="AI160" t="str">
        <f t="shared" si="71"/>
        <v>Industry-Food, Beverage &amp; Tabacco-boiler/process heating -  - Existing</v>
      </c>
      <c r="AJ160" s="70" t="s">
        <v>387</v>
      </c>
      <c r="AK160" s="70" t="s">
        <v>610</v>
      </c>
      <c r="AL160" s="70" t="s">
        <v>480</v>
      </c>
      <c r="AM160" s="70" t="s">
        <v>611</v>
      </c>
      <c r="AO160" s="26" t="s">
        <v>476</v>
      </c>
      <c r="AP160" s="70" t="str">
        <f t="shared" si="134"/>
        <v>Industry-Food, Beverage &amp; Tabacco-boiler/process heating -  - Existing</v>
      </c>
      <c r="AQ160" s="245" t="s">
        <v>387</v>
      </c>
      <c r="AR160" s="70" t="s">
        <v>631</v>
      </c>
      <c r="AS160" s="70" t="s">
        <v>480</v>
      </c>
      <c r="AV160" s="72" t="s">
        <v>476</v>
      </c>
      <c r="AW160" s="72" t="str">
        <f t="shared" si="73"/>
        <v>*</v>
      </c>
      <c r="AX160" s="254" t="s">
        <v>387</v>
      </c>
      <c r="AY160" s="266">
        <f t="shared" si="74"/>
        <v>338.97013191086643</v>
      </c>
    </row>
    <row r="161" spans="1:51">
      <c r="A161" s="45" t="str">
        <f>A$5&amp;"-"&amp;A$17&amp;"-"&amp;A$70&amp;" - "&amp;VLOOKUP(RIGHT(C161,3),NameConv!$E$4:$G$23,2,FALSE)&amp;" - Existing"</f>
        <v>Industry-Food, Beverage &amp; Tabacco-boiler/process heating -  - Existing</v>
      </c>
      <c r="B161" s="45" t="str">
        <f t="shared" si="124"/>
        <v>IFBSELC-E</v>
      </c>
      <c r="C161" s="46" t="str">
        <f>$P$16</f>
        <v>IFBELC</v>
      </c>
      <c r="D161" s="46" t="str">
        <f t="shared" si="125"/>
        <v>IFBS</v>
      </c>
      <c r="E161" s="58">
        <f>Methodology!C27</f>
        <v>0.76</v>
      </c>
      <c r="F161" s="60">
        <f>SUMIF(AFA!$C$3:$L$3,RIGHT(D161,1),AFA!$C$4:$L$4)</f>
        <v>0.15426999999999999</v>
      </c>
      <c r="G161" s="59">
        <v>100</v>
      </c>
      <c r="H161" s="60">
        <f t="shared" si="126"/>
        <v>1.4731989369287615</v>
      </c>
      <c r="J161" s="61">
        <v>1</v>
      </c>
      <c r="K161" s="60">
        <f>J161*INDEX($C$70:$J$70,MATCH($B145,$C$60:$J$60,0))</f>
        <v>0.29904000000000003</v>
      </c>
      <c r="L161" s="60">
        <f t="shared" si="132"/>
        <v>0.22727040000000001</v>
      </c>
      <c r="N161" s="78">
        <f t="shared" si="127"/>
        <v>5.6054215606750127E-3</v>
      </c>
      <c r="O161" s="77">
        <f t="shared" si="128"/>
        <v>0.50560542156067501</v>
      </c>
      <c r="P161" s="77">
        <f t="shared" si="128"/>
        <v>1</v>
      </c>
      <c r="Q161" s="77">
        <f t="shared" si="128"/>
        <v>1</v>
      </c>
      <c r="R161" s="77"/>
      <c r="S161" s="78">
        <f t="shared" si="129"/>
        <v>5.6054215606750127E-3</v>
      </c>
      <c r="T161" s="77">
        <f t="shared" ref="T161:V161" si="137">S161*T$75</f>
        <v>5.0448794046075119E-3</v>
      </c>
      <c r="U161" s="77">
        <f t="shared" si="137"/>
        <v>0</v>
      </c>
      <c r="V161" s="77">
        <f t="shared" si="137"/>
        <v>0</v>
      </c>
      <c r="W161" s="74"/>
      <c r="Y161" s="74"/>
      <c r="Z161" s="14"/>
      <c r="AE161" s="13"/>
      <c r="AH161" t="str">
        <f t="shared" si="70"/>
        <v>IFBSELC-E</v>
      </c>
      <c r="AI161" t="str">
        <f t="shared" si="71"/>
        <v>Industry-Food, Beverage &amp; Tabacco-boiler/process heating -  - Existing</v>
      </c>
      <c r="AJ161" s="70" t="s">
        <v>387</v>
      </c>
      <c r="AK161" s="70" t="s">
        <v>610</v>
      </c>
      <c r="AL161" s="70" t="s">
        <v>480</v>
      </c>
      <c r="AM161" s="70" t="s">
        <v>611</v>
      </c>
      <c r="AO161" s="26" t="s">
        <v>476</v>
      </c>
      <c r="AP161" s="70" t="str">
        <f t="shared" si="134"/>
        <v>Industry-Food, Beverage &amp; Tabacco-boiler/process heating -  - Existing</v>
      </c>
      <c r="AQ161" s="245" t="s">
        <v>387</v>
      </c>
      <c r="AR161" s="70" t="s">
        <v>631</v>
      </c>
      <c r="AS161" s="70" t="s">
        <v>632</v>
      </c>
      <c r="AV161" s="72" t="s">
        <v>476</v>
      </c>
      <c r="AW161" s="72" t="str">
        <f t="shared" si="73"/>
        <v>*</v>
      </c>
      <c r="AX161" s="254" t="s">
        <v>387</v>
      </c>
      <c r="AY161" s="266">
        <f t="shared" si="74"/>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5"/>
        <v>IFBS</v>
      </c>
      <c r="E162" s="58">
        <f>E120</f>
        <v>3.34</v>
      </c>
      <c r="F162" s="60">
        <f>SUMIF(AFA!$C$3:$L$3,RIGHT(D162,1),AFA!$C$4:$L$4)</f>
        <v>0.15426999999999999</v>
      </c>
      <c r="G162" s="59">
        <v>100</v>
      </c>
      <c r="H162" s="60">
        <v>0</v>
      </c>
      <c r="J162" s="61">
        <v>1</v>
      </c>
      <c r="K162" s="60">
        <v>0</v>
      </c>
      <c r="L162" s="60">
        <f>K162*E162</f>
        <v>0</v>
      </c>
      <c r="N162" s="78">
        <f t="shared" si="127"/>
        <v>0</v>
      </c>
      <c r="O162" s="216">
        <v>0.02</v>
      </c>
      <c r="P162" s="216">
        <v>0.6</v>
      </c>
      <c r="Q162" s="216">
        <v>0.6</v>
      </c>
      <c r="R162" s="77"/>
      <c r="S162" s="78">
        <f t="shared" si="129"/>
        <v>0</v>
      </c>
      <c r="T162" s="77">
        <f t="shared" ref="T162:V162" si="138">S162*T$75</f>
        <v>0</v>
      </c>
      <c r="U162" s="77">
        <f t="shared" si="138"/>
        <v>0</v>
      </c>
      <c r="V162" s="77">
        <f t="shared" si="138"/>
        <v>0</v>
      </c>
      <c r="W162" s="74"/>
      <c r="Y162" s="74"/>
      <c r="Z162" s="14"/>
      <c r="AE162" s="13"/>
      <c r="AH162" t="str">
        <f t="shared" si="70"/>
        <v>IFBSELC-N</v>
      </c>
      <c r="AI162" t="str">
        <f t="shared" si="71"/>
        <v>Industry-Food, Beverage &amp; Tabacco-boiler/process heating -  - Heat Pump New</v>
      </c>
      <c r="AJ162" s="70" t="s">
        <v>387</v>
      </c>
      <c r="AK162" s="70" t="s">
        <v>610</v>
      </c>
      <c r="AL162" s="70" t="s">
        <v>480</v>
      </c>
      <c r="AM162" s="70" t="s">
        <v>611</v>
      </c>
      <c r="AO162" s="26" t="s">
        <v>476</v>
      </c>
      <c r="AP162" s="70" t="str">
        <f t="shared" si="134"/>
        <v>Industry-Food, Beverage &amp; Tabacco-boiler/process heating -  - Heat Pump New</v>
      </c>
      <c r="AQ162" s="245" t="s">
        <v>387</v>
      </c>
      <c r="AR162" s="70" t="s">
        <v>631</v>
      </c>
      <c r="AS162" s="70" t="s">
        <v>632</v>
      </c>
      <c r="AV162" s="72" t="s">
        <v>476</v>
      </c>
      <c r="AW162" s="72" t="str">
        <f t="shared" si="73"/>
        <v>*</v>
      </c>
      <c r="AX162" s="254" t="s">
        <v>387</v>
      </c>
      <c r="AY162" s="266">
        <f t="shared" si="74"/>
        <v>338.97013191086643</v>
      </c>
    </row>
    <row r="163" spans="1:51">
      <c r="A163" s="45" t="s">
        <v>471</v>
      </c>
      <c r="B163" s="45" t="str">
        <f>D163&amp;RIGHT(C163,3)&amp;"-N"</f>
        <v>IFBSHGN-N</v>
      </c>
      <c r="C163" s="46" t="s">
        <v>467</v>
      </c>
      <c r="D163" s="46" t="str">
        <f t="shared" si="125"/>
        <v>IFBS</v>
      </c>
      <c r="E163" s="58">
        <f>E121</f>
        <v>0.76</v>
      </c>
      <c r="F163" s="60">
        <f>SUMIF(AFA!$C$3:$L$3,RIGHT(D163,1),AFA!$C$4:$L$4)</f>
        <v>0.15426999999999999</v>
      </c>
      <c r="G163" s="59">
        <v>100</v>
      </c>
      <c r="H163" s="60">
        <v>0</v>
      </c>
      <c r="J163" s="61">
        <v>1</v>
      </c>
      <c r="K163" s="60">
        <v>0</v>
      </c>
      <c r="L163" s="60">
        <f>K163*E163</f>
        <v>0</v>
      </c>
      <c r="N163" s="78">
        <f t="shared" si="127"/>
        <v>0</v>
      </c>
      <c r="O163" s="77">
        <f t="shared" ref="O163:Q165" si="139">MIN(1,$N163+O$75)</f>
        <v>0.5</v>
      </c>
      <c r="P163" s="77">
        <f t="shared" si="139"/>
        <v>1</v>
      </c>
      <c r="Q163" s="77">
        <f t="shared" si="139"/>
        <v>1</v>
      </c>
      <c r="R163" s="77"/>
      <c r="S163" s="78">
        <f t="shared" ref="S163:S165" si="140">N163</f>
        <v>0</v>
      </c>
      <c r="T163" s="77">
        <f t="shared" ref="T163:V163" si="141">S163*T$75</f>
        <v>0</v>
      </c>
      <c r="U163" s="77">
        <f t="shared" si="141"/>
        <v>0</v>
      </c>
      <c r="V163" s="77">
        <f t="shared" si="141"/>
        <v>0</v>
      </c>
      <c r="W163" s="74"/>
      <c r="Y163" s="74"/>
      <c r="Z163" s="14"/>
      <c r="AE163" s="13"/>
      <c r="AH163" t="str">
        <f t="shared" si="70"/>
        <v>IFBSHGN-N</v>
      </c>
      <c r="AI163" t="str">
        <f t="shared" si="71"/>
        <v>Industry-Food, Beverage &amp; Tabacco-boiler/process heating - Electricity - Hydrogen New</v>
      </c>
      <c r="AJ163" s="70" t="s">
        <v>387</v>
      </c>
      <c r="AK163" s="70" t="s">
        <v>610</v>
      </c>
      <c r="AL163" s="70" t="s">
        <v>480</v>
      </c>
      <c r="AM163" s="70" t="s">
        <v>611</v>
      </c>
      <c r="AO163" s="26" t="s">
        <v>476</v>
      </c>
      <c r="AP163" s="70" t="str">
        <f t="shared" si="134"/>
        <v>Industry-Food, Beverage &amp; Tabacco-boiler/process heating - Electricity - Hydrogen New</v>
      </c>
      <c r="AQ163" s="245" t="s">
        <v>387</v>
      </c>
      <c r="AR163" s="70" t="s">
        <v>631</v>
      </c>
      <c r="AS163" s="70" t="s">
        <v>480</v>
      </c>
      <c r="AV163" s="72" t="s">
        <v>476</v>
      </c>
      <c r="AW163" s="72" t="str">
        <f t="shared" si="73"/>
        <v>*</v>
      </c>
      <c r="AX163" s="254" t="s">
        <v>387</v>
      </c>
      <c r="AY163" s="266">
        <f t="shared" si="74"/>
        <v>338.97013191086643</v>
      </c>
    </row>
    <row r="164" spans="1:51">
      <c r="A164" s="45" t="str">
        <f>A$5&amp;"-"&amp;A$17&amp;"-"&amp;A$70&amp;" - "&amp;VLOOKUP(RIGHT(C164,3),NameConv!$E$4:$G$23,2,FALSE)&amp;" - Existing"</f>
        <v>Industry-Food, Beverage &amp; Tabacco-boiler/process heating -  - Existing</v>
      </c>
      <c r="B164" s="45" t="str">
        <f t="shared" si="124"/>
        <v>IFBSBIB-E</v>
      </c>
      <c r="C164" s="46" t="str">
        <f>$K$6</f>
        <v>INDBIB</v>
      </c>
      <c r="D164" s="46" t="str">
        <f t="shared" si="125"/>
        <v>IFBS</v>
      </c>
      <c r="E164" s="58">
        <f>Methodology!C45</f>
        <v>0.6</v>
      </c>
      <c r="F164" s="60">
        <f>SUMIF(AFA!$C$3:$L$3,RIGHT(D164,1),AFA!$C$4:$L$4)</f>
        <v>0.15426999999999999</v>
      </c>
      <c r="G164" s="59">
        <v>100</v>
      </c>
      <c r="H164" s="60">
        <f t="shared" si="126"/>
        <v>159.46068581059183</v>
      </c>
      <c r="J164" s="61">
        <v>1</v>
      </c>
      <c r="K164" s="60">
        <f>J164*INDEX($C$10:$L$19,MATCH(B145,$B$10:$B$19,0),MATCH($B$6&amp;RIGHT(C164,3),$C$6:$L$6,0))</f>
        <v>41</v>
      </c>
      <c r="L164" s="60">
        <f t="shared" si="132"/>
        <v>24.599999999999998</v>
      </c>
      <c r="N164" s="78">
        <f t="shared" si="127"/>
        <v>0.60673704271478068</v>
      </c>
      <c r="O164" s="77">
        <f t="shared" si="139"/>
        <v>1</v>
      </c>
      <c r="P164" s="77">
        <f t="shared" si="139"/>
        <v>1</v>
      </c>
      <c r="Q164" s="77">
        <f t="shared" si="139"/>
        <v>1</v>
      </c>
      <c r="R164" s="77"/>
      <c r="S164" s="78">
        <f t="shared" si="140"/>
        <v>0.60673704271478068</v>
      </c>
      <c r="T164" s="77">
        <f t="shared" ref="T164:V164" si="142">S164*T$75</f>
        <v>0.54606333844330268</v>
      </c>
      <c r="U164" s="77">
        <f t="shared" si="142"/>
        <v>0</v>
      </c>
      <c r="V164" s="77">
        <f t="shared" si="142"/>
        <v>0</v>
      </c>
      <c r="W164" s="74"/>
      <c r="Y164" s="74"/>
      <c r="Z164" s="14"/>
      <c r="AE164" s="13"/>
      <c r="AH164" t="str">
        <f t="shared" si="70"/>
        <v>IFBSBIB-E</v>
      </c>
      <c r="AI164" t="str">
        <f t="shared" si="71"/>
        <v>Industry-Food, Beverage &amp; Tabacco-boiler/process heating -  - Existing</v>
      </c>
      <c r="AJ164" s="70" t="s">
        <v>387</v>
      </c>
      <c r="AK164" s="70" t="s">
        <v>610</v>
      </c>
      <c r="AL164" s="70" t="s">
        <v>480</v>
      </c>
      <c r="AM164" s="70" t="s">
        <v>611</v>
      </c>
      <c r="AO164" s="26" t="s">
        <v>476</v>
      </c>
      <c r="AP164" s="70" t="str">
        <f t="shared" si="134"/>
        <v>Industry-Food, Beverage &amp; Tabacco-boiler/process heating -  - Existing</v>
      </c>
      <c r="AQ164" s="245" t="s">
        <v>387</v>
      </c>
      <c r="AR164" s="70" t="s">
        <v>631</v>
      </c>
      <c r="AS164" s="70" t="s">
        <v>480</v>
      </c>
      <c r="AV164" s="72" t="s">
        <v>476</v>
      </c>
      <c r="AW164" s="72" t="str">
        <f t="shared" si="73"/>
        <v>*</v>
      </c>
      <c r="AX164" s="254" t="s">
        <v>387</v>
      </c>
      <c r="AY164" s="266">
        <f t="shared" si="74"/>
        <v>338.97013191086643</v>
      </c>
    </row>
    <row r="165" spans="1:51">
      <c r="A165" s="45" t="str">
        <f>A$5&amp;"-"&amp;A$17&amp;"-"&amp;A$70&amp;" - "&amp;VLOOKUP(RIGHT(C165,3),NameConv!$E$4:$G$23,2,FALSE)&amp;" - Existing"</f>
        <v>Industry-Food, Beverage &amp; Tabacco-boiler/process heating -  - Existing</v>
      </c>
      <c r="B165" s="45" t="str">
        <f t="shared" si="124"/>
        <v>IFBSWAS-E</v>
      </c>
      <c r="C165" s="46" t="str">
        <f>$L$6</f>
        <v>INDWAS</v>
      </c>
      <c r="D165" s="46" t="str">
        <f t="shared" si="125"/>
        <v>IFBS</v>
      </c>
      <c r="E165" s="58">
        <f>Methodology!C46</f>
        <v>0.6</v>
      </c>
      <c r="F165" s="60">
        <f>SUMIF(AFA!$C$3:$L$3,RIGHT(D165,1),AFA!$C$4:$L$4)</f>
        <v>0.15426999999999999</v>
      </c>
      <c r="G165" s="59">
        <v>100</v>
      </c>
      <c r="H165" s="60">
        <f t="shared" si="126"/>
        <v>0</v>
      </c>
      <c r="J165" s="61">
        <v>1</v>
      </c>
      <c r="K165" s="60">
        <f>J165*INDEX($C$10:$L$19,MATCH(B145,$B$10:$B$19,0),MATCH($B$6&amp;RIGHT(C165,3),$C$6:$L$6,0))</f>
        <v>0</v>
      </c>
      <c r="L165" s="60">
        <f t="shared" si="132"/>
        <v>0</v>
      </c>
      <c r="N165" s="78">
        <f t="shared" si="127"/>
        <v>0</v>
      </c>
      <c r="O165" s="77">
        <f t="shared" si="139"/>
        <v>0.5</v>
      </c>
      <c r="P165" s="77">
        <f t="shared" si="139"/>
        <v>1</v>
      </c>
      <c r="Q165" s="77">
        <f t="shared" si="139"/>
        <v>1</v>
      </c>
      <c r="R165" s="77"/>
      <c r="S165" s="78">
        <f t="shared" si="140"/>
        <v>0</v>
      </c>
      <c r="T165" s="77">
        <f t="shared" ref="T165:V165" si="143">S165*T$75</f>
        <v>0</v>
      </c>
      <c r="U165" s="77">
        <f t="shared" si="143"/>
        <v>0</v>
      </c>
      <c r="V165" s="77">
        <f t="shared" si="143"/>
        <v>0</v>
      </c>
      <c r="W165" s="74"/>
      <c r="Y165" s="74"/>
      <c r="Z165" s="14"/>
      <c r="AE165" s="13"/>
      <c r="AH165" t="str">
        <f t="shared" si="70"/>
        <v>IFBSWAS-E</v>
      </c>
      <c r="AI165" t="str">
        <f t="shared" si="71"/>
        <v>Industry-Food, Beverage &amp; Tabacco-boiler/process heating -  - Existing</v>
      </c>
      <c r="AJ165" s="70" t="s">
        <v>387</v>
      </c>
      <c r="AK165" s="70" t="s">
        <v>610</v>
      </c>
      <c r="AL165" s="70" t="s">
        <v>480</v>
      </c>
      <c r="AM165" s="70" t="s">
        <v>611</v>
      </c>
      <c r="AO165" s="26" t="s">
        <v>476</v>
      </c>
      <c r="AP165" s="70" t="str">
        <f t="shared" si="134"/>
        <v>Industry-Food, Beverage &amp; Tabacco-boiler/process heating -  - Existing</v>
      </c>
      <c r="AQ165" s="245" t="s">
        <v>387</v>
      </c>
      <c r="AR165" s="70" t="s">
        <v>631</v>
      </c>
      <c r="AS165" s="70" t="s">
        <v>480</v>
      </c>
      <c r="AV165" s="72" t="s">
        <v>476</v>
      </c>
      <c r="AW165" s="72" t="str">
        <f t="shared" si="73"/>
        <v>*</v>
      </c>
      <c r="AX165" s="254" t="s">
        <v>387</v>
      </c>
      <c r="AY165" s="266">
        <f t="shared" si="74"/>
        <v>338.97013191086643</v>
      </c>
    </row>
    <row r="166" spans="1:51" ht="51.95" customHeight="1" thickBot="1">
      <c r="A166" s="244" t="s">
        <v>620</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3"/>
        <v>*</v>
      </c>
      <c r="AX166" s="254" t="s">
        <v>387</v>
      </c>
      <c r="AY166" s="266">
        <f t="shared" si="74"/>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3"/>
        <v>*</v>
      </c>
      <c r="AX167" s="254" t="s">
        <v>387</v>
      </c>
      <c r="AY167" s="266">
        <f t="shared" si="74"/>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3"/>
        <v>*</v>
      </c>
      <c r="AX168" s="254" t="s">
        <v>387</v>
      </c>
      <c r="AY168" s="266">
        <f t="shared" si="74"/>
        <v>338.97013191086643</v>
      </c>
    </row>
    <row r="169" spans="1:51">
      <c r="A169" s="45" t="str">
        <f t="shared" ref="A169:A177" si="144">A$5&amp;"-"&amp;A$19&amp;"-"&amp;A31&amp;" - Electricity"</f>
        <v>Industry-Other-Elec Heating - Electricity</v>
      </c>
      <c r="B169" s="45" t="str">
        <f>D169&amp;RIGHT(C169,3)&amp;"-E"</f>
        <v>IOTKELC-E</v>
      </c>
      <c r="C169" s="46" t="str">
        <f t="shared" ref="C169:C177" si="145">$P$18</f>
        <v>IOTELC</v>
      </c>
      <c r="D169" s="46" t="str">
        <f>$B$5&amp;RIGHT($B167,2)&amp;$B$61</f>
        <v>IOTK</v>
      </c>
      <c r="E169" s="58">
        <f>Methodology!C28</f>
        <v>1</v>
      </c>
      <c r="F169" s="60">
        <f>SUMIF(AFA!$C$3:$L$3,RIGHT(D169,1),AFA!$C$4:$L$4)</f>
        <v>0.11433</v>
      </c>
      <c r="G169" s="59">
        <v>100</v>
      </c>
      <c r="H169" s="60">
        <f>L169/F169</f>
        <v>19.082235633691948</v>
      </c>
      <c r="J169" s="61">
        <v>1</v>
      </c>
      <c r="K169" s="60">
        <f t="shared" ref="K169:K177" si="146">J169*SUMIF($C$60:$K$60,$B$167,$C61:$K61)</f>
        <v>2.1816720000000003</v>
      </c>
      <c r="L169" s="60">
        <f>K169*E169</f>
        <v>2.1816720000000003</v>
      </c>
      <c r="N169" s="74" t="str">
        <f>""</f>
        <v/>
      </c>
      <c r="S169" s="78"/>
      <c r="T169" s="74"/>
      <c r="U169" s="74"/>
      <c r="V169" s="74"/>
      <c r="W169" s="74"/>
      <c r="Y169" s="74"/>
      <c r="Z169" s="14"/>
      <c r="AE169" s="13"/>
      <c r="AH169" t="str">
        <f t="shared" ref="AH169:AH188" si="147">B169</f>
        <v>IOTKELC-E</v>
      </c>
      <c r="AI169" t="str">
        <f t="shared" ref="AI169:AI188" si="148">A169</f>
        <v>Industry-Other-Elec Heating - Electricity</v>
      </c>
      <c r="AJ169" s="70" t="s">
        <v>387</v>
      </c>
      <c r="AK169" s="70" t="s">
        <v>610</v>
      </c>
      <c r="AL169" s="70" t="s">
        <v>480</v>
      </c>
      <c r="AM169" s="70" t="s">
        <v>611</v>
      </c>
      <c r="AO169" s="70" t="str">
        <f t="shared" ref="AO169:AO177" si="149">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50">AO169</f>
        <v>IOTK</v>
      </c>
      <c r="AX169" s="254" t="s">
        <v>387</v>
      </c>
      <c r="AY169" s="266">
        <f t="shared" ref="AY169:AY188" si="151">SUMIFS($L$81:$L$188,$D$81:$D$188,$AW169)</f>
        <v>2.1816720000000003</v>
      </c>
    </row>
    <row r="170" spans="1:51">
      <c r="A170" s="45" t="str">
        <f t="shared" si="144"/>
        <v>Industry-Other-Compressed air - Electricity</v>
      </c>
      <c r="B170" s="45" t="str">
        <f>D170&amp;RIGHT(C170,3)&amp;"-E"</f>
        <v>IOTAELC-E</v>
      </c>
      <c r="C170" s="46" t="str">
        <f t="shared" si="145"/>
        <v>IOTELC</v>
      </c>
      <c r="D170" s="46" t="str">
        <f>$B$5&amp;RIGHT($B167,2)&amp;$B$62</f>
        <v>IOTA</v>
      </c>
      <c r="E170" s="58">
        <f>Methodology!C29</f>
        <v>0.05</v>
      </c>
      <c r="F170" s="60">
        <f>SUMIF(AFA!$C$3:$L$3,RIGHT(D170,1),AFA!$C$4:$L$4)</f>
        <v>0.11584999999999999</v>
      </c>
      <c r="G170" s="59">
        <v>100</v>
      </c>
      <c r="H170" s="60">
        <f t="shared" ref="H170:H176" si="152">L170/F170</f>
        <v>1.0664887354337507</v>
      </c>
      <c r="J170" s="61">
        <v>1</v>
      </c>
      <c r="K170" s="60">
        <f t="shared" si="146"/>
        <v>2.4710543999999999</v>
      </c>
      <c r="L170" s="60">
        <f t="shared" ref="L170:L177" si="153">K170*E170</f>
        <v>0.12355272</v>
      </c>
      <c r="N170" s="74" t="str">
        <f>""</f>
        <v/>
      </c>
      <c r="S170" s="78"/>
      <c r="T170" s="74"/>
      <c r="U170" s="74"/>
      <c r="V170" s="74"/>
      <c r="W170" s="74"/>
      <c r="Y170" s="74"/>
      <c r="Z170" s="14"/>
      <c r="AE170" s="13"/>
      <c r="AH170" t="str">
        <f t="shared" si="147"/>
        <v>IOTAELC-E</v>
      </c>
      <c r="AI170" t="str">
        <f t="shared" si="148"/>
        <v>Industry-Other-Compressed air - Electricity</v>
      </c>
      <c r="AJ170" s="70" t="s">
        <v>387</v>
      </c>
      <c r="AK170" s="70" t="s">
        <v>610</v>
      </c>
      <c r="AL170" s="70" t="s">
        <v>480</v>
      </c>
      <c r="AM170" s="70" t="s">
        <v>611</v>
      </c>
      <c r="AO170" s="70" t="str">
        <f t="shared" si="149"/>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50"/>
        <v>IOTA</v>
      </c>
      <c r="AX170" s="254" t="s">
        <v>387</v>
      </c>
      <c r="AY170" s="266">
        <f t="shared" si="151"/>
        <v>0.12355272</v>
      </c>
    </row>
    <row r="171" spans="1:51">
      <c r="A171" s="45" t="str">
        <f t="shared" si="144"/>
        <v>Industry-Other-Lighting - Electricity</v>
      </c>
      <c r="B171" s="45" t="str">
        <f t="shared" ref="B171:B177" si="154">D171&amp;RIGHT(C171,3)&amp;"-E"</f>
        <v>IOTLELC-E</v>
      </c>
      <c r="C171" s="46" t="str">
        <f t="shared" si="145"/>
        <v>IOTELC</v>
      </c>
      <c r="D171" s="46" t="str">
        <f>$B$5&amp;RIGHT($B167,2)&amp;$B$63</f>
        <v>IOTL</v>
      </c>
      <c r="E171" s="58">
        <f>Methodology!C30</f>
        <v>0.3</v>
      </c>
      <c r="F171" s="60">
        <f>SUMIF(AFA!$C$3:$L$3,RIGHT(D171,1),AFA!$C$4:$L$4)</f>
        <v>0.12454999999999999</v>
      </c>
      <c r="G171" s="59">
        <v>100</v>
      </c>
      <c r="H171" s="60">
        <f t="shared" si="152"/>
        <v>4.3945377759935766</v>
      </c>
      <c r="J171" s="61">
        <v>1</v>
      </c>
      <c r="K171" s="60">
        <f t="shared" si="146"/>
        <v>1.8244656000000001</v>
      </c>
      <c r="L171" s="60">
        <f t="shared" si="153"/>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7"/>
        <v>IOTLELC-E</v>
      </c>
      <c r="AI171" t="str">
        <f t="shared" si="148"/>
        <v>Industry-Other-Lighting - Electricity</v>
      </c>
      <c r="AJ171" s="70" t="s">
        <v>387</v>
      </c>
      <c r="AK171" s="70" t="s">
        <v>610</v>
      </c>
      <c r="AL171" s="70" t="s">
        <v>480</v>
      </c>
      <c r="AM171" s="70" t="s">
        <v>611</v>
      </c>
      <c r="AO171" s="70" t="str">
        <f t="shared" si="149"/>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50"/>
        <v>IOTL</v>
      </c>
      <c r="AX171" s="254" t="s">
        <v>387</v>
      </c>
      <c r="AY171" s="266">
        <f t="shared" si="151"/>
        <v>0.54733968</v>
      </c>
    </row>
    <row r="172" spans="1:51">
      <c r="A172" s="45" t="str">
        <f t="shared" si="144"/>
        <v>Industry-Other-Cooling - Electricity</v>
      </c>
      <c r="B172" s="45" t="str">
        <f t="shared" si="154"/>
        <v>IOTCELC-E</v>
      </c>
      <c r="C172" s="46" t="str">
        <f t="shared" si="145"/>
        <v>IOTELC</v>
      </c>
      <c r="D172" s="46" t="str">
        <f>$B$5&amp;RIGHT($B167,2)&amp;$B$64</f>
        <v>IOTC</v>
      </c>
      <c r="E172" s="58">
        <f>Methodology!C31</f>
        <v>2</v>
      </c>
      <c r="F172" s="60">
        <f>SUMIF(AFA!$C$3:$L$3,RIGHT(D172,1),AFA!$C$4:$L$4)</f>
        <v>0.12956000000000001</v>
      </c>
      <c r="G172" s="59">
        <v>100</v>
      </c>
      <c r="H172" s="60">
        <f t="shared" si="152"/>
        <v>17.938425439950606</v>
      </c>
      <c r="J172" s="61">
        <v>1</v>
      </c>
      <c r="K172" s="60">
        <f t="shared" si="146"/>
        <v>1.1620512000000003</v>
      </c>
      <c r="L172" s="60">
        <f t="shared" si="153"/>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7"/>
        <v>IOTCELC-E</v>
      </c>
      <c r="AI172" t="str">
        <f t="shared" si="148"/>
        <v>Industry-Other-Cooling - Electricity</v>
      </c>
      <c r="AJ172" s="70" t="s">
        <v>387</v>
      </c>
      <c r="AK172" s="70" t="s">
        <v>610</v>
      </c>
      <c r="AL172" s="70" t="s">
        <v>480</v>
      </c>
      <c r="AM172" s="70" t="s">
        <v>611</v>
      </c>
      <c r="AO172" s="70" t="str">
        <f t="shared" si="149"/>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50"/>
        <v>IOTC</v>
      </c>
      <c r="AX172" s="254" t="s">
        <v>387</v>
      </c>
      <c r="AY172" s="266">
        <f t="shared" si="151"/>
        <v>2.3241024000000006</v>
      </c>
    </row>
    <row r="173" spans="1:51">
      <c r="A173" s="45" t="str">
        <f t="shared" si="144"/>
        <v>Industry-Other-HVAC - Electricity</v>
      </c>
      <c r="B173" s="45" t="str">
        <f t="shared" si="154"/>
        <v>IOTHELC-E</v>
      </c>
      <c r="C173" s="46" t="str">
        <f t="shared" si="145"/>
        <v>IOTELC</v>
      </c>
      <c r="D173" s="46" t="str">
        <f>$B$5&amp;RIGHT($B167,2)&amp;$B$65</f>
        <v>IOTH</v>
      </c>
      <c r="E173" s="58">
        <f>Methodology!C32</f>
        <v>0.9</v>
      </c>
      <c r="F173" s="60">
        <f>SUMIF(AFA!$C$3:$L$3,RIGHT(D173,1),AFA!$C$4:$L$4)</f>
        <v>0.13161</v>
      </c>
      <c r="G173" s="59">
        <v>100</v>
      </c>
      <c r="H173" s="60">
        <f t="shared" si="152"/>
        <v>13.125729655801232</v>
      </c>
      <c r="J173" s="61">
        <v>1</v>
      </c>
      <c r="K173" s="60">
        <f t="shared" si="146"/>
        <v>1.9194192000000001</v>
      </c>
      <c r="L173" s="60">
        <f t="shared" si="153"/>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7"/>
        <v>IOTHELC-E</v>
      </c>
      <c r="AI173" t="str">
        <f t="shared" si="148"/>
        <v>Industry-Other-HVAC - Electricity</v>
      </c>
      <c r="AJ173" s="70" t="s">
        <v>387</v>
      </c>
      <c r="AK173" s="70" t="s">
        <v>610</v>
      </c>
      <c r="AL173" s="70" t="s">
        <v>480</v>
      </c>
      <c r="AM173" s="70" t="s">
        <v>611</v>
      </c>
      <c r="AO173" s="70" t="str">
        <f t="shared" si="149"/>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50"/>
        <v>IOTH</v>
      </c>
      <c r="AX173" s="254" t="s">
        <v>387</v>
      </c>
      <c r="AY173" s="266">
        <f t="shared" si="151"/>
        <v>1.7274772800000002</v>
      </c>
    </row>
    <row r="174" spans="1:51">
      <c r="A174" s="45" t="str">
        <f t="shared" si="144"/>
        <v>Industry-Other-Pumping - Electricity</v>
      </c>
      <c r="B174" s="45" t="str">
        <f t="shared" si="154"/>
        <v>IOTPELC-E</v>
      </c>
      <c r="C174" s="46" t="str">
        <f t="shared" si="145"/>
        <v>IOTELC</v>
      </c>
      <c r="D174" s="46" t="str">
        <f>$B$5&amp;RIGHT($B167,2)&amp;$B$66</f>
        <v>IOTP</v>
      </c>
      <c r="E174" s="58">
        <f>Methodology!C33</f>
        <v>0.8</v>
      </c>
      <c r="F174" s="60">
        <f>SUMIF(AFA!$C$3:$L$3,RIGHT(D174,1),AFA!$C$4:$L$4)</f>
        <v>0.12116</v>
      </c>
      <c r="G174" s="59">
        <v>100</v>
      </c>
      <c r="H174" s="60">
        <f t="shared" si="152"/>
        <v>19.406008583690991</v>
      </c>
      <c r="J174" s="61">
        <v>1</v>
      </c>
      <c r="K174" s="60">
        <f t="shared" si="146"/>
        <v>2.9390400000000003</v>
      </c>
      <c r="L174" s="60">
        <f t="shared" si="153"/>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7"/>
        <v>IOTPELC-E</v>
      </c>
      <c r="AI174" t="str">
        <f t="shared" si="148"/>
        <v>Industry-Other-Pumping - Electricity</v>
      </c>
      <c r="AJ174" s="70" t="s">
        <v>387</v>
      </c>
      <c r="AK174" s="70" t="s">
        <v>610</v>
      </c>
      <c r="AL174" s="70" t="s">
        <v>480</v>
      </c>
      <c r="AM174" s="70" t="s">
        <v>611</v>
      </c>
      <c r="AO174" s="70" t="str">
        <f t="shared" si="149"/>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50"/>
        <v>IOTP</v>
      </c>
      <c r="AX174" s="254" t="s">
        <v>387</v>
      </c>
      <c r="AY174" s="266">
        <f t="shared" si="151"/>
        <v>2.3512320000000004</v>
      </c>
    </row>
    <row r="175" spans="1:51">
      <c r="A175" s="45" t="str">
        <f t="shared" si="144"/>
        <v>Industry-Other-Fans - Electricity</v>
      </c>
      <c r="B175" s="45" t="str">
        <f t="shared" si="154"/>
        <v>IOTFELC-E</v>
      </c>
      <c r="C175" s="46" t="str">
        <f t="shared" si="145"/>
        <v>IOTELC</v>
      </c>
      <c r="D175" s="46" t="str">
        <f>$B$5&amp;RIGHT($B167,2)&amp;$B$67</f>
        <v>IOTF</v>
      </c>
      <c r="E175" s="58">
        <f>Methodology!C34</f>
        <v>0.8</v>
      </c>
      <c r="F175" s="60">
        <f>SUMIF(AFA!$C$3:$L$3,RIGHT(D175,1),AFA!$C$4:$L$4)</f>
        <v>0.10936999999999999</v>
      </c>
      <c r="G175" s="59">
        <v>100</v>
      </c>
      <c r="H175" s="60">
        <f t="shared" si="152"/>
        <v>9.1531703392155084</v>
      </c>
      <c r="J175" s="61">
        <v>1</v>
      </c>
      <c r="K175" s="60">
        <f t="shared" si="146"/>
        <v>1.2513528</v>
      </c>
      <c r="L175" s="60">
        <f t="shared" si="153"/>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7"/>
        <v>IOTFELC-E</v>
      </c>
      <c r="AI175" t="str">
        <f t="shared" si="148"/>
        <v>Industry-Other-Fans - Electricity</v>
      </c>
      <c r="AJ175" s="70" t="s">
        <v>387</v>
      </c>
      <c r="AK175" s="70" t="s">
        <v>610</v>
      </c>
      <c r="AL175" s="70" t="s">
        <v>480</v>
      </c>
      <c r="AM175" s="70" t="s">
        <v>611</v>
      </c>
      <c r="AO175" s="70" t="str">
        <f t="shared" si="149"/>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50"/>
        <v>IOTF</v>
      </c>
      <c r="AX175" s="254" t="s">
        <v>387</v>
      </c>
      <c r="AY175" s="266">
        <f t="shared" si="151"/>
        <v>1.0010822400000001</v>
      </c>
    </row>
    <row r="176" spans="1:51">
      <c r="A176" s="45" t="str">
        <f t="shared" si="144"/>
        <v>Industry-Other-Other motive - Electricity</v>
      </c>
      <c r="B176" s="45" t="str">
        <f t="shared" si="154"/>
        <v>IOTOELC-E</v>
      </c>
      <c r="C176" s="46" t="str">
        <f t="shared" si="145"/>
        <v>IOTELC</v>
      </c>
      <c r="D176" s="46" t="str">
        <f>$B$5&amp;RIGHT($B167,2)&amp;$B$68</f>
        <v>IOTO</v>
      </c>
      <c r="E176" s="58">
        <f>Methodology!C35</f>
        <v>0.8</v>
      </c>
      <c r="F176" s="60">
        <f>SUMIF(AFA!$C$3:$L$3,RIGHT(D176,1),AFA!$C$4:$L$4)</f>
        <v>0.13081999999999999</v>
      </c>
      <c r="G176" s="59">
        <v>100</v>
      </c>
      <c r="H176" s="60">
        <f t="shared" si="152"/>
        <v>50.992255863017895</v>
      </c>
      <c r="J176" s="61">
        <v>1</v>
      </c>
      <c r="K176" s="60">
        <f t="shared" si="146"/>
        <v>8.3385086400000006</v>
      </c>
      <c r="L176" s="60">
        <f t="shared" si="153"/>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7"/>
        <v>IOTOELC-E</v>
      </c>
      <c r="AI176" t="str">
        <f t="shared" si="148"/>
        <v>Industry-Other-Other motive - Electricity</v>
      </c>
      <c r="AJ176" s="70" t="s">
        <v>387</v>
      </c>
      <c r="AK176" s="70" t="s">
        <v>610</v>
      </c>
      <c r="AL176" s="70" t="s">
        <v>480</v>
      </c>
      <c r="AM176" s="70" t="s">
        <v>611</v>
      </c>
      <c r="AO176" s="70" t="str">
        <f t="shared" si="149"/>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50"/>
        <v>IOTO</v>
      </c>
      <c r="AX176" s="254" t="s">
        <v>387</v>
      </c>
      <c r="AY176" s="266">
        <f t="shared" si="151"/>
        <v>6.6708069120000006</v>
      </c>
    </row>
    <row r="177" spans="1:51">
      <c r="A177" s="45" t="str">
        <f t="shared" si="144"/>
        <v>Industry-Other-Electrochemical - Electricity</v>
      </c>
      <c r="B177" s="45" t="str">
        <f t="shared" si="154"/>
        <v>IOTEELC-E</v>
      </c>
      <c r="C177" s="46" t="str">
        <f t="shared" si="145"/>
        <v>IOTELC</v>
      </c>
      <c r="D177" s="46" t="str">
        <f>$B$5&amp;RIGHT($B167,2)&amp;$B$69</f>
        <v>IOTE</v>
      </c>
      <c r="E177" s="58">
        <f>Methodology!C27</f>
        <v>0.76</v>
      </c>
      <c r="F177" s="60">
        <f>SUMIF(AFA!$C$3:$L$3,RIGHT(D177,1),AFA!$C$4:$L$4)</f>
        <v>0.13233</v>
      </c>
      <c r="G177" s="59">
        <v>100</v>
      </c>
      <c r="H177" s="60">
        <f>L177/F177</f>
        <v>1.6905515121287691</v>
      </c>
      <c r="J177" s="61">
        <v>1</v>
      </c>
      <c r="K177" s="60">
        <f t="shared" si="146"/>
        <v>0.29435616000000003</v>
      </c>
      <c r="L177" s="60">
        <f t="shared" si="153"/>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7"/>
        <v>IOTEELC-E</v>
      </c>
      <c r="AI177" t="str">
        <f t="shared" si="148"/>
        <v>Industry-Other-Electrochemical - Electricity</v>
      </c>
      <c r="AJ177" s="70" t="s">
        <v>387</v>
      </c>
      <c r="AK177" s="70" t="s">
        <v>610</v>
      </c>
      <c r="AL177" s="70" t="s">
        <v>480</v>
      </c>
      <c r="AM177" s="70" t="s">
        <v>611</v>
      </c>
      <c r="AO177" s="70" t="str">
        <f t="shared" si="149"/>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50"/>
        <v>IOTE</v>
      </c>
      <c r="AX177" s="254" t="s">
        <v>387</v>
      </c>
      <c r="AY177" s="266">
        <f t="shared" si="151"/>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50"/>
        <v>*</v>
      </c>
      <c r="AX178" s="254" t="s">
        <v>387</v>
      </c>
      <c r="AY178" s="266">
        <f t="shared" si="151"/>
        <v>338.97013191086643</v>
      </c>
    </row>
    <row r="179" spans="1:51">
      <c r="A179" s="45" t="str">
        <f>A$5&amp;"-"&amp;A$19&amp;"-"&amp;A$70&amp;" - "&amp;VLOOKUP(RIGHT(C179,3),NameConv!$E$4:$G$23,2,FALSE)&amp;" - Existing"</f>
        <v>Industry-Other-boiler/process heating -  - Existing</v>
      </c>
      <c r="B179" s="45" t="str">
        <f t="shared" ref="B179:B187" si="155">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6">L179/F179</f>
        <v>421.66072470344204</v>
      </c>
      <c r="J179" s="61">
        <v>1</v>
      </c>
      <c r="K179" s="60">
        <f>J179*INDEX($C$10:$L$19,MATCH($B$167,$B$10:$B$19,0),MATCH($B$6&amp;RIGHT(C179,3),$C$6:$L$6,0))</f>
        <v>101.64</v>
      </c>
      <c r="L179" s="60">
        <f t="shared" ref="L179:L187" si="157">K179*E179</f>
        <v>65.049599999999998</v>
      </c>
      <c r="N179" s="78">
        <f t="shared" ref="N179:N188" si="158">L179/SUMIF($D$81:$D$187,$D179,$L$81:$L$187)</f>
        <v>0.94916610378800759</v>
      </c>
      <c r="O179" s="168">
        <f>N179</f>
        <v>0.94916610378800759</v>
      </c>
      <c r="P179" s="168">
        <f>O179</f>
        <v>0.94916610378800759</v>
      </c>
      <c r="Q179" s="168">
        <f>P179</f>
        <v>0.94916610378800759</v>
      </c>
      <c r="R179" s="168"/>
      <c r="S179" s="78">
        <f t="shared" ref="S179:S183" si="159">N179</f>
        <v>0.94916610378800759</v>
      </c>
      <c r="T179" s="77">
        <f t="shared" ref="T179:V179" si="160">S179*T$75</f>
        <v>0.85424949340920686</v>
      </c>
      <c r="U179" s="77">
        <f t="shared" si="160"/>
        <v>0</v>
      </c>
      <c r="V179" s="77">
        <f t="shared" si="160"/>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7"/>
        <v>IOTSCOA-E</v>
      </c>
      <c r="AI179" t="str">
        <f t="shared" si="148"/>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50"/>
        <v>IOTS</v>
      </c>
      <c r="AX179" s="254" t="s">
        <v>387</v>
      </c>
      <c r="AY179" s="266">
        <f t="shared" si="151"/>
        <v>68.533420800000002</v>
      </c>
    </row>
    <row r="180" spans="1:51">
      <c r="A180" s="45" t="str">
        <f>A$5&amp;"-"&amp;A$19&amp;"-"&amp;A$70&amp;" - "&amp;VLOOKUP(RIGHT(C180,3),NameConv!$E$4:$G$23,2,FALSE)&amp;" - Existing"</f>
        <v>Industry-Other-boiler/process heating -  - Existing</v>
      </c>
      <c r="B180" s="45" t="str">
        <f t="shared" si="155"/>
        <v>IOTSGAS-E</v>
      </c>
      <c r="C180" s="46" t="str">
        <f>G6</f>
        <v>INDGAS</v>
      </c>
      <c r="D180" s="46" t="str">
        <f>$B$5&amp;RIGHT($B167,2)&amp;$B$70</f>
        <v>IOTS</v>
      </c>
      <c r="E180" s="58">
        <f>Methodology!C41</f>
        <v>0.72</v>
      </c>
      <c r="F180" s="60">
        <f>SUMIF(AFA!$C$3:$L$3,RIGHT(D180,1),AFA!$C$4:$L$4)</f>
        <v>0.15426999999999999</v>
      </c>
      <c r="G180" s="59">
        <v>100</v>
      </c>
      <c r="H180" s="60">
        <f t="shared" si="156"/>
        <v>21.468853309133337</v>
      </c>
      <c r="J180" s="61">
        <v>1</v>
      </c>
      <c r="K180" s="60">
        <f>J180*INDEX($C$10:$L$19,MATCH($B$167,$B$10:$B$19,0),MATCH($B$6&amp;RIGHT(C180,3),$C$6:$L$6,0))</f>
        <v>4.5999999999999996</v>
      </c>
      <c r="L180" s="60">
        <f t="shared" si="157"/>
        <v>3.3119999999999998</v>
      </c>
      <c r="N180" s="78">
        <f t="shared" si="158"/>
        <v>4.8326786571260716E-2</v>
      </c>
      <c r="O180" s="77">
        <f t="shared" ref="O180:Q182" si="161">MIN(1,$N180+O$75)</f>
        <v>0.54832678657126066</v>
      </c>
      <c r="P180" s="77">
        <f t="shared" si="161"/>
        <v>1</v>
      </c>
      <c r="Q180" s="77">
        <f t="shared" si="161"/>
        <v>1</v>
      </c>
      <c r="R180" s="77"/>
      <c r="S180" s="78">
        <f t="shared" si="159"/>
        <v>4.8326786571260716E-2</v>
      </c>
      <c r="T180" s="77">
        <f t="shared" ref="T180:V180" si="162">S180*T$75</f>
        <v>4.3494107914134647E-2</v>
      </c>
      <c r="U180" s="77">
        <f t="shared" si="162"/>
        <v>0</v>
      </c>
      <c r="V180" s="77">
        <f t="shared" si="162"/>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7"/>
        <v>IOTSGAS-E</v>
      </c>
      <c r="AI180" t="str">
        <f t="shared" si="148"/>
        <v>Industry-Other-boiler/process heating -  - Existing</v>
      </c>
      <c r="AJ180" s="70" t="s">
        <v>387</v>
      </c>
      <c r="AK180" s="70" t="s">
        <v>610</v>
      </c>
      <c r="AL180" s="70" t="s">
        <v>480</v>
      </c>
      <c r="AM180" s="70" t="s">
        <v>611</v>
      </c>
      <c r="AO180" s="26" t="s">
        <v>476</v>
      </c>
      <c r="AP180" s="70" t="str">
        <f t="shared" ref="AP180:AP186" si="163">A180</f>
        <v>Industry-Other-boiler/process heating -  - Existing</v>
      </c>
      <c r="AQ180" s="245" t="s">
        <v>387</v>
      </c>
      <c r="AR180" s="70" t="s">
        <v>631</v>
      </c>
      <c r="AS180" s="70" t="s">
        <v>480</v>
      </c>
      <c r="AV180" s="72" t="s">
        <v>476</v>
      </c>
      <c r="AW180" s="72" t="str">
        <f t="shared" si="150"/>
        <v>*</v>
      </c>
      <c r="AX180" s="254" t="s">
        <v>387</v>
      </c>
      <c r="AY180" s="266">
        <f t="shared" si="151"/>
        <v>338.97013191086643</v>
      </c>
    </row>
    <row r="181" spans="1:51">
      <c r="A181" s="45" t="str">
        <f>A$5&amp;"-"&amp;A$19&amp;"-"&amp;A$70&amp;" - "&amp;VLOOKUP(RIGHT(C181,3),NameConv!$E$4:$G$23,2,FALSE)&amp;" - Existing"</f>
        <v>Industry-Other-boiler/process heating -  - Existing</v>
      </c>
      <c r="B181" s="45" t="str">
        <f t="shared" si="155"/>
        <v>IOTSOHF-E</v>
      </c>
      <c r="C181" s="46" t="str">
        <f>+$H$6</f>
        <v>INDOHF</v>
      </c>
      <c r="D181" s="46" t="str">
        <f>$B$5&amp;RIGHT($B167,2)&amp;$B$70</f>
        <v>IOTS</v>
      </c>
      <c r="E181" s="58">
        <f>Methodology!C42</f>
        <v>0.68</v>
      </c>
      <c r="F181" s="60">
        <f>SUMIF(AFA!$C$3:$L$3,RIGHT(D181,1),AFA!$C$4:$L$4)</f>
        <v>0.15426999999999999</v>
      </c>
      <c r="G181" s="59">
        <v>100</v>
      </c>
      <c r="H181" s="60">
        <f t="shared" si="156"/>
        <v>0</v>
      </c>
      <c r="J181" s="61">
        <v>1</v>
      </c>
      <c r="K181" s="60">
        <f>J181*INDEX($C$10:$L$19,MATCH($B$167,$B$10:$B$19,0),MATCH($B$6&amp;RIGHT(C181,3),$C$6:$L$6,0))</f>
        <v>0</v>
      </c>
      <c r="L181" s="60">
        <f t="shared" si="157"/>
        <v>0</v>
      </c>
      <c r="N181" s="78">
        <f t="shared" si="158"/>
        <v>0</v>
      </c>
      <c r="O181" s="77">
        <f t="shared" si="161"/>
        <v>0.5</v>
      </c>
      <c r="P181" s="77">
        <f t="shared" si="161"/>
        <v>1</v>
      </c>
      <c r="Q181" s="77">
        <f t="shared" si="161"/>
        <v>1</v>
      </c>
      <c r="R181" s="77"/>
      <c r="S181" s="78">
        <f t="shared" si="159"/>
        <v>0</v>
      </c>
      <c r="T181" s="77">
        <f t="shared" ref="T181:V181" si="164">S181*T$75</f>
        <v>0</v>
      </c>
      <c r="U181" s="77">
        <f t="shared" si="164"/>
        <v>0</v>
      </c>
      <c r="V181" s="77">
        <f t="shared" si="164"/>
        <v>0</v>
      </c>
      <c r="W181" s="74"/>
      <c r="Y181" s="74"/>
      <c r="Z181" s="14"/>
      <c r="AE181" s="13"/>
      <c r="AH181" t="str">
        <f t="shared" si="147"/>
        <v>IOTSOHF-E</v>
      </c>
      <c r="AI181" t="str">
        <f t="shared" si="148"/>
        <v>Industry-Other-boiler/process heating -  - Existing</v>
      </c>
      <c r="AJ181" s="70" t="s">
        <v>387</v>
      </c>
      <c r="AK181" s="70" t="s">
        <v>610</v>
      </c>
      <c r="AL181" s="70" t="s">
        <v>480</v>
      </c>
      <c r="AM181" s="70" t="s">
        <v>611</v>
      </c>
      <c r="AO181" s="26" t="s">
        <v>476</v>
      </c>
      <c r="AP181" s="70" t="str">
        <f t="shared" si="163"/>
        <v>Industry-Other-boiler/process heating -  - Existing</v>
      </c>
      <c r="AQ181" s="245" t="s">
        <v>387</v>
      </c>
      <c r="AR181" s="70" t="s">
        <v>631</v>
      </c>
      <c r="AS181" s="70" t="s">
        <v>480</v>
      </c>
      <c r="AV181" s="72" t="s">
        <v>476</v>
      </c>
      <c r="AW181" s="72" t="str">
        <f t="shared" si="150"/>
        <v>*</v>
      </c>
      <c r="AX181" s="254" t="s">
        <v>387</v>
      </c>
      <c r="AY181" s="266">
        <f t="shared" si="151"/>
        <v>338.97013191086643</v>
      </c>
    </row>
    <row r="182" spans="1:51">
      <c r="A182" s="45" t="str">
        <f>A$5&amp;"-"&amp;A$19&amp;"-"&amp;A$70&amp;" - "&amp;VLOOKUP(RIGHT(C182,3),NameConv!$E$4:$G$23,2,FALSE)&amp;" - Existing"</f>
        <v>Industry-Other-boiler/process heating -  - Existing</v>
      </c>
      <c r="B182" s="45" t="str">
        <f t="shared" si="155"/>
        <v>IOTSOLP-E</v>
      </c>
      <c r="C182" s="46" t="str">
        <f>+$I$6</f>
        <v>INDOLP</v>
      </c>
      <c r="D182" s="46" t="str">
        <f>$B$5&amp;RIGHT($B167,2)&amp;$B$70</f>
        <v>IOTS</v>
      </c>
      <c r="E182" s="58">
        <f>Methodology!C43</f>
        <v>0.72</v>
      </c>
      <c r="F182" s="60">
        <f>SUMIF(AFA!$C$3:$L$3,RIGHT(D182,1),AFA!$C$4:$L$4)</f>
        <v>0.15426999999999999</v>
      </c>
      <c r="G182" s="59">
        <v>100</v>
      </c>
      <c r="H182" s="60">
        <f t="shared" si="156"/>
        <v>0</v>
      </c>
      <c r="J182" s="61">
        <v>1</v>
      </c>
      <c r="K182" s="60">
        <f>J182*INDEX($C$10:$L$19,MATCH($B$167,$B$10:$B$19,0),MATCH($B$6&amp;RIGHT(C182,3),$C$6:$L$6,0))</f>
        <v>0</v>
      </c>
      <c r="L182" s="60">
        <f t="shared" si="157"/>
        <v>0</v>
      </c>
      <c r="N182" s="78">
        <f t="shared" si="158"/>
        <v>0</v>
      </c>
      <c r="O182" s="77">
        <f t="shared" si="161"/>
        <v>0.5</v>
      </c>
      <c r="P182" s="77">
        <f t="shared" si="161"/>
        <v>1</v>
      </c>
      <c r="Q182" s="77">
        <f t="shared" si="161"/>
        <v>1</v>
      </c>
      <c r="R182" s="77"/>
      <c r="S182" s="78">
        <f t="shared" si="159"/>
        <v>0</v>
      </c>
      <c r="T182" s="77">
        <f t="shared" ref="T182:V182" si="165">S182*T$75</f>
        <v>0</v>
      </c>
      <c r="U182" s="77">
        <f t="shared" si="165"/>
        <v>0</v>
      </c>
      <c r="V182" s="77">
        <f t="shared" si="165"/>
        <v>0</v>
      </c>
      <c r="W182" s="74"/>
      <c r="Y182" s="74"/>
      <c r="Z182" s="14"/>
      <c r="AE182" s="13"/>
      <c r="AH182" t="str">
        <f t="shared" si="147"/>
        <v>IOTSOLP-E</v>
      </c>
      <c r="AI182" t="str">
        <f t="shared" si="148"/>
        <v>Industry-Other-boiler/process heating -  - Existing</v>
      </c>
      <c r="AJ182" s="70" t="s">
        <v>387</v>
      </c>
      <c r="AK182" s="70" t="s">
        <v>610</v>
      </c>
      <c r="AL182" s="70" t="s">
        <v>480</v>
      </c>
      <c r="AM182" s="70" t="s">
        <v>611</v>
      </c>
      <c r="AO182" s="26" t="s">
        <v>476</v>
      </c>
      <c r="AP182" s="70" t="str">
        <f t="shared" si="163"/>
        <v>Industry-Other-boiler/process heating -  - Existing</v>
      </c>
      <c r="AQ182" s="245" t="s">
        <v>387</v>
      </c>
      <c r="AR182" s="70" t="s">
        <v>631</v>
      </c>
      <c r="AS182" s="70" t="s">
        <v>480</v>
      </c>
      <c r="AV182" s="72" t="s">
        <v>476</v>
      </c>
      <c r="AW182" s="72" t="str">
        <f t="shared" si="150"/>
        <v>*</v>
      </c>
      <c r="AX182" s="254" t="s">
        <v>387</v>
      </c>
      <c r="AY182" s="266">
        <f t="shared" si="151"/>
        <v>338.97013191086643</v>
      </c>
    </row>
    <row r="183" spans="1:51" ht="15">
      <c r="A183" s="45" t="str">
        <f>A$5&amp;"-"&amp;A$19&amp;"-"&amp;A$70&amp;" - "&amp;VLOOKUP(RIGHT(C183,3),NameConv!$E$4:$G$23,2,FALSE)&amp;" - Existing"</f>
        <v>Industry-Other-boiler/process heating -  - Existing</v>
      </c>
      <c r="B183" s="45" t="str">
        <f t="shared" si="155"/>
        <v>IOTSELC-E</v>
      </c>
      <c r="C183" s="46" t="str">
        <f>$P$18</f>
        <v>IOTELC</v>
      </c>
      <c r="D183" s="46" t="str">
        <f>$B$5&amp;RIGHT($B167,2)&amp;$B$70</f>
        <v>IOTS</v>
      </c>
      <c r="E183" s="58">
        <f>Methodology!C27</f>
        <v>0.76</v>
      </c>
      <c r="F183" s="60">
        <f>SUMIF(AFA!$C$3:$L$3,RIGHT(D183,1),AFA!$C$4:$L$4)</f>
        <v>0.15426999999999999</v>
      </c>
      <c r="G183" s="59">
        <v>100</v>
      </c>
      <c r="H183" s="60">
        <f t="shared" si="156"/>
        <v>1.1137667725416478</v>
      </c>
      <c r="J183" s="61">
        <v>1</v>
      </c>
      <c r="K183" s="60">
        <f>J183*INDEX($C$70:$K$70,MATCH($B167,$C$60:$K$60,0))</f>
        <v>0.22608</v>
      </c>
      <c r="L183" s="60">
        <f t="shared" si="157"/>
        <v>0.1718208</v>
      </c>
      <c r="N183" s="78">
        <f t="shared" si="158"/>
        <v>2.5071096407316648E-3</v>
      </c>
      <c r="O183" s="216">
        <v>0.1</v>
      </c>
      <c r="P183" s="216">
        <f>90%-P184</f>
        <v>0.30000000000000004</v>
      </c>
      <c r="Q183" s="216">
        <f>90%-Q184</f>
        <v>0.30000000000000004</v>
      </c>
      <c r="R183" s="77"/>
      <c r="S183" s="78">
        <f t="shared" si="159"/>
        <v>2.5071096407316648E-3</v>
      </c>
      <c r="T183" s="77">
        <f t="shared" ref="T183:V183" si="166">S183*T$75</f>
        <v>2.2563986766584985E-3</v>
      </c>
      <c r="U183" s="77">
        <f t="shared" si="166"/>
        <v>0</v>
      </c>
      <c r="V183" s="77">
        <f t="shared" si="166"/>
        <v>0</v>
      </c>
      <c r="W183" s="74"/>
      <c r="Y183" s="74"/>
      <c r="Z183" s="14"/>
      <c r="AE183" s="13"/>
      <c r="AH183" t="str">
        <f t="shared" si="147"/>
        <v>IOTSELC-E</v>
      </c>
      <c r="AI183" t="str">
        <f t="shared" si="148"/>
        <v>Industry-Other-boiler/process heating -  - Existing</v>
      </c>
      <c r="AJ183" s="70" t="s">
        <v>387</v>
      </c>
      <c r="AK183" s="70" t="s">
        <v>610</v>
      </c>
      <c r="AL183" s="70" t="s">
        <v>480</v>
      </c>
      <c r="AM183" s="70" t="s">
        <v>611</v>
      </c>
      <c r="AO183" s="26" t="s">
        <v>476</v>
      </c>
      <c r="AP183" s="70" t="str">
        <f t="shared" si="163"/>
        <v>Industry-Other-boiler/process heating -  - Existing</v>
      </c>
      <c r="AQ183" s="245" t="s">
        <v>387</v>
      </c>
      <c r="AR183" s="70" t="s">
        <v>631</v>
      </c>
      <c r="AS183" s="70" t="s">
        <v>632</v>
      </c>
      <c r="AV183" s="72" t="s">
        <v>476</v>
      </c>
      <c r="AW183" s="72" t="str">
        <f t="shared" si="150"/>
        <v>*</v>
      </c>
      <c r="AX183" s="254" t="s">
        <v>387</v>
      </c>
      <c r="AY183" s="266">
        <f t="shared" si="151"/>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J184" s="61">
        <v>1</v>
      </c>
      <c r="K184" s="60">
        <v>0</v>
      </c>
      <c r="L184" s="60">
        <f>K184*E184</f>
        <v>0</v>
      </c>
      <c r="N184" s="78">
        <f t="shared" si="158"/>
        <v>0</v>
      </c>
      <c r="O184" s="216">
        <v>0.02</v>
      </c>
      <c r="P184" s="216">
        <v>0.6</v>
      </c>
      <c r="Q184" s="216">
        <v>0.6</v>
      </c>
      <c r="R184" s="77"/>
      <c r="S184" s="78">
        <f t="shared" ref="S184:S188" si="167">N184</f>
        <v>0</v>
      </c>
      <c r="T184" s="77">
        <f t="shared" ref="T184:V184" si="168">S184*T$75</f>
        <v>0</v>
      </c>
      <c r="U184" s="77">
        <f t="shared" si="168"/>
        <v>0</v>
      </c>
      <c r="V184" s="77">
        <f t="shared" si="168"/>
        <v>0</v>
      </c>
      <c r="W184" s="74"/>
      <c r="Y184" s="74"/>
      <c r="Z184" s="14"/>
      <c r="AE184" s="13"/>
      <c r="AH184" t="str">
        <f t="shared" si="147"/>
        <v>IOTSELC-N</v>
      </c>
      <c r="AI184" t="str">
        <f t="shared" si="148"/>
        <v>Industry-Other-boiler/process heating -  - Heat Pump New</v>
      </c>
      <c r="AJ184" s="70" t="s">
        <v>387</v>
      </c>
      <c r="AK184" s="70" t="s">
        <v>610</v>
      </c>
      <c r="AL184" s="70" t="s">
        <v>480</v>
      </c>
      <c r="AM184" s="70" t="s">
        <v>611</v>
      </c>
      <c r="AO184" s="26" t="s">
        <v>476</v>
      </c>
      <c r="AP184" s="70" t="str">
        <f t="shared" si="163"/>
        <v>Industry-Other-boiler/process heating -  - Heat Pump New</v>
      </c>
      <c r="AQ184" s="245" t="s">
        <v>387</v>
      </c>
      <c r="AR184" s="70" t="s">
        <v>631</v>
      </c>
      <c r="AS184" s="70" t="s">
        <v>632</v>
      </c>
      <c r="AV184" s="72" t="s">
        <v>476</v>
      </c>
      <c r="AW184" s="72" t="str">
        <f t="shared" si="150"/>
        <v>*</v>
      </c>
      <c r="AX184" s="254" t="s">
        <v>387</v>
      </c>
      <c r="AY184" s="266">
        <f t="shared" si="151"/>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J185" s="61">
        <v>1</v>
      </c>
      <c r="K185" s="60">
        <v>0</v>
      </c>
      <c r="L185" s="60">
        <f>K185*E185</f>
        <v>0</v>
      </c>
      <c r="N185" s="78">
        <f t="shared" si="158"/>
        <v>0</v>
      </c>
      <c r="O185" s="77">
        <f t="shared" ref="O185:Q188" si="169">MIN(1,$N185+O$75)</f>
        <v>0.5</v>
      </c>
      <c r="P185" s="77">
        <f t="shared" si="169"/>
        <v>1</v>
      </c>
      <c r="Q185" s="77">
        <f t="shared" si="169"/>
        <v>1</v>
      </c>
      <c r="R185" s="77"/>
      <c r="S185" s="78">
        <f t="shared" si="167"/>
        <v>0</v>
      </c>
      <c r="T185" s="77">
        <f t="shared" ref="T185:V185" si="170">S185*T$75</f>
        <v>0</v>
      </c>
      <c r="U185" s="77">
        <f t="shared" si="170"/>
        <v>0</v>
      </c>
      <c r="V185" s="77">
        <f t="shared" si="170"/>
        <v>0</v>
      </c>
      <c r="W185" s="74"/>
      <c r="Y185" s="74"/>
      <c r="Z185" s="14"/>
      <c r="AE185" s="13"/>
      <c r="AH185" t="str">
        <f t="shared" si="147"/>
        <v>IOTSHGN-E</v>
      </c>
      <c r="AI185" t="str">
        <f t="shared" si="148"/>
        <v>Industry-Other-boiler/process heating - Hydrogen - New</v>
      </c>
      <c r="AJ185" s="70" t="s">
        <v>387</v>
      </c>
      <c r="AK185" s="70" t="s">
        <v>610</v>
      </c>
      <c r="AL185" s="70" t="s">
        <v>480</v>
      </c>
      <c r="AM185" s="70" t="s">
        <v>611</v>
      </c>
      <c r="AO185" s="26" t="s">
        <v>476</v>
      </c>
      <c r="AP185" s="70" t="str">
        <f t="shared" si="163"/>
        <v>Industry-Other-boiler/process heating - Hydrogen - New</v>
      </c>
      <c r="AQ185" s="245" t="s">
        <v>387</v>
      </c>
      <c r="AR185" s="70" t="s">
        <v>631</v>
      </c>
      <c r="AS185" s="70" t="s">
        <v>480</v>
      </c>
      <c r="AV185" s="72" t="s">
        <v>476</v>
      </c>
      <c r="AW185" s="72" t="str">
        <f t="shared" si="150"/>
        <v>*</v>
      </c>
      <c r="AX185" s="254" t="s">
        <v>387</v>
      </c>
      <c r="AY185" s="266">
        <f t="shared" si="151"/>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6"/>
        <v>0</v>
      </c>
      <c r="J186" s="61">
        <v>1</v>
      </c>
      <c r="K186" s="60">
        <f>J186*INDEX($C$10:$L$19,MATCH($B$167,$B$10:$B$19,0),MATCH($B$6&amp;RIGHT(C186,3),$C$6:$L$6,0))</f>
        <v>0</v>
      </c>
      <c r="L186" s="60">
        <f t="shared" si="157"/>
        <v>0</v>
      </c>
      <c r="N186" s="78">
        <f t="shared" si="158"/>
        <v>0</v>
      </c>
      <c r="O186" s="77">
        <f t="shared" si="169"/>
        <v>0.5</v>
      </c>
      <c r="P186" s="77">
        <f t="shared" si="169"/>
        <v>1</v>
      </c>
      <c r="Q186" s="77">
        <f t="shared" si="169"/>
        <v>1</v>
      </c>
      <c r="R186" s="77"/>
      <c r="S186" s="78">
        <f t="shared" si="167"/>
        <v>0</v>
      </c>
      <c r="T186" s="77">
        <f t="shared" ref="T186:V186" si="171">S186*T$75</f>
        <v>0</v>
      </c>
      <c r="U186" s="77">
        <f t="shared" si="171"/>
        <v>0</v>
      </c>
      <c r="V186" s="77">
        <f t="shared" si="171"/>
        <v>0</v>
      </c>
      <c r="W186" s="74"/>
      <c r="Y186" s="74"/>
      <c r="Z186" s="14"/>
      <c r="AE186" s="13"/>
      <c r="AH186" t="str">
        <f t="shared" si="147"/>
        <v>IOTSWAS-E</v>
      </c>
      <c r="AI186" t="str">
        <f t="shared" si="148"/>
        <v>Industry-Other-boiler/process heating -  - Existing</v>
      </c>
      <c r="AJ186" s="70" t="s">
        <v>387</v>
      </c>
      <c r="AK186" s="70" t="s">
        <v>610</v>
      </c>
      <c r="AL186" s="70" t="s">
        <v>480</v>
      </c>
      <c r="AM186" s="70" t="s">
        <v>611</v>
      </c>
      <c r="AO186" s="26" t="s">
        <v>476</v>
      </c>
      <c r="AP186" s="70" t="str">
        <f t="shared" si="163"/>
        <v>Industry-Other-boiler/process heating -  - Existing</v>
      </c>
      <c r="AQ186" s="245" t="s">
        <v>387</v>
      </c>
      <c r="AR186" s="70" t="s">
        <v>631</v>
      </c>
      <c r="AS186" s="70" t="s">
        <v>480</v>
      </c>
      <c r="AV186" s="72" t="s">
        <v>476</v>
      </c>
      <c r="AW186" s="72" t="str">
        <f t="shared" si="150"/>
        <v>*</v>
      </c>
      <c r="AX186" s="254" t="s">
        <v>387</v>
      </c>
      <c r="AY186" s="266">
        <f t="shared" si="151"/>
        <v>338.97013191086643</v>
      </c>
    </row>
    <row r="187" spans="1:51">
      <c r="A187" s="45" t="str">
        <f>A$5&amp;"-"&amp;A$19&amp;"-"&amp;A$42&amp;" - "&amp;VLOOKUP(RIGHT(C187,3),NameConv!$E$4:$G$20,2,FALSE)&amp;" - Existing"</f>
        <v>Industry-Other-Transport -  - Existing</v>
      </c>
      <c r="B187" s="45" t="str">
        <f t="shared" si="155"/>
        <v>IOTRODS-E</v>
      </c>
      <c r="C187" s="46" t="str">
        <f>+$E$6</f>
        <v>INDODS</v>
      </c>
      <c r="D187" s="46" t="str">
        <f>$B$5&amp;RIGHT($B$167,2)&amp;$B$42</f>
        <v>IOTR</v>
      </c>
      <c r="E187" s="58">
        <v>1</v>
      </c>
      <c r="F187" s="60">
        <v>1</v>
      </c>
      <c r="G187" s="59">
        <v>100</v>
      </c>
      <c r="H187" s="60">
        <f t="shared" si="156"/>
        <v>4.2</v>
      </c>
      <c r="J187" s="61">
        <v>1</v>
      </c>
      <c r="K187" s="60">
        <f>J187*INDEX($C$10:$L$19,MATCH($B$167,$B$10:$B$19,0),MATCH($B$6&amp;RIGHT(C187,3),$C$6:$L$6,0))</f>
        <v>4.2</v>
      </c>
      <c r="L187" s="60">
        <f t="shared" si="157"/>
        <v>4.2</v>
      </c>
      <c r="N187" s="78">
        <f t="shared" si="158"/>
        <v>1</v>
      </c>
      <c r="O187" s="77">
        <f t="shared" si="169"/>
        <v>1</v>
      </c>
      <c r="P187" s="77">
        <f t="shared" si="169"/>
        <v>1</v>
      </c>
      <c r="Q187" s="77">
        <f t="shared" si="169"/>
        <v>1</v>
      </c>
      <c r="R187" s="77"/>
      <c r="S187" s="78">
        <f t="shared" si="167"/>
        <v>1</v>
      </c>
      <c r="T187" s="77">
        <f t="shared" ref="T187:V187" si="172">S187*T$75</f>
        <v>0.9</v>
      </c>
      <c r="U187" s="77">
        <f t="shared" si="172"/>
        <v>0</v>
      </c>
      <c r="V187" s="77">
        <f t="shared" si="172"/>
        <v>0</v>
      </c>
      <c r="W187" s="74"/>
      <c r="Y187" s="74"/>
      <c r="Z187" s="14"/>
      <c r="AE187" s="13"/>
      <c r="AH187" t="str">
        <f t="shared" si="147"/>
        <v>IOTRODS-E</v>
      </c>
      <c r="AI187" t="str">
        <f t="shared" si="148"/>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50"/>
        <v>IOTR</v>
      </c>
      <c r="AX187" s="254" t="s">
        <v>387</v>
      </c>
      <c r="AY187" s="266">
        <f t="shared" si="151"/>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J188" s="61">
        <v>1</v>
      </c>
      <c r="K188" s="60">
        <v>0</v>
      </c>
      <c r="L188" s="60">
        <f>K188*E188</f>
        <v>0</v>
      </c>
      <c r="N188" s="78">
        <f t="shared" si="158"/>
        <v>0</v>
      </c>
      <c r="O188" s="77">
        <f t="shared" si="169"/>
        <v>0.5</v>
      </c>
      <c r="P188" s="77">
        <f t="shared" si="169"/>
        <v>1</v>
      </c>
      <c r="Q188" s="77">
        <f t="shared" si="169"/>
        <v>1</v>
      </c>
      <c r="R188" s="77"/>
      <c r="S188" s="78">
        <f t="shared" si="167"/>
        <v>0</v>
      </c>
      <c r="T188" s="77">
        <f t="shared" ref="T188:V188" si="173">S188*T$75</f>
        <v>0</v>
      </c>
      <c r="U188" s="77">
        <f t="shared" si="173"/>
        <v>0</v>
      </c>
      <c r="V188" s="77">
        <f t="shared" si="173"/>
        <v>0</v>
      </c>
      <c r="W188" s="74"/>
      <c r="Y188" s="74"/>
      <c r="Z188" s="14"/>
      <c r="AE188" s="13"/>
      <c r="AH188" t="str">
        <f t="shared" si="147"/>
        <v>IOTRELC-E</v>
      </c>
      <c r="AI188" t="str">
        <f t="shared" si="148"/>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50"/>
        <v>*</v>
      </c>
      <c r="AX188" s="254" t="s">
        <v>387</v>
      </c>
      <c r="AY188" s="266">
        <f t="shared" si="151"/>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Mccall</cp:lastModifiedBy>
  <cp:revision/>
  <dcterms:created xsi:type="dcterms:W3CDTF">2011-01-11T12:46:00Z</dcterms:created>
  <dcterms:modified xsi:type="dcterms:W3CDTF">2023-08-22T14:55:40Z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