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3.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Models\SATIMGE_Veda\SubRes_TMPL\"/>
    </mc:Choice>
  </mc:AlternateContent>
  <xr:revisionPtr revIDLastSave="0" documentId="13_ncr:1_{19A88EE2-E522-4B2B-BE35-6C8DAFD1972F}" xr6:coauthVersionLast="47" xr6:coauthVersionMax="47" xr10:uidLastSave="{00000000-0000-0000-0000-000000000000}"/>
  <bookViews>
    <workbookView xWindow="1125" yWindow="1125" windowWidth="26610" windowHeight="13740" activeTab="2" xr2:uid="{62F67F8D-DFD4-4ADE-8356-63F780461C4E}"/>
  </bookViews>
  <sheets>
    <sheet name="Cover" sheetId="7" r:id="rId1"/>
    <sheet name="ITEMS" sheetId="21" r:id="rId2"/>
    <sheet name="H2_Production" sheetId="18" r:id="rId3"/>
    <sheet name="SUP_H2Liquefaction" sheetId="4" r:id="rId4"/>
    <sheet name="SUP_H2Delivery" sheetId="5" r:id="rId5"/>
    <sheet name="SUP_H2Storage" sheetId="6" r:id="rId6"/>
    <sheet name="Aviation Synfuel Data" sheetId="8" r:id="rId7"/>
    <sheet name="Aviation Synfuel-Items" sheetId="9" r:id="rId8"/>
    <sheet name="Aviation Synfuel-TSData" sheetId="10" r:id="rId9"/>
    <sheet name="Aviation Synfuel-TIDData" sheetId="11" r:id="rId10"/>
    <sheet name="Hydrogen-Other" sheetId="12" r:id="rId11"/>
    <sheet name="Hydrogen-ELT" sheetId="13" r:id="rId12"/>
    <sheet name="H2Storage" sheetId="14" r:id="rId13"/>
    <sheet name="H2Storage-Items" sheetId="15" r:id="rId14"/>
    <sheet name="H2Storage-TSData" sheetId="16" r:id="rId15"/>
    <sheet name="H2Storage-TIDData" sheetId="17" r:id="rId16"/>
    <sheet name="ITEMS_UPS" sheetId="19" r:id="rId17"/>
    <sheet name="Deflator" sheetId="20" r:id="rId18"/>
  </sheets>
  <externalReferences>
    <externalReference r:id="rId19"/>
    <externalReference r:id="rId20"/>
    <externalReference r:id="rId21"/>
    <externalReference r:id="rId22"/>
    <externalReference r:id="rId23"/>
    <externalReference r:id="rId24"/>
    <externalReference r:id="rId25"/>
  </externalReferences>
  <definedNames>
    <definedName name="__123Graph_AEUMILKPN" hidden="1">#REF!</definedName>
    <definedName name="__FDS_HYPERLINK_TOGGLE_STATE__" hidden="1">"ON"</definedName>
    <definedName name="_AMO_RefreshMultipleList" hidden="1">"'296899469 426988102 362274166 589584065 285770244'"</definedName>
    <definedName name="_AMO_SingleObject_296899469__A1" localSheetId="17" hidden="1">#REF!</definedName>
    <definedName name="_AMO_SingleObject_296899469__A1" hidden="1">#REF!</definedName>
    <definedName name="_AMO_UniqueIdentifier" hidden="1">"'ee2dcedb-2b19-4872-8d76-977f9596c89e'"</definedName>
    <definedName name="_AMO_XmlVersion" hidden="1">"'1'"</definedName>
    <definedName name="_AtRisk_SimSetting_AutomaticallyGenerateReports" hidden="1">FALSE</definedName>
    <definedName name="_AtRisk_SimSetting_AutomaticResultsDisplayMode" localSheetId="17" hidden="1">0</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localSheetId="17" hidden="1">7</definedName>
    <definedName name="_AtRisk_SimSetting_RandomNumberGenerator" hidden="1">0</definedName>
    <definedName name="_AtRisk_SimSetting_ReportsList" localSheetId="17" hidden="1">1832</definedName>
    <definedName name="_AtRisk_SimSetting_ReportsList" hidden="1">0</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localSheetId="17" hidden="1">0</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GR">[1]Index!$C$7</definedName>
    <definedName name="COM">[1]Index!$C$8</definedName>
    <definedName name="CV_Coal">'[2]Calorific values'!$B$18</definedName>
    <definedName name="CV_GasSASOL">'[2]Calorific values'!$B$8</definedName>
    <definedName name="Demand.Sectors" localSheetId="12">[3]Index!$D$2:$J$2</definedName>
    <definedName name="Demand.Sectors">[3]Index!$D$2:$J$2</definedName>
    <definedName name="diesel.cv">[4]units!$B$2</definedName>
    <definedName name="drate">'[5]TechWATv5 (supwat5)'!$E$3</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missions_start" localSheetId="12">[3]NameConv!$AY$4</definedName>
    <definedName name="emissions_start">[3]NameConv!$AY$4</definedName>
    <definedName name="emissions_types" localSheetId="12">[3]NameConv!$AX$3</definedName>
    <definedName name="emissions_types">[3]NameConv!$AX$3</definedName>
    <definedName name="Evaluate">H2Storage!$F$24</definedName>
    <definedName name="FuelNames" localSheetId="12">[3]NameConv!$B$5:$C$44</definedName>
    <definedName name="FuelNames">[3]NameConv!$B$5:$C$44</definedName>
    <definedName name="FuelNamesLong">[3]NameConv!$B$5:$B$44</definedName>
    <definedName name="FuelNamesShort">[3]NameConv!$C$5:$C$44</definedName>
    <definedName name="gwpch4">'[2]SASOL CC 2019 report'!$E$98</definedName>
    <definedName name="gwpn2o">'[2]SASOL CC 2019 report'!$E$97</definedName>
    <definedName name="H2.LHV.MJ_kg" localSheetId="17">'[3]Hydrogen-ELT'!$D$39</definedName>
    <definedName name="H2.LHV.MJ_kg">'Hydrogen-ELT'!$D$39</definedName>
    <definedName name="inchtocentimetre" localSheetId="12">[3]Distribution!$A$17</definedName>
    <definedName name="inchtocentimetre">[3]Distribution!$A$17</definedName>
    <definedName name="IND">[1]Index!$C$9</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Model_RUN_code" localSheetId="12">[3]Index!$A$2</definedName>
    <definedName name="Model_RUN_code">[3]Index!$A$2</definedName>
    <definedName name="New_basic_data_start">'[6]New Capacity basic data'!$B$9</definedName>
    <definedName name="Pal_Workbook_GUID" hidden="1">"E2D7SR7Q3BDXUD24G1M1SK63"</definedName>
    <definedName name="petrol.cv">[4]units!$B$3</definedName>
    <definedName name="REF.crude.CAP_rel.2020">'[3]Crude refineries'!$F$56</definedName>
    <definedName name="REF.crude.CAP_rel.2021">'[3]Crude refineries'!$G$56</definedName>
    <definedName name="REF.crude.CAP_rel.2022">'[3]Crude refineries'!$H$56</definedName>
    <definedName name="REF.crude.CAP_rel.2030">'[3]Crude refineries'!$J$56</definedName>
    <definedName name="REF.crude.CAP_rel.2040">'[3]Crude refineries'!$L$56</definedName>
    <definedName name="RES">[1]Index!$C$10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localSheetId="17" hidden="1">1</definedName>
    <definedName name="RiskFixedSeed" hidden="1">2030000</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localSheetId="17" hidden="1">5000</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localSheetId="17" hidden="1">1</definedName>
    <definedName name="RiskStandardRecalc" hidden="1">2</definedName>
    <definedName name="RiskUpdateDisplay" hidden="1">FALSE</definedName>
    <definedName name="RiskUseDifferentSeedForEachSim" hidden="1">FALSE</definedName>
    <definedName name="RiskUseFixedSeed" localSheetId="17" hidden="1">FALSE</definedName>
    <definedName name="RiskUseFixedSeed" hidden="1">TRUE</definedName>
    <definedName name="RiskUseMultipleCPUs" localSheetId="17" hidden="1">TRUE</definedName>
    <definedName name="RiskUseMultipleCPUs" hidden="1">FALSE</definedName>
    <definedName name="Sector.Agriculture" localSheetId="12">[3]Index!$D$2</definedName>
    <definedName name="Sector.Agriculture">[3]Index!$D$2</definedName>
    <definedName name="Sector.Commercial" localSheetId="12">[3]Index!$E$2</definedName>
    <definedName name="Sector.Commercial">[3]Index!$E$2</definedName>
    <definedName name="Sector.Industry" localSheetId="12">[3]Index!$F$2</definedName>
    <definedName name="Sector.Industry">[3]Index!$F$2</definedName>
    <definedName name="Sector.Power" localSheetId="12">[3]Index!$I$2</definedName>
    <definedName name="Sector.Power">[3]Index!$I$2</definedName>
    <definedName name="Sector.Residential" localSheetId="12">[3]Index!$H$2</definedName>
    <definedName name="Sector.Residential">[3]Index!$H$2</definedName>
    <definedName name="Sector.Supply" localSheetId="12">[3]Index!$J$2</definedName>
    <definedName name="Sector.Supply">[3]Index!$J$2</definedName>
    <definedName name="Sector.Transport" localSheetId="12">[3]Index!$G$2</definedName>
    <definedName name="Sector.Transport">[3]Index!$G$2</definedName>
    <definedName name="sector_prefix" localSheetId="17">[3]UPS!$B$6</definedName>
    <definedName name="sector_prefix" localSheetId="12">H2_Production!#REF!</definedName>
    <definedName name="sector_prefix">H2_Production!#REF!</definedName>
    <definedName name="SectorNamesLong">[3]NameConv!$C$49:$C$57</definedName>
    <definedName name="SectorNamesShort">[3]NameConv!$B$49:$B$57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RA">[1]Index!$C$11</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XLSIMSIM" localSheetId="17"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 name="zar.2006">[7]Deflator!$L$4</definedName>
    <definedName name="zar.2009">[7]Deflator!$O$4</definedName>
    <definedName name="zar.2010">[7]Deflator!$P$4</definedName>
    <definedName name="zar.2012">[7]Deflator!$R$4</definedName>
    <definedName name="zar.2013">[7]Deflator!$S$4</definedName>
    <definedName name="zar.2014">[7]Deflator!$T$4</definedName>
    <definedName name="zar.2015">[7]Deflator!$U$4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0" i="21" l="1"/>
  <c r="C9" i="21"/>
  <c r="C8" i="21"/>
  <c r="B10" i="21"/>
  <c r="B9" i="21"/>
  <c r="B8" i="21"/>
  <c r="C7" i="21"/>
  <c r="B7" i="21"/>
  <c r="C6" i="21"/>
  <c r="B6" i="21"/>
  <c r="Y21" i="18" l="1"/>
  <c r="J21" i="18"/>
  <c r="S21" i="18"/>
  <c r="R21" i="18"/>
  <c r="Q21" i="18"/>
  <c r="P21" i="18"/>
  <c r="O21" i="18"/>
  <c r="S18" i="18"/>
  <c r="R18" i="18"/>
  <c r="Q18" i="18"/>
  <c r="P18" i="18"/>
  <c r="O18" i="18"/>
  <c r="I21" i="18" l="1"/>
  <c r="I18" i="18"/>
  <c r="J18" i="18"/>
  <c r="H21" i="18"/>
  <c r="H18" i="18"/>
  <c r="A3" i="20"/>
  <c r="AE3" i="20"/>
  <c r="AF3" i="20"/>
  <c r="P17" i="20"/>
  <c r="X13" i="20" s="1"/>
  <c r="Q17" i="20"/>
  <c r="R17" i="20"/>
  <c r="S17" i="20"/>
  <c r="T17" i="20"/>
  <c r="U17" i="20"/>
  <c r="V17" i="20"/>
  <c r="X19" i="20"/>
  <c r="Y19" i="20" s="1"/>
  <c r="U20" i="20"/>
  <c r="T20" i="20" s="1"/>
  <c r="V20" i="20"/>
  <c r="V21" i="20" s="1"/>
  <c r="W20" i="20"/>
  <c r="W21" i="20" s="1"/>
  <c r="U21" i="20"/>
  <c r="P26" i="20"/>
  <c r="P27" i="20" s="1"/>
  <c r="F33" i="20"/>
  <c r="S20" i="20" l="1"/>
  <c r="T21" i="20"/>
  <c r="X20" i="20"/>
  <c r="Q26" i="20"/>
  <c r="O26" i="20"/>
  <c r="Z3" i="20"/>
  <c r="Y3" i="20" l="1"/>
  <c r="Z4" i="20"/>
  <c r="AA3" i="20"/>
  <c r="Y20" i="20"/>
  <c r="Y21" i="20" s="1"/>
  <c r="X21" i="20"/>
  <c r="Q27" i="20"/>
  <c r="R26" i="20"/>
  <c r="O27" i="20"/>
  <c r="N26" i="20"/>
  <c r="R20" i="20"/>
  <c r="S21" i="20"/>
  <c r="M26" i="20" l="1"/>
  <c r="N27" i="20"/>
  <c r="R27" i="20"/>
  <c r="S26" i="20"/>
  <c r="AA4" i="20"/>
  <c r="AB3" i="20"/>
  <c r="Q20" i="20"/>
  <c r="R21" i="20"/>
  <c r="Y4" i="20"/>
  <c r="X3" i="20"/>
  <c r="AC3" i="20" l="1"/>
  <c r="AB4" i="20"/>
  <c r="S27" i="20"/>
  <c r="T26" i="20"/>
  <c r="P20" i="20"/>
  <c r="Q21" i="20"/>
  <c r="X4" i="20"/>
  <c r="W3" i="20"/>
  <c r="M27" i="20"/>
  <c r="L26" i="20"/>
  <c r="W4" i="20" l="1"/>
  <c r="V3" i="20"/>
  <c r="O20" i="20"/>
  <c r="P21" i="20"/>
  <c r="L27" i="20"/>
  <c r="K26" i="20"/>
  <c r="T27" i="20"/>
  <c r="U26" i="20"/>
  <c r="AC4" i="20"/>
  <c r="AD3" i="20"/>
  <c r="AD4" i="20" s="1"/>
  <c r="J26" i="20" l="1"/>
  <c r="K27" i="20"/>
  <c r="N20" i="20"/>
  <c r="O21" i="20"/>
  <c r="U27" i="20"/>
  <c r="V26" i="20"/>
  <c r="V4" i="20"/>
  <c r="U3" i="20"/>
  <c r="U4" i="20" l="1"/>
  <c r="B15" i="20"/>
  <c r="B14" i="20" s="1"/>
  <c r="T3" i="20"/>
  <c r="M20" i="20"/>
  <c r="N21" i="20"/>
  <c r="W26" i="20"/>
  <c r="W27" i="20" s="1"/>
  <c r="V27" i="20"/>
  <c r="J27" i="20"/>
  <c r="I26" i="20"/>
  <c r="M21" i="20" l="1"/>
  <c r="L20" i="20"/>
  <c r="T4" i="20"/>
  <c r="S3" i="20"/>
  <c r="I27" i="20"/>
  <c r="H26" i="20"/>
  <c r="H27" i="20" l="1"/>
  <c r="G26" i="20"/>
  <c r="K20" i="20"/>
  <c r="L21" i="20"/>
  <c r="S4" i="20"/>
  <c r="R3" i="20"/>
  <c r="R4" i="20" l="1"/>
  <c r="Q3" i="20"/>
  <c r="J20" i="20"/>
  <c r="K21" i="20"/>
  <c r="G27" i="20"/>
  <c r="F26" i="20"/>
  <c r="J21" i="20" l="1"/>
  <c r="I20" i="20"/>
  <c r="F27" i="20"/>
  <c r="E26" i="20"/>
  <c r="Q4" i="20"/>
  <c r="P3" i="20"/>
  <c r="P4" i="20" l="1"/>
  <c r="O3" i="20"/>
  <c r="E27" i="20"/>
  <c r="D26" i="20"/>
  <c r="H20" i="20"/>
  <c r="I21" i="20"/>
  <c r="G20" i="20" l="1"/>
  <c r="H21" i="20"/>
  <c r="D27" i="20"/>
  <c r="C26" i="20"/>
  <c r="O4" i="20"/>
  <c r="N3" i="20"/>
  <c r="M3" i="20" l="1"/>
  <c r="N4" i="20"/>
  <c r="C27" i="20"/>
  <c r="B26" i="20"/>
  <c r="B27" i="20" s="1"/>
  <c r="F20" i="20"/>
  <c r="G21" i="20"/>
  <c r="E20" i="20" l="1"/>
  <c r="F21" i="20"/>
  <c r="M4" i="20"/>
  <c r="L3" i="20"/>
  <c r="K3" i="20" l="1"/>
  <c r="L4" i="20"/>
  <c r="D20" i="20"/>
  <c r="E21" i="20"/>
  <c r="C20" i="20" l="1"/>
  <c r="D21" i="20"/>
  <c r="K4" i="20"/>
  <c r="J3" i="20"/>
  <c r="J4" i="20" l="1"/>
  <c r="I3" i="20"/>
  <c r="B20" i="20"/>
  <c r="B21" i="20" s="1"/>
  <c r="C21" i="20"/>
  <c r="I4" i="20" l="1"/>
  <c r="H3" i="20"/>
  <c r="H4" i="20" l="1"/>
  <c r="G3" i="20"/>
  <c r="G4" i="20" l="1"/>
  <c r="F3" i="20"/>
  <c r="F4" i="20" l="1"/>
  <c r="E3" i="20"/>
  <c r="E4" i="20" l="1"/>
  <c r="D3" i="20"/>
  <c r="D4" i="20" l="1"/>
  <c r="C3" i="20"/>
  <c r="C4" i="20" l="1"/>
  <c r="B3" i="20"/>
  <c r="B4" i="20" s="1"/>
  <c r="M7" i="18" l="1"/>
  <c r="M15" i="18" s="1"/>
  <c r="C35" i="19" l="1"/>
  <c r="C16" i="19"/>
  <c r="E16" i="19" s="1"/>
  <c r="D14" i="19"/>
  <c r="D23" i="19"/>
  <c r="D25" i="19"/>
  <c r="A1" i="19"/>
  <c r="B9" i="19"/>
  <c r="B10" i="19"/>
  <c r="B11" i="19"/>
  <c r="B12" i="19"/>
  <c r="B14" i="19"/>
  <c r="B15" i="19"/>
  <c r="B16" i="19"/>
  <c r="D16" i="19"/>
  <c r="B17" i="19"/>
  <c r="B19" i="19"/>
  <c r="D19" i="19"/>
  <c r="B20" i="19"/>
  <c r="D20" i="19"/>
  <c r="B21" i="19"/>
  <c r="D21" i="19"/>
  <c r="B23" i="19"/>
  <c r="B24" i="19"/>
  <c r="B25" i="19"/>
  <c r="B26" i="19"/>
  <c r="B27" i="19"/>
  <c r="B28" i="19"/>
  <c r="D28" i="19"/>
  <c r="B29" i="19"/>
  <c r="D29" i="19"/>
  <c r="B31" i="19"/>
  <c r="D31" i="19"/>
  <c r="B32" i="19"/>
  <c r="D32" i="19"/>
  <c r="B33" i="19"/>
  <c r="D33" i="19"/>
  <c r="B34" i="19"/>
  <c r="B35" i="19"/>
  <c r="D9" i="19"/>
  <c r="D10" i="19"/>
  <c r="D11" i="19"/>
  <c r="D15" i="19"/>
  <c r="D12" i="19"/>
  <c r="D17" i="19"/>
  <c r="C23" i="19"/>
  <c r="D26" i="19"/>
  <c r="L6" i="18"/>
  <c r="V6" i="18"/>
  <c r="C32" i="19"/>
  <c r="L10" i="18"/>
  <c r="V10" i="18"/>
  <c r="C33" i="19"/>
  <c r="E33" i="19" s="1"/>
  <c r="L14" i="18"/>
  <c r="V14" i="18"/>
  <c r="D34" i="19"/>
  <c r="C34" i="19"/>
  <c r="K18" i="18"/>
  <c r="L18" i="18"/>
  <c r="U18" i="18"/>
  <c r="V18" i="18"/>
  <c r="D35" i="19"/>
  <c r="K21" i="18"/>
  <c r="L21" i="18"/>
  <c r="V21" i="18"/>
  <c r="C19" i="19"/>
  <c r="C20" i="19"/>
  <c r="I3" i="17"/>
  <c r="I4" i="17"/>
  <c r="K2" i="16"/>
  <c r="AO3" i="16"/>
  <c r="AP3" i="16" s="1"/>
  <c r="AO4" i="16"/>
  <c r="AP4" i="16"/>
  <c r="AO5" i="16"/>
  <c r="AP5" i="16" s="1"/>
  <c r="AO6" i="16"/>
  <c r="AP6" i="16" s="1"/>
  <c r="AO7" i="16"/>
  <c r="AP7" i="16" s="1"/>
  <c r="J8" i="16" a="1"/>
  <c r="J8" i="16" s="1"/>
  <c r="J9" i="16" a="1"/>
  <c r="J9" i="16" s="1"/>
  <c r="K9" i="16" a="1"/>
  <c r="K9" i="16" s="1"/>
  <c r="AO10" i="16"/>
  <c r="AP10" i="16" s="1"/>
  <c r="AO11" i="16"/>
  <c r="AP11" i="16" s="1"/>
  <c r="J12" i="16" a="1"/>
  <c r="J12" i="16" s="1"/>
  <c r="J13" i="16" a="1"/>
  <c r="J13" i="16" s="1"/>
  <c r="K13" i="16" a="1"/>
  <c r="K13" i="16" s="1"/>
  <c r="J14" i="16" a="1"/>
  <c r="J14" i="16" s="1"/>
  <c r="K14" i="16" a="1"/>
  <c r="K14" i="16" s="1"/>
  <c r="D11" i="14"/>
  <c r="D14" i="14" s="1"/>
  <c r="F11" i="14"/>
  <c r="G11" i="14"/>
  <c r="H11" i="14"/>
  <c r="I11" i="14"/>
  <c r="J11" i="14" s="1"/>
  <c r="J12" i="14" s="1"/>
  <c r="J13" i="14" s="1"/>
  <c r="D12" i="14"/>
  <c r="D15" i="14" s="1"/>
  <c r="F12" i="14"/>
  <c r="G12" i="14"/>
  <c r="H12" i="14"/>
  <c r="H13" i="14" s="1"/>
  <c r="D13" i="14"/>
  <c r="D16" i="14" s="1"/>
  <c r="F13" i="14"/>
  <c r="G13" i="14"/>
  <c r="E14" i="14"/>
  <c r="E15" i="14"/>
  <c r="F15" i="14"/>
  <c r="G15" i="14"/>
  <c r="H15" i="14" s="1"/>
  <c r="I15" i="14" s="1"/>
  <c r="J15" i="14" s="1"/>
  <c r="E16" i="14"/>
  <c r="B24" i="14"/>
  <c r="B25" i="14" s="1"/>
  <c r="F27" i="14"/>
  <c r="F28" i="14"/>
  <c r="F29" i="14" s="1"/>
  <c r="B29" i="14"/>
  <c r="C38" i="14"/>
  <c r="E28" i="14" s="1"/>
  <c r="E29" i="14" s="1"/>
  <c r="C42" i="14"/>
  <c r="C44" i="14"/>
  <c r="F14" i="14" s="1"/>
  <c r="G14" i="14" s="1"/>
  <c r="H14" i="14" s="1"/>
  <c r="I14" i="14" s="1"/>
  <c r="J14" i="14" s="1"/>
  <c r="C45" i="14"/>
  <c r="C46" i="14"/>
  <c r="F16" i="14" s="1"/>
  <c r="G16" i="14" s="1"/>
  <c r="H16" i="14" s="1"/>
  <c r="I16" i="14" s="1"/>
  <c r="J16" i="14" s="1"/>
  <c r="C50" i="14"/>
  <c r="D27" i="14" s="1"/>
  <c r="D28" i="14" s="1"/>
  <c r="D29" i="14" s="1"/>
  <c r="F3" i="14" s="1"/>
  <c r="F4" i="14" s="1"/>
  <c r="H6" i="13"/>
  <c r="H8" i="13" s="1"/>
  <c r="D9" i="13"/>
  <c r="I12" i="13"/>
  <c r="J12" i="13"/>
  <c r="I13" i="13"/>
  <c r="J13" i="13"/>
  <c r="F14" i="13"/>
  <c r="G18" i="18" s="1"/>
  <c r="G14" i="13"/>
  <c r="H14" i="13"/>
  <c r="I14" i="13"/>
  <c r="J14" i="13"/>
  <c r="F15" i="13"/>
  <c r="G21" i="18" s="1"/>
  <c r="G15" i="13"/>
  <c r="H15" i="13"/>
  <c r="I15" i="13"/>
  <c r="J15" i="13"/>
  <c r="G16" i="13"/>
  <c r="H16" i="13"/>
  <c r="H17" i="13" s="1"/>
  <c r="I16" i="13"/>
  <c r="F17" i="13"/>
  <c r="U21" i="18" s="1"/>
  <c r="G17" i="13"/>
  <c r="D19" i="13"/>
  <c r="D20" i="13"/>
  <c r="D22" i="13"/>
  <c r="F40" i="13"/>
  <c r="G40" i="13"/>
  <c r="G57" i="13" s="1"/>
  <c r="H40" i="13"/>
  <c r="H57" i="13" s="1"/>
  <c r="I40" i="13"/>
  <c r="J40" i="13"/>
  <c r="F41" i="13"/>
  <c r="F47" i="13" s="1"/>
  <c r="F49" i="13" s="1"/>
  <c r="F53" i="13" s="1"/>
  <c r="G41" i="13"/>
  <c r="H41" i="13"/>
  <c r="M41" i="13" s="1"/>
  <c r="J41" i="13"/>
  <c r="I41" i="13" s="1"/>
  <c r="F42" i="13"/>
  <c r="G42" i="13"/>
  <c r="H42" i="13"/>
  <c r="H48" i="13" s="1"/>
  <c r="D45" i="13"/>
  <c r="F46" i="13"/>
  <c r="G46" i="13"/>
  <c r="G47" i="13" s="1"/>
  <c r="H46" i="13"/>
  <c r="I46" i="13"/>
  <c r="J46" i="13"/>
  <c r="H47" i="13"/>
  <c r="H49" i="13" s="1"/>
  <c r="H53" i="13" s="1"/>
  <c r="J47" i="13"/>
  <c r="F51" i="13"/>
  <c r="F6" i="13" s="1"/>
  <c r="G51" i="13"/>
  <c r="H51" i="13"/>
  <c r="G52" i="13"/>
  <c r="H52" i="13"/>
  <c r="H7" i="13" s="1"/>
  <c r="H9" i="13" s="1"/>
  <c r="F57" i="13"/>
  <c r="F58" i="13"/>
  <c r="G58" i="13"/>
  <c r="G60" i="13" s="1"/>
  <c r="G10" i="13" s="1"/>
  <c r="H58" i="13"/>
  <c r="F59" i="13"/>
  <c r="F61" i="13" s="1"/>
  <c r="F11" i="13" s="1"/>
  <c r="F21" i="18" s="1"/>
  <c r="G59" i="13"/>
  <c r="G61" i="13" s="1"/>
  <c r="G11" i="13" s="1"/>
  <c r="H59" i="13"/>
  <c r="F60" i="13"/>
  <c r="F10" i="13" s="1"/>
  <c r="F18" i="18" s="1"/>
  <c r="H60" i="13"/>
  <c r="H10" i="13" s="1"/>
  <c r="I10" i="13" s="1"/>
  <c r="H61" i="13"/>
  <c r="H11" i="13" s="1"/>
  <c r="A4" i="12"/>
  <c r="A5" i="12"/>
  <c r="A6" i="12"/>
  <c r="Y7" i="12"/>
  <c r="Y17" i="12"/>
  <c r="Y19" i="12" s="1"/>
  <c r="Y18" i="12"/>
  <c r="Y21" i="12"/>
  <c r="Z21" i="12"/>
  <c r="Z22" i="12"/>
  <c r="I25" i="12"/>
  <c r="L25" i="12"/>
  <c r="M25" i="12"/>
  <c r="N25" i="12"/>
  <c r="R28" i="12"/>
  <c r="O14" i="18" s="1"/>
  <c r="S28" i="12"/>
  <c r="P14" i="18" s="1"/>
  <c r="T28" i="12"/>
  <c r="R14" i="18" s="1"/>
  <c r="R29" i="12"/>
  <c r="S29" i="12"/>
  <c r="T29" i="12"/>
  <c r="R30" i="12"/>
  <c r="O6" i="18" s="1"/>
  <c r="S30" i="12"/>
  <c r="T30" i="12"/>
  <c r="AH30" i="12"/>
  <c r="AH32" i="12" s="1"/>
  <c r="R31" i="12"/>
  <c r="S31" i="12"/>
  <c r="T31" i="12"/>
  <c r="AH31" i="12"/>
  <c r="R32" i="12"/>
  <c r="U32" i="12" s="1"/>
  <c r="S32" i="12"/>
  <c r="T32" i="12"/>
  <c r="AG32" i="12"/>
  <c r="R33" i="12"/>
  <c r="S33" i="12"/>
  <c r="V33" i="12" s="1"/>
  <c r="T33" i="12"/>
  <c r="AG33" i="12"/>
  <c r="R34" i="12"/>
  <c r="S34" i="12"/>
  <c r="T34" i="12"/>
  <c r="R35" i="12"/>
  <c r="S35" i="12"/>
  <c r="T35" i="12"/>
  <c r="R36" i="12"/>
  <c r="S36" i="12"/>
  <c r="T36" i="12"/>
  <c r="F37" i="12"/>
  <c r="F38" i="12" s="1"/>
  <c r="R37" i="12"/>
  <c r="S37" i="12"/>
  <c r="T37" i="12"/>
  <c r="S38" i="12"/>
  <c r="T38" i="12"/>
  <c r="R39" i="12"/>
  <c r="S39" i="12"/>
  <c r="T39" i="12"/>
  <c r="R40" i="12"/>
  <c r="S40" i="12"/>
  <c r="T40" i="12"/>
  <c r="A64" i="12"/>
  <c r="A65" i="12"/>
  <c r="A66" i="12"/>
  <c r="O69" i="12"/>
  <c r="S14" i="18" s="1"/>
  <c r="P69" i="12"/>
  <c r="Q69" i="12"/>
  <c r="O70" i="12"/>
  <c r="P70" i="12"/>
  <c r="Q70" i="12"/>
  <c r="O71" i="12"/>
  <c r="S6" i="18" s="1"/>
  <c r="P71" i="12"/>
  <c r="Q71" i="12"/>
  <c r="O72" i="12"/>
  <c r="P72" i="12"/>
  <c r="Q72" i="12"/>
  <c r="O73" i="12"/>
  <c r="P73" i="12"/>
  <c r="Q73" i="12"/>
  <c r="O74" i="12"/>
  <c r="P74" i="12"/>
  <c r="Q74" i="12"/>
  <c r="O75" i="12"/>
  <c r="P75" i="12"/>
  <c r="Q75" i="12"/>
  <c r="O76" i="12"/>
  <c r="P76" i="12"/>
  <c r="Q76" i="12"/>
  <c r="O77" i="12"/>
  <c r="P77" i="12"/>
  <c r="Q77" i="12"/>
  <c r="O78" i="12"/>
  <c r="P78" i="12"/>
  <c r="Q78" i="12"/>
  <c r="A79" i="12"/>
  <c r="P79" i="12"/>
  <c r="Q79" i="12"/>
  <c r="A80" i="12"/>
  <c r="O80" i="12"/>
  <c r="P80" i="12"/>
  <c r="Q80" i="12"/>
  <c r="O81" i="12"/>
  <c r="P81" i="12"/>
  <c r="Q81" i="12"/>
  <c r="B90" i="12"/>
  <c r="B91" i="12"/>
  <c r="B93" i="12" s="1"/>
  <c r="W14" i="18" s="1"/>
  <c r="B92" i="12"/>
  <c r="D4" i="11"/>
  <c r="D13" i="11" s="1"/>
  <c r="D5" i="11"/>
  <c r="D7" i="11"/>
  <c r="D8" i="11"/>
  <c r="D12" i="11" s="1"/>
  <c r="D17" i="11" s="1"/>
  <c r="D11" i="11"/>
  <c r="D14" i="11"/>
  <c r="C15" i="11"/>
  <c r="C16" i="11" s="1"/>
  <c r="C17" i="11"/>
  <c r="C18" i="11" s="1"/>
  <c r="C19" i="11"/>
  <c r="C20" i="11"/>
  <c r="C21" i="11" s="1"/>
  <c r="C22" i="11" s="1"/>
  <c r="D20" i="11"/>
  <c r="E21" i="11"/>
  <c r="K2" i="10"/>
  <c r="L2" i="10" s="1"/>
  <c r="M2" i="10" s="1"/>
  <c r="N2" i="10"/>
  <c r="O2" i="10" s="1"/>
  <c r="P2" i="10" s="1"/>
  <c r="Q2" i="10"/>
  <c r="R2" i="10" s="1"/>
  <c r="S2" i="10"/>
  <c r="J4" i="10" a="1"/>
  <c r="J4" i="10" s="1"/>
  <c r="K4" i="10" a="1"/>
  <c r="K4" i="10"/>
  <c r="L4" i="10" a="1"/>
  <c r="L4" i="10"/>
  <c r="M4" i="10" a="1"/>
  <c r="M4" i="10" s="1"/>
  <c r="N4" i="10" a="1"/>
  <c r="N4" i="10" s="1"/>
  <c r="P4" i="10" a="1"/>
  <c r="P4" i="10" s="1"/>
  <c r="J5" i="10" a="1"/>
  <c r="J5" i="10" s="1"/>
  <c r="K5" i="10" a="1"/>
  <c r="K5" i="10" s="1"/>
  <c r="L5" i="10" a="1"/>
  <c r="L5" i="10" s="1"/>
  <c r="M5" i="10" a="1"/>
  <c r="M5" i="10" s="1"/>
  <c r="N5" i="10" a="1"/>
  <c r="N5" i="10" s="1"/>
  <c r="O5" i="10" a="1"/>
  <c r="O5" i="10"/>
  <c r="P5" i="10" a="1"/>
  <c r="P5" i="10"/>
  <c r="D6" i="10"/>
  <c r="D7" i="10"/>
  <c r="D8" i="10"/>
  <c r="P8" i="10" a="1"/>
  <c r="P8" i="10" s="1"/>
  <c r="D9" i="10"/>
  <c r="L12" i="10" a="1"/>
  <c r="L12" i="10"/>
  <c r="P14" i="10" a="1"/>
  <c r="P14" i="10" s="1"/>
  <c r="K15" i="10" a="1"/>
  <c r="K15" i="10"/>
  <c r="L15" i="10" a="1"/>
  <c r="L15" i="10" s="1"/>
  <c r="C16" i="10"/>
  <c r="C17" i="10"/>
  <c r="C18" i="10" s="1"/>
  <c r="C19" i="10" s="1"/>
  <c r="J17" i="10"/>
  <c r="K17" i="10"/>
  <c r="L17" i="10"/>
  <c r="M17" i="10"/>
  <c r="N17" i="10"/>
  <c r="O17" i="10"/>
  <c r="P17" i="10"/>
  <c r="Q17" i="10"/>
  <c r="R17" i="10"/>
  <c r="S17" i="10"/>
  <c r="T17" i="10"/>
  <c r="U17" i="10"/>
  <c r="V17" i="10"/>
  <c r="W17" i="10"/>
  <c r="X17" i="10"/>
  <c r="Y17" i="10"/>
  <c r="Z17" i="10"/>
  <c r="AA17" i="10"/>
  <c r="AB17" i="10"/>
  <c r="AC17" i="10"/>
  <c r="AD17" i="10"/>
  <c r="AE17" i="10"/>
  <c r="AF17" i="10"/>
  <c r="AG17" i="10"/>
  <c r="AH17" i="10"/>
  <c r="AI17" i="10"/>
  <c r="AJ17" i="10"/>
  <c r="AK17" i="10"/>
  <c r="AL17" i="10"/>
  <c r="AM17" i="10"/>
  <c r="AN17" i="10"/>
  <c r="AO17" i="10"/>
  <c r="D11" i="8"/>
  <c r="D12" i="8"/>
  <c r="D13" i="8"/>
  <c r="I13" i="8"/>
  <c r="J13" i="8" s="1"/>
  <c r="K13" i="8" s="1"/>
  <c r="L13" i="8" s="1"/>
  <c r="M13" i="8"/>
  <c r="D14" i="8"/>
  <c r="I14" i="8"/>
  <c r="J14" i="8" s="1"/>
  <c r="K14" i="8" s="1"/>
  <c r="L14" i="8" s="1"/>
  <c r="M14" i="8" s="1"/>
  <c r="G18" i="8"/>
  <c r="H18" i="8"/>
  <c r="I18" i="8"/>
  <c r="J18" i="8"/>
  <c r="K18" i="8" s="1"/>
  <c r="L18" i="8" s="1"/>
  <c r="M18" i="8" s="1"/>
  <c r="H19" i="8"/>
  <c r="I19" i="8" s="1"/>
  <c r="J19" i="8"/>
  <c r="K19" i="8" s="1"/>
  <c r="L19" i="8" s="1"/>
  <c r="M19" i="8" s="1"/>
  <c r="H20" i="8"/>
  <c r="I20" i="8"/>
  <c r="J20" i="8" s="1"/>
  <c r="K20" i="8" s="1"/>
  <c r="L20" i="8" s="1"/>
  <c r="M20" i="8" s="1"/>
  <c r="H21" i="8"/>
  <c r="I21" i="8"/>
  <c r="J21" i="8" s="1"/>
  <c r="K21" i="8" s="1"/>
  <c r="L21" i="8" s="1"/>
  <c r="M21" i="8" s="1"/>
  <c r="I28" i="8"/>
  <c r="J28" i="8"/>
  <c r="D29" i="8"/>
  <c r="I29" i="8"/>
  <c r="J29" i="8" s="1"/>
  <c r="B31" i="8"/>
  <c r="G31" i="8"/>
  <c r="B32" i="8"/>
  <c r="G32" i="8"/>
  <c r="D35" i="8"/>
  <c r="I39" i="8"/>
  <c r="J39" i="8"/>
  <c r="J40" i="8" s="1"/>
  <c r="C52" i="8"/>
  <c r="D52" i="8"/>
  <c r="C59" i="8"/>
  <c r="D59" i="8"/>
  <c r="C70" i="8"/>
  <c r="D70" i="8"/>
  <c r="C71" i="8"/>
  <c r="C83" i="8" s="1"/>
  <c r="C72" i="8"/>
  <c r="A75" i="8"/>
  <c r="A76" i="8" s="1"/>
  <c r="C80" i="8"/>
  <c r="C81" i="8" s="1"/>
  <c r="D28" i="8" s="1"/>
  <c r="C84" i="8"/>
  <c r="C87" i="8"/>
  <c r="C91" i="8"/>
  <c r="C96" i="8"/>
  <c r="C97" i="8"/>
  <c r="C99" i="8"/>
  <c r="B101" i="8"/>
  <c r="B106" i="8"/>
  <c r="B109" i="8"/>
  <c r="A111" i="8" s="1"/>
  <c r="A110" i="8"/>
  <c r="D110" i="8"/>
  <c r="D118" i="8" s="1"/>
  <c r="D119" i="8" s="1"/>
  <c r="D122" i="8" s="1"/>
  <c r="D123" i="8" s="1"/>
  <c r="G15" i="8" s="1"/>
  <c r="G16" i="8" s="1"/>
  <c r="D120" i="8"/>
  <c r="E120" i="8"/>
  <c r="F120" i="8"/>
  <c r="C132" i="8"/>
  <c r="C133" i="8"/>
  <c r="C134" i="8"/>
  <c r="C135" i="8"/>
  <c r="V135" i="8"/>
  <c r="R142" i="8"/>
  <c r="R143" i="8"/>
  <c r="R144" i="8"/>
  <c r="R145" i="8"/>
  <c r="R146" i="8"/>
  <c r="R147" i="8"/>
  <c r="R148" i="8"/>
  <c r="R149" i="8"/>
  <c r="R150" i="8"/>
  <c r="R151" i="8"/>
  <c r="R152" i="8"/>
  <c r="R153" i="8"/>
  <c r="O154" i="8"/>
  <c r="P6" i="18" l="1"/>
  <c r="P10" i="18" s="1"/>
  <c r="S75" i="12"/>
  <c r="V40" i="12"/>
  <c r="V36" i="12"/>
  <c r="V32" i="12"/>
  <c r="V35" i="12"/>
  <c r="R6" i="18"/>
  <c r="R10" i="18" s="1"/>
  <c r="R75" i="12"/>
  <c r="U33" i="12"/>
  <c r="R81" i="12"/>
  <c r="S80" i="12"/>
  <c r="R80" i="12"/>
  <c r="U39" i="12"/>
  <c r="R73" i="12"/>
  <c r="V38" i="12"/>
  <c r="R74" i="12"/>
  <c r="R72" i="12"/>
  <c r="V39" i="12"/>
  <c r="R71" i="12"/>
  <c r="S74" i="12"/>
  <c r="U40" i="12"/>
  <c r="U36" i="12"/>
  <c r="R76" i="12"/>
  <c r="R69" i="12"/>
  <c r="U30" i="12"/>
  <c r="S72" i="12"/>
  <c r="V30" i="12"/>
  <c r="S78" i="12"/>
  <c r="U35" i="12"/>
  <c r="V29" i="12"/>
  <c r="S81" i="12"/>
  <c r="S71" i="12"/>
  <c r="U29" i="12"/>
  <c r="S77" i="12"/>
  <c r="S70" i="12"/>
  <c r="V31" i="12"/>
  <c r="U28" i="12"/>
  <c r="S76" i="12"/>
  <c r="R70" i="12"/>
  <c r="U31" i="12"/>
  <c r="C31" i="19"/>
  <c r="E31" i="19" s="1"/>
  <c r="C28" i="19"/>
  <c r="F28" i="19" s="1"/>
  <c r="C29" i="19"/>
  <c r="F29" i="19" s="1"/>
  <c r="M11" i="18"/>
  <c r="F33" i="19"/>
  <c r="D111" i="8"/>
  <c r="D112" i="8" s="1"/>
  <c r="D113" i="8" s="1"/>
  <c r="D116" i="8" s="1"/>
  <c r="E116" i="8" s="1"/>
  <c r="C82" i="8"/>
  <c r="L13" i="10" a="1"/>
  <c r="L13" i="10" s="1"/>
  <c r="P12" i="10" a="1"/>
  <c r="P12" i="10" s="1"/>
  <c r="K7" i="10" a="1"/>
  <c r="K7" i="10" s="1"/>
  <c r="I27" i="8"/>
  <c r="J15" i="10" a="1"/>
  <c r="J15" i="10" s="1"/>
  <c r="J8" i="10" a="1"/>
  <c r="J8" i="10" s="1"/>
  <c r="M14" i="10" a="1"/>
  <c r="M14" i="10" s="1"/>
  <c r="F40" i="12"/>
  <c r="F39" i="12"/>
  <c r="AH33" i="12"/>
  <c r="AI31" i="12"/>
  <c r="AI33" i="12" s="1"/>
  <c r="L14" i="10" a="1"/>
  <c r="L14" i="10" s="1"/>
  <c r="M9" i="10" a="1"/>
  <c r="M9" i="10" s="1"/>
  <c r="R15" i="10" a="1"/>
  <c r="R15" i="10" s="1"/>
  <c r="T2" i="10"/>
  <c r="S4" i="10" a="1"/>
  <c r="S4" i="10" s="1"/>
  <c r="S5" i="10" a="1"/>
  <c r="S5" i="10" s="1"/>
  <c r="C131" i="8"/>
  <c r="T10" i="10" a="1"/>
  <c r="T10" i="10" s="1"/>
  <c r="L3" i="10" a="1"/>
  <c r="L3" i="10" s="1"/>
  <c r="R3" i="10" a="1"/>
  <c r="R3" i="10" s="1"/>
  <c r="M3" i="10" a="1"/>
  <c r="M3" i="10" s="1"/>
  <c r="S3" i="10" a="1"/>
  <c r="S3" i="10" s="1"/>
  <c r="N3" i="10" a="1"/>
  <c r="N3" i="10" s="1"/>
  <c r="T3" i="10" a="1"/>
  <c r="T3" i="10" s="1"/>
  <c r="O3" i="10" a="1"/>
  <c r="O3" i="10" s="1"/>
  <c r="J3" i="10" a="1"/>
  <c r="J3" i="10" s="1"/>
  <c r="P3" i="10" a="1"/>
  <c r="P3" i="10" s="1"/>
  <c r="Q3" i="10" a="1"/>
  <c r="Q3" i="10" s="1"/>
  <c r="N9" i="10" a="1"/>
  <c r="N9" i="10" s="1"/>
  <c r="M10" i="10" a="1"/>
  <c r="M10" i="10" s="1"/>
  <c r="J11" i="10" a="1"/>
  <c r="J11" i="10" s="1"/>
  <c r="R11" i="10" a="1"/>
  <c r="R11" i="10" s="1"/>
  <c r="M12" i="10" a="1"/>
  <c r="M12" i="10" s="1"/>
  <c r="P13" i="10" a="1"/>
  <c r="P13" i="10" s="1"/>
  <c r="J14" i="10" a="1"/>
  <c r="J14" i="10" s="1"/>
  <c r="P15" i="10" a="1"/>
  <c r="P15" i="10" s="1"/>
  <c r="L6" i="10" a="1"/>
  <c r="L6" i="10" s="1"/>
  <c r="J7" i="10" a="1"/>
  <c r="J7" i="10" s="1"/>
  <c r="S7" i="10" a="1"/>
  <c r="S7" i="10" s="1"/>
  <c r="Q8" i="10" a="1"/>
  <c r="Q8" i="10" s="1"/>
  <c r="N10" i="10" a="1"/>
  <c r="N10" i="10" s="1"/>
  <c r="K11" i="10" a="1"/>
  <c r="K11" i="10" s="1"/>
  <c r="N12" i="10" a="1"/>
  <c r="N12" i="10" s="1"/>
  <c r="Q13" i="10" a="1"/>
  <c r="Q13" i="10" s="1"/>
  <c r="Q14" i="10" a="1"/>
  <c r="Q14" i="10" s="1"/>
  <c r="O9" i="10" a="1"/>
  <c r="O9" i="10" s="1"/>
  <c r="O10" i="10" a="1"/>
  <c r="O10" i="10" s="1"/>
  <c r="L11" i="10" a="1"/>
  <c r="L11" i="10" s="1"/>
  <c r="S11" i="10" a="1"/>
  <c r="S11" i="10" s="1"/>
  <c r="O12" i="10" a="1"/>
  <c r="O12" i="10" s="1"/>
  <c r="J13" i="10" a="1"/>
  <c r="J13" i="10" s="1"/>
  <c r="R13" i="10" a="1"/>
  <c r="R13" i="10" s="1"/>
  <c r="K14" i="10" a="1"/>
  <c r="K14" i="10" s="1"/>
  <c r="M6" i="10" a="1"/>
  <c r="M6" i="10" s="1"/>
  <c r="L7" i="10" a="1"/>
  <c r="L7" i="10" s="1"/>
  <c r="T7" i="10" a="1"/>
  <c r="T7" i="10" s="1"/>
  <c r="P9" i="10" a="1"/>
  <c r="P9" i="10" s="1"/>
  <c r="K13" i="10" a="1"/>
  <c r="K13" i="10" s="1"/>
  <c r="R14" i="10" a="1"/>
  <c r="R14" i="10" s="1"/>
  <c r="M7" i="10" a="1"/>
  <c r="M7" i="10" s="1"/>
  <c r="K8" i="10" a="1"/>
  <c r="K8" i="10" s="1"/>
  <c r="Q9" i="10" a="1"/>
  <c r="Q9" i="10" s="1"/>
  <c r="P10" i="10" a="1"/>
  <c r="P10" i="10" s="1"/>
  <c r="M11" i="10" a="1"/>
  <c r="M11" i="10" s="1"/>
  <c r="T11" i="10" a="1"/>
  <c r="T11" i="10" s="1"/>
  <c r="S14" i="10" a="1"/>
  <c r="S14" i="10" s="1"/>
  <c r="S15" i="10" a="1"/>
  <c r="S15" i="10" s="1"/>
  <c r="J12" i="10" a="1"/>
  <c r="J12" i="10" s="1"/>
  <c r="M13" i="10" a="1"/>
  <c r="M13" i="10" s="1"/>
  <c r="N7" i="10" a="1"/>
  <c r="N7" i="10" s="1"/>
  <c r="J9" i="10" a="1"/>
  <c r="J9" i="10" s="1"/>
  <c r="Q10" i="10" a="1"/>
  <c r="Q10" i="10" s="1"/>
  <c r="N11" i="10" a="1"/>
  <c r="N11" i="10" s="1"/>
  <c r="Q12" i="10" a="1"/>
  <c r="Q12" i="10" s="1"/>
  <c r="K9" i="10" a="1"/>
  <c r="K9" i="10" s="1"/>
  <c r="S9" i="10" a="1"/>
  <c r="S9" i="10" s="1"/>
  <c r="J10" i="10" a="1"/>
  <c r="J10" i="10" s="1"/>
  <c r="N14" i="10" a="1"/>
  <c r="N14" i="10" s="1"/>
  <c r="T15" i="10" a="1"/>
  <c r="T15" i="10" s="1"/>
  <c r="K3" i="10" a="1"/>
  <c r="K3" i="10" s="1"/>
  <c r="Q6" i="10" a="1"/>
  <c r="Q6" i="10" s="1"/>
  <c r="O7" i="10" a="1"/>
  <c r="O7" i="10" s="1"/>
  <c r="L9" i="10" a="1"/>
  <c r="L9" i="10" s="1"/>
  <c r="R10" i="10" a="1"/>
  <c r="R10" i="10" s="1"/>
  <c r="O11" i="10" a="1"/>
  <c r="O11" i="10" s="1"/>
  <c r="K12" i="10" a="1"/>
  <c r="K12" i="10" s="1"/>
  <c r="R12" i="10" a="1"/>
  <c r="R12" i="10" s="1"/>
  <c r="N13" i="10" a="1"/>
  <c r="N13" i="10" s="1"/>
  <c r="N15" i="10" a="1"/>
  <c r="N15" i="10" s="1"/>
  <c r="T9" i="10" a="1"/>
  <c r="T9" i="10" s="1"/>
  <c r="K10" i="10" a="1"/>
  <c r="K10" i="10" s="1"/>
  <c r="S10" i="10" a="1"/>
  <c r="S10" i="10" s="1"/>
  <c r="O14" i="10" a="1"/>
  <c r="O14" i="10" s="1"/>
  <c r="Q15" i="10" a="1"/>
  <c r="Q15" i="10" s="1"/>
  <c r="T13" i="10" a="1"/>
  <c r="T13" i="10" s="1"/>
  <c r="L10" i="10" a="1"/>
  <c r="L10" i="10" s="1"/>
  <c r="S13" i="10" a="1"/>
  <c r="S13" i="10" s="1"/>
  <c r="K6" i="10" a="1"/>
  <c r="K6" i="10" s="1"/>
  <c r="O15" i="10" a="1"/>
  <c r="O15" i="10" s="1"/>
  <c r="T12" i="10" a="1"/>
  <c r="T12" i="10" s="1"/>
  <c r="Q11" i="10" a="1"/>
  <c r="Q11" i="10" s="1"/>
  <c r="Q7" i="10" a="1"/>
  <c r="Q7" i="10" s="1"/>
  <c r="D27" i="8"/>
  <c r="M15" i="10" a="1"/>
  <c r="M15" i="10" s="1"/>
  <c r="O13" i="10" a="1"/>
  <c r="O13" i="10" s="1"/>
  <c r="S12" i="10" a="1"/>
  <c r="S12" i="10" s="1"/>
  <c r="P11" i="10" a="1"/>
  <c r="P11" i="10" s="1"/>
  <c r="P7" i="10" a="1"/>
  <c r="P7" i="10" s="1"/>
  <c r="I17" i="13"/>
  <c r="J16" i="13"/>
  <c r="J17" i="13" s="1"/>
  <c r="O6" i="10" a="1"/>
  <c r="O6" i="10" s="1"/>
  <c r="J6" i="10" a="1"/>
  <c r="J6" i="10" s="1"/>
  <c r="P6" i="10" a="1"/>
  <c r="P6" i="10" s="1"/>
  <c r="N6" i="10" a="1"/>
  <c r="N6" i="10" s="1"/>
  <c r="T6" i="10" a="1"/>
  <c r="T6" i="10" s="1"/>
  <c r="Q5" i="10" a="1"/>
  <c r="Q5" i="10" s="1"/>
  <c r="S79" i="12"/>
  <c r="L8" i="10" a="1"/>
  <c r="L8" i="10" s="1"/>
  <c r="J10" i="13"/>
  <c r="I11" i="13"/>
  <c r="J11" i="13" s="1"/>
  <c r="E30" i="14"/>
  <c r="H3" i="14"/>
  <c r="D24" i="19"/>
  <c r="Q4" i="10" a="1"/>
  <c r="Q4" i="10" s="1"/>
  <c r="E35" i="19"/>
  <c r="F35" i="19"/>
  <c r="O10" i="18"/>
  <c r="G6" i="13"/>
  <c r="G8" i="13" s="1"/>
  <c r="F8" i="13"/>
  <c r="I3" i="14"/>
  <c r="I4" i="14" s="1"/>
  <c r="F30" i="14"/>
  <c r="J3" i="14"/>
  <c r="J4" i="14" s="1"/>
  <c r="O4" i="10" a="1"/>
  <c r="O4" i="10" s="1"/>
  <c r="S10" i="18"/>
  <c r="N8" i="10" a="1"/>
  <c r="N8" i="10" s="1"/>
  <c r="T8" i="10" a="1"/>
  <c r="T8" i="10" s="1"/>
  <c r="O8" i="10" a="1"/>
  <c r="O8" i="10" s="1"/>
  <c r="M8" i="10" a="1"/>
  <c r="M8" i="10" s="1"/>
  <c r="S8" i="10" a="1"/>
  <c r="S8" i="10" s="1"/>
  <c r="V37" i="12"/>
  <c r="U37" i="12"/>
  <c r="V34" i="12"/>
  <c r="U34" i="12"/>
  <c r="F48" i="13"/>
  <c r="F50" i="13" s="1"/>
  <c r="F54" i="13" s="1"/>
  <c r="F52" i="13"/>
  <c r="F7" i="13" s="1"/>
  <c r="E34" i="19"/>
  <c r="F34" i="19"/>
  <c r="S6" i="10" a="1"/>
  <c r="S6" i="10" s="1"/>
  <c r="R77" i="12"/>
  <c r="J49" i="13"/>
  <c r="J53" i="13" s="1"/>
  <c r="I51" i="13"/>
  <c r="I6" i="13" s="1"/>
  <c r="I8" i="13" s="1"/>
  <c r="I47" i="13"/>
  <c r="I49" i="13" s="1"/>
  <c r="I53" i="13" s="1"/>
  <c r="J51" i="13"/>
  <c r="J6" i="13" s="1"/>
  <c r="J8" i="13" s="1"/>
  <c r="G48" i="13"/>
  <c r="G50" i="13" s="1"/>
  <c r="G54" i="13" s="1"/>
  <c r="I12" i="14"/>
  <c r="I13" i="14" s="1"/>
  <c r="H50" i="13"/>
  <c r="H54" i="13" s="1"/>
  <c r="E20" i="19"/>
  <c r="F20" i="19"/>
  <c r="M42" i="13"/>
  <c r="J42" i="13" s="1"/>
  <c r="I42" i="13" s="1"/>
  <c r="L2" i="16"/>
  <c r="K8" i="16" a="1"/>
  <c r="K8" i="16" s="1"/>
  <c r="K12" i="16" a="1"/>
  <c r="K12" i="16" s="1"/>
  <c r="F23" i="19"/>
  <c r="E23" i="19"/>
  <c r="S73" i="12"/>
  <c r="C12" i="19"/>
  <c r="S69" i="12"/>
  <c r="V28" i="12"/>
  <c r="Y23" i="12"/>
  <c r="Y24" i="12" s="1"/>
  <c r="R78" i="12"/>
  <c r="E32" i="19"/>
  <c r="F32" i="19"/>
  <c r="AI30" i="12"/>
  <c r="AI32" i="12" s="1"/>
  <c r="G49" i="13"/>
  <c r="G53" i="13" s="1"/>
  <c r="E19" i="19"/>
  <c r="F19" i="19"/>
  <c r="C14" i="19"/>
  <c r="C21" i="19"/>
  <c r="C11" i="19"/>
  <c r="C26" i="19"/>
  <c r="F16" i="19"/>
  <c r="C10" i="19"/>
  <c r="D27" i="19"/>
  <c r="C25" i="19"/>
  <c r="E28" i="19" l="1"/>
  <c r="F31" i="19"/>
  <c r="E29" i="19"/>
  <c r="I52" i="13"/>
  <c r="I7" i="13" s="1"/>
  <c r="I9" i="13" s="1"/>
  <c r="I48" i="13"/>
  <c r="I50" i="13" s="1"/>
  <c r="I54" i="13" s="1"/>
  <c r="E25" i="19"/>
  <c r="F25" i="19"/>
  <c r="C25" i="8"/>
  <c r="F31" i="8"/>
  <c r="F32" i="8"/>
  <c r="E10" i="19"/>
  <c r="F10" i="19"/>
  <c r="E12" i="19"/>
  <c r="F12" i="19"/>
  <c r="U2" i="10"/>
  <c r="T4" i="10" a="1"/>
  <c r="T4" i="10" s="1"/>
  <c r="T5" i="10" a="1"/>
  <c r="T5" i="10" s="1"/>
  <c r="T14" i="10" a="1"/>
  <c r="T14" i="10" s="1"/>
  <c r="E14" i="19"/>
  <c r="F14" i="19"/>
  <c r="C17" i="19"/>
  <c r="G3" i="14"/>
  <c r="G4" i="14" s="1"/>
  <c r="H4" i="14"/>
  <c r="C15" i="19"/>
  <c r="C9" i="19"/>
  <c r="D31" i="8"/>
  <c r="G11" i="8" s="1"/>
  <c r="C24" i="19"/>
  <c r="E21" i="19"/>
  <c r="F21" i="19"/>
  <c r="G7" i="13"/>
  <c r="G9" i="13" s="1"/>
  <c r="F9" i="13"/>
  <c r="L9" i="16" a="1"/>
  <c r="L9" i="16" s="1"/>
  <c r="M2" i="16"/>
  <c r="L8" i="16" a="1"/>
  <c r="L8" i="16" s="1"/>
  <c r="L12" i="16" a="1"/>
  <c r="L12" i="16" s="1"/>
  <c r="L14" i="16" a="1"/>
  <c r="L14" i="16" s="1"/>
  <c r="L13" i="16" a="1"/>
  <c r="L13" i="16" s="1"/>
  <c r="D32" i="8"/>
  <c r="G12" i="8" s="1"/>
  <c r="J52" i="13"/>
  <c r="J7" i="13" s="1"/>
  <c r="J9" i="13" s="1"/>
  <c r="J48" i="13"/>
  <c r="J50" i="13" s="1"/>
  <c r="J54" i="13" s="1"/>
  <c r="W6" i="18"/>
  <c r="F42" i="12"/>
  <c r="C27" i="19"/>
  <c r="E26" i="19"/>
  <c r="F26" i="19"/>
  <c r="E11" i="19"/>
  <c r="F11" i="19"/>
  <c r="F43" i="12"/>
  <c r="F41" i="12"/>
  <c r="E118" i="8"/>
  <c r="E119" i="8" s="1"/>
  <c r="E122" i="8" s="1"/>
  <c r="E123" i="8" s="1"/>
  <c r="H15" i="8" s="1"/>
  <c r="F116" i="8"/>
  <c r="F118" i="8" s="1"/>
  <c r="F119" i="8" s="1"/>
  <c r="F122" i="8" s="1"/>
  <c r="F123" i="8" s="1"/>
  <c r="J15" i="8" s="1"/>
  <c r="H25" i="8"/>
  <c r="G10" i="8" s="1"/>
  <c r="D36" i="8"/>
  <c r="G5" i="8" s="1"/>
  <c r="I32" i="8"/>
  <c r="G14" i="8" s="1"/>
  <c r="R7" i="10" s="1" a="1"/>
  <c r="R7" i="10" s="1"/>
  <c r="I31" i="8"/>
  <c r="G13" i="8" s="1"/>
  <c r="R6" i="10" s="1" a="1"/>
  <c r="R6" i="10" s="1"/>
  <c r="I15" i="8" l="1"/>
  <c r="H16" i="8"/>
  <c r="O15" i="8"/>
  <c r="E24" i="19"/>
  <c r="F24" i="19"/>
  <c r="X6" i="18"/>
  <c r="X10" i="18" s="1"/>
  <c r="F44" i="12"/>
  <c r="N2" i="16"/>
  <c r="M9" i="16" a="1"/>
  <c r="M9" i="16" s="1"/>
  <c r="M12" i="16" a="1"/>
  <c r="M12" i="16" s="1"/>
  <c r="M14" i="16" a="1"/>
  <c r="M14" i="16" s="1"/>
  <c r="M13" i="16" a="1"/>
  <c r="M13" i="16" s="1"/>
  <c r="M8" i="16" a="1"/>
  <c r="M8" i="16" s="1"/>
  <c r="K15" i="8"/>
  <c r="Q15" i="8"/>
  <c r="J16" i="8"/>
  <c r="H11" i="8"/>
  <c r="I11" i="8" s="1"/>
  <c r="J11" i="8" s="1"/>
  <c r="K11" i="8" s="1"/>
  <c r="L11" i="8" s="1"/>
  <c r="M11" i="8" s="1"/>
  <c r="R8" i="10" a="1"/>
  <c r="R8" i="10" s="1"/>
  <c r="V2" i="10"/>
  <c r="U5" i="10" a="1"/>
  <c r="U5" i="10" s="1"/>
  <c r="U9" i="10" a="1"/>
  <c r="U9" i="10" s="1"/>
  <c r="U4" i="10" a="1"/>
  <c r="U4" i="10" s="1"/>
  <c r="U8" i="10" a="1"/>
  <c r="U8" i="10" s="1"/>
  <c r="U7" i="10" a="1"/>
  <c r="U7" i="10" s="1"/>
  <c r="U12" i="10" a="1"/>
  <c r="U12" i="10" s="1"/>
  <c r="U3" i="10" a="1"/>
  <c r="U3" i="10" s="1"/>
  <c r="U15" i="10" a="1"/>
  <c r="U15" i="10" s="1"/>
  <c r="U10" i="10" a="1"/>
  <c r="U10" i="10" s="1"/>
  <c r="U6" i="10" a="1"/>
  <c r="U6" i="10" s="1"/>
  <c r="U13" i="10" a="1"/>
  <c r="U13" i="10" s="1"/>
  <c r="U11" i="10" a="1"/>
  <c r="U11" i="10" s="1"/>
  <c r="U14" i="10" a="1"/>
  <c r="U14" i="10" s="1"/>
  <c r="W10" i="18"/>
  <c r="E27" i="19"/>
  <c r="F27" i="19"/>
  <c r="E17" i="19"/>
  <c r="F17" i="19"/>
  <c r="H5" i="8"/>
  <c r="I5" i="8" s="1"/>
  <c r="J5" i="8" s="1"/>
  <c r="K5" i="8" s="1"/>
  <c r="L5" i="8" s="1"/>
  <c r="M5" i="8" s="1"/>
  <c r="R4" i="10" a="1"/>
  <c r="R4" i="10" s="1"/>
  <c r="H10" i="8"/>
  <c r="I10" i="8" s="1"/>
  <c r="J10" i="8" s="1"/>
  <c r="K10" i="8" s="1"/>
  <c r="L10" i="8" s="1"/>
  <c r="M10" i="8" s="1"/>
  <c r="R5" i="10" a="1"/>
  <c r="R5" i="10" s="1"/>
  <c r="E9" i="19"/>
  <c r="F9" i="19"/>
  <c r="E15" i="19"/>
  <c r="F15" i="19"/>
  <c r="H12" i="8"/>
  <c r="I12" i="8" s="1"/>
  <c r="J12" i="8" s="1"/>
  <c r="K12" i="8" s="1"/>
  <c r="L12" i="8" s="1"/>
  <c r="M12" i="8" s="1"/>
  <c r="R9" i="10" a="1"/>
  <c r="R9" i="10" s="1"/>
  <c r="N8" i="16" l="1" a="1"/>
  <c r="N8" i="16" s="1"/>
  <c r="O2" i="16"/>
  <c r="N9" i="16" a="1"/>
  <c r="N9" i="16" s="1"/>
  <c r="N14" i="16" a="1"/>
  <c r="N14" i="16" s="1"/>
  <c r="N12" i="16" a="1"/>
  <c r="N12" i="16" s="1"/>
  <c r="N13" i="16" a="1"/>
  <c r="N13" i="16" s="1"/>
  <c r="K16" i="8"/>
  <c r="L16" i="8" s="1"/>
  <c r="M16" i="8" s="1"/>
  <c r="L15" i="8"/>
  <c r="M15" i="8" s="1"/>
  <c r="R15" i="8"/>
  <c r="W2" i="10"/>
  <c r="V4" i="10" a="1"/>
  <c r="V4" i="10" s="1"/>
  <c r="V5" i="10" a="1"/>
  <c r="V5" i="10" s="1"/>
  <c r="V15" i="10" a="1"/>
  <c r="V15" i="10" s="1"/>
  <c r="V7" i="10" a="1"/>
  <c r="V7" i="10" s="1"/>
  <c r="V10" i="10" a="1"/>
  <c r="V10" i="10" s="1"/>
  <c r="V6" i="10" a="1"/>
  <c r="V6" i="10" s="1"/>
  <c r="V13" i="10" a="1"/>
  <c r="V13" i="10" s="1"/>
  <c r="V11" i="10" a="1"/>
  <c r="V11" i="10" s="1"/>
  <c r="V8" i="10" a="1"/>
  <c r="V8" i="10" s="1"/>
  <c r="V12" i="10" a="1"/>
  <c r="V12" i="10" s="1"/>
  <c r="V9" i="10" a="1"/>
  <c r="V9" i="10" s="1"/>
  <c r="V3" i="10" a="1"/>
  <c r="V3" i="10" s="1"/>
  <c r="V14" i="10" a="1"/>
  <c r="V14" i="10" s="1"/>
  <c r="I16" i="8"/>
  <c r="P15" i="8"/>
  <c r="X2" i="10" l="1"/>
  <c r="W4" i="10" a="1"/>
  <c r="W4" i="10" s="1"/>
  <c r="W5" i="10" a="1"/>
  <c r="W5" i="10" s="1"/>
  <c r="W3" i="10" a="1"/>
  <c r="W3" i="10" s="1"/>
  <c r="W15" i="10" a="1"/>
  <c r="W15" i="10" s="1"/>
  <c r="W12" i="10" a="1"/>
  <c r="W12" i="10" s="1"/>
  <c r="W11" i="10" a="1"/>
  <c r="W11" i="10" s="1"/>
  <c r="W13" i="10" a="1"/>
  <c r="W13" i="10" s="1"/>
  <c r="W10" i="10" a="1"/>
  <c r="W10" i="10" s="1"/>
  <c r="W9" i="10" a="1"/>
  <c r="W9" i="10" s="1"/>
  <c r="W7" i="10" a="1"/>
  <c r="W7" i="10" s="1"/>
  <c r="W14" i="10" a="1"/>
  <c r="W14" i="10" s="1"/>
  <c r="W8" i="10" a="1"/>
  <c r="W8" i="10" s="1"/>
  <c r="W6" i="10" a="1"/>
  <c r="W6" i="10" s="1"/>
  <c r="O8" i="16" a="1"/>
  <c r="O8" i="16" s="1"/>
  <c r="O12" i="16" a="1"/>
  <c r="O12" i="16" s="1"/>
  <c r="P2" i="16"/>
  <c r="O9" i="16" a="1"/>
  <c r="O9" i="16" s="1"/>
  <c r="O14" i="16" a="1"/>
  <c r="O14" i="16" s="1"/>
  <c r="O13" i="16" a="1"/>
  <c r="O13" i="16" s="1"/>
  <c r="Q2" i="16" l="1"/>
  <c r="P8" i="16" a="1"/>
  <c r="P8" i="16" s="1"/>
  <c r="P9" i="16" a="1"/>
  <c r="P9" i="16" s="1"/>
  <c r="P14" i="16" a="1"/>
  <c r="P14" i="16" s="1"/>
  <c r="P13" i="16" a="1"/>
  <c r="P13" i="16" s="1"/>
  <c r="P12" i="16" a="1"/>
  <c r="P12" i="16" s="1"/>
  <c r="Y2" i="10"/>
  <c r="X4" i="10" a="1"/>
  <c r="X4" i="10" s="1"/>
  <c r="X5" i="10" a="1"/>
  <c r="X5" i="10" s="1"/>
  <c r="X15" i="10" a="1"/>
  <c r="X15" i="10" s="1"/>
  <c r="X10" i="10" a="1"/>
  <c r="X10" i="10" s="1"/>
  <c r="X12" i="10" a="1"/>
  <c r="X12" i="10" s="1"/>
  <c r="X7" i="10" a="1"/>
  <c r="X7" i="10" s="1"/>
  <c r="X11" i="10" a="1"/>
  <c r="X11" i="10" s="1"/>
  <c r="X14" i="10" a="1"/>
  <c r="X14" i="10" s="1"/>
  <c r="X13" i="10" a="1"/>
  <c r="X13" i="10" s="1"/>
  <c r="X3" i="10" a="1"/>
  <c r="X3" i="10" s="1"/>
  <c r="X9" i="10" a="1"/>
  <c r="X9" i="10" s="1"/>
  <c r="X6" i="10" a="1"/>
  <c r="X6" i="10" s="1"/>
  <c r="X8" i="10" a="1"/>
  <c r="X8" i="10" s="1"/>
  <c r="Z2" i="10" l="1"/>
  <c r="Y4" i="10" a="1"/>
  <c r="Y4" i="10" s="1"/>
  <c r="Y5" i="10" a="1"/>
  <c r="Y5" i="10" s="1"/>
  <c r="Y7" i="10" a="1"/>
  <c r="Y7" i="10" s="1"/>
  <c r="Y11" i="10" a="1"/>
  <c r="Y11" i="10" s="1"/>
  <c r="Y14" i="10" a="1"/>
  <c r="Y14" i="10" s="1"/>
  <c r="Y6" i="10" a="1"/>
  <c r="Y6" i="10" s="1"/>
  <c r="Y15" i="10" a="1"/>
  <c r="Y15" i="10" s="1"/>
  <c r="Y10" i="10" a="1"/>
  <c r="Y10" i="10" s="1"/>
  <c r="Y12" i="10" a="1"/>
  <c r="Y12" i="10" s="1"/>
  <c r="Y13" i="10" a="1"/>
  <c r="Y13" i="10" s="1"/>
  <c r="Y8" i="10" a="1"/>
  <c r="Y8" i="10" s="1"/>
  <c r="Y9" i="10" a="1"/>
  <c r="Y9" i="10" s="1"/>
  <c r="Y3" i="10" a="1"/>
  <c r="Y3" i="10" s="1"/>
  <c r="Q8" i="16" a="1"/>
  <c r="Q8" i="16" s="1"/>
  <c r="Q12" i="16" a="1"/>
  <c r="Q12" i="16" s="1"/>
  <c r="Q13" i="16" a="1"/>
  <c r="Q13" i="16" s="1"/>
  <c r="Q9" i="16" a="1"/>
  <c r="Q9" i="16" s="1"/>
  <c r="R2" i="16"/>
  <c r="Q14" i="16" a="1"/>
  <c r="Q14" i="16" s="1"/>
  <c r="R9" i="16" l="1" a="1"/>
  <c r="R9" i="16" s="1"/>
  <c r="S2" i="16"/>
  <c r="R8" i="16" a="1"/>
  <c r="R8" i="16" s="1"/>
  <c r="R13" i="16" a="1"/>
  <c r="R13" i="16" s="1"/>
  <c r="R12" i="16" a="1"/>
  <c r="R12" i="16" s="1"/>
  <c r="R14" i="16" a="1"/>
  <c r="R14" i="16" s="1"/>
  <c r="AA2" i="10"/>
  <c r="Z4" i="10" a="1"/>
  <c r="Z4" i="10" s="1"/>
  <c r="Z5" i="10" a="1"/>
  <c r="Z5" i="10" s="1"/>
  <c r="Z8" i="10" a="1"/>
  <c r="Z8" i="10" s="1"/>
  <c r="Z6" i="10" a="1"/>
  <c r="Z6" i="10" s="1"/>
  <c r="Z7" i="10" a="1"/>
  <c r="Z7" i="10" s="1"/>
  <c r="Z9" i="10" a="1"/>
  <c r="Z9" i="10" s="1"/>
  <c r="Z12" i="10" a="1"/>
  <c r="Z12" i="10" s="1"/>
  <c r="Z14" i="10" a="1"/>
  <c r="Z14" i="10" s="1"/>
  <c r="Z11" i="10" a="1"/>
  <c r="Z11" i="10" s="1"/>
  <c r="Z15" i="10" a="1"/>
  <c r="Z15" i="10" s="1"/>
  <c r="Z13" i="10" a="1"/>
  <c r="Z13" i="10" s="1"/>
  <c r="Z3" i="10" a="1"/>
  <c r="Z3" i="10" s="1"/>
  <c r="Z10" i="10" a="1"/>
  <c r="Z10" i="10" s="1"/>
  <c r="S9" i="16" l="1" a="1"/>
  <c r="S9" i="16" s="1"/>
  <c r="T2" i="16"/>
  <c r="S8" i="16" a="1"/>
  <c r="S8" i="16" s="1"/>
  <c r="S13" i="16" a="1"/>
  <c r="S13" i="16" s="1"/>
  <c r="S12" i="16" a="1"/>
  <c r="S12" i="16" s="1"/>
  <c r="S14" i="16" a="1"/>
  <c r="S14" i="16" s="1"/>
  <c r="AB2" i="10"/>
  <c r="AA4" i="10" a="1"/>
  <c r="AA4" i="10" s="1"/>
  <c r="AA5" i="10" a="1"/>
  <c r="AA5" i="10" s="1"/>
  <c r="AA3" i="10" a="1"/>
  <c r="AA3" i="10" s="1"/>
  <c r="AA6" i="10" a="1"/>
  <c r="AA6" i="10" s="1"/>
  <c r="AA14" i="10" a="1"/>
  <c r="AA14" i="10" s="1"/>
  <c r="AA13" i="10" a="1"/>
  <c r="AA13" i="10" s="1"/>
  <c r="AA12" i="10" a="1"/>
  <c r="AA12" i="10" s="1"/>
  <c r="AA7" i="10" a="1"/>
  <c r="AA7" i="10" s="1"/>
  <c r="AA8" i="10" a="1"/>
  <c r="AA8" i="10" s="1"/>
  <c r="AA11" i="10" a="1"/>
  <c r="AA11" i="10" s="1"/>
  <c r="AA10" i="10" a="1"/>
  <c r="AA10" i="10" s="1"/>
  <c r="AA15" i="10" a="1"/>
  <c r="AA15" i="10" s="1"/>
  <c r="AA9" i="10" a="1"/>
  <c r="AA9" i="10" s="1"/>
  <c r="AC2" i="10" l="1"/>
  <c r="AB4" i="10" a="1"/>
  <c r="AB4" i="10" s="1"/>
  <c r="AB5" i="10" a="1"/>
  <c r="AB5" i="10" s="1"/>
  <c r="AB13" i="10" a="1"/>
  <c r="AB13" i="10" s="1"/>
  <c r="AB11" i="10" a="1"/>
  <c r="AB11" i="10" s="1"/>
  <c r="AB10" i="10" a="1"/>
  <c r="AB10" i="10" s="1"/>
  <c r="AB14" i="10" a="1"/>
  <c r="AB14" i="10" s="1"/>
  <c r="AB8" i="10" a="1"/>
  <c r="AB8" i="10" s="1"/>
  <c r="AB12" i="10" a="1"/>
  <c r="AB12" i="10" s="1"/>
  <c r="AB7" i="10" a="1"/>
  <c r="AB7" i="10" s="1"/>
  <c r="AB6" i="10" a="1"/>
  <c r="AB6" i="10" s="1"/>
  <c r="AB9" i="10" a="1"/>
  <c r="AB9" i="10" s="1"/>
  <c r="AB3" i="10" a="1"/>
  <c r="AB3" i="10" s="1"/>
  <c r="AB15" i="10" a="1"/>
  <c r="AB15" i="10" s="1"/>
  <c r="T8" i="16" a="1"/>
  <c r="T8" i="16" s="1"/>
  <c r="T9" i="16" a="1"/>
  <c r="T9" i="16" s="1"/>
  <c r="U2" i="16"/>
  <c r="T13" i="16" a="1"/>
  <c r="T13" i="16" s="1"/>
  <c r="T14" i="16" a="1"/>
  <c r="T14" i="16" s="1"/>
  <c r="T12" i="16" a="1"/>
  <c r="T12" i="16" s="1"/>
  <c r="U8" i="16" l="1" a="1"/>
  <c r="U8" i="16" s="1"/>
  <c r="U9" i="16" a="1"/>
  <c r="U9" i="16" s="1"/>
  <c r="V2" i="16"/>
  <c r="U14" i="16" a="1"/>
  <c r="U14" i="16" s="1"/>
  <c r="U13" i="16" a="1"/>
  <c r="U13" i="16" s="1"/>
  <c r="U12" i="16" a="1"/>
  <c r="U12" i="16" s="1"/>
  <c r="AC5" i="10" a="1"/>
  <c r="AC5" i="10" s="1"/>
  <c r="AD2" i="10"/>
  <c r="AC4" i="10" a="1"/>
  <c r="AC4" i="10" s="1"/>
  <c r="AC9" i="10" a="1"/>
  <c r="AC9" i="10" s="1"/>
  <c r="AC3" i="10" a="1"/>
  <c r="AC3" i="10" s="1"/>
  <c r="AC15" i="10" a="1"/>
  <c r="AC15" i="10" s="1"/>
  <c r="AC7" i="10" a="1"/>
  <c r="AC7" i="10" s="1"/>
  <c r="AC13" i="10" a="1"/>
  <c r="AC13" i="10" s="1"/>
  <c r="AC12" i="10" a="1"/>
  <c r="AC12" i="10" s="1"/>
  <c r="AC6" i="10" a="1"/>
  <c r="AC6" i="10" s="1"/>
  <c r="AC8" i="10" a="1"/>
  <c r="AC8" i="10" s="1"/>
  <c r="AC14" i="10" a="1"/>
  <c r="AC14" i="10" s="1"/>
  <c r="AC10" i="10" a="1"/>
  <c r="AC10" i="10" s="1"/>
  <c r="AC11" i="10" a="1"/>
  <c r="AC11" i="10" s="1"/>
  <c r="AE2" i="10" l="1"/>
  <c r="AD4" i="10" a="1"/>
  <c r="AD4" i="10" s="1"/>
  <c r="AD5" i="10" a="1"/>
  <c r="AD5" i="10" s="1"/>
  <c r="AD7" i="10" a="1"/>
  <c r="AD7" i="10" s="1"/>
  <c r="AD15" i="10" a="1"/>
  <c r="AD15" i="10" s="1"/>
  <c r="AD10" i="10" a="1"/>
  <c r="AD10" i="10" s="1"/>
  <c r="AD6" i="10" a="1"/>
  <c r="AD6" i="10" s="1"/>
  <c r="AD11" i="10" a="1"/>
  <c r="AD11" i="10" s="1"/>
  <c r="AD12" i="10" a="1"/>
  <c r="AD12" i="10" s="1"/>
  <c r="AD9" i="10" a="1"/>
  <c r="AD9" i="10" s="1"/>
  <c r="AD13" i="10" a="1"/>
  <c r="AD13" i="10" s="1"/>
  <c r="AD3" i="10" a="1"/>
  <c r="AD3" i="10" s="1"/>
  <c r="AD8" i="10" a="1"/>
  <c r="AD8" i="10" s="1"/>
  <c r="AD14" i="10" a="1"/>
  <c r="AD14" i="10" s="1"/>
  <c r="V8" i="16" a="1"/>
  <c r="V8" i="16" s="1"/>
  <c r="V9" i="16" a="1"/>
  <c r="V9" i="16" s="1"/>
  <c r="V12" i="16" a="1"/>
  <c r="V12" i="16" s="1"/>
  <c r="V14" i="16" a="1"/>
  <c r="V14" i="16" s="1"/>
  <c r="V13" i="16" a="1"/>
  <c r="V13" i="16" s="1"/>
  <c r="W2" i="16"/>
  <c r="W8" i="16" l="1" a="1"/>
  <c r="W8" i="16" s="1"/>
  <c r="W12" i="16" a="1"/>
  <c r="W12" i="16" s="1"/>
  <c r="W14" i="16" a="1"/>
  <c r="W14" i="16" s="1"/>
  <c r="W13" i="16" a="1"/>
  <c r="W13" i="16" s="1"/>
  <c r="W9" i="16" a="1"/>
  <c r="W9" i="16" s="1"/>
  <c r="X2" i="16"/>
  <c r="AE4" i="10" a="1"/>
  <c r="AE4" i="10" s="1"/>
  <c r="AF2" i="10"/>
  <c r="AE5" i="10" a="1"/>
  <c r="AE5" i="10" s="1"/>
  <c r="AE15" i="10" a="1"/>
  <c r="AE15" i="10" s="1"/>
  <c r="AE3" i="10" a="1"/>
  <c r="AE3" i="10" s="1"/>
  <c r="AE9" i="10" a="1"/>
  <c r="AE9" i="10" s="1"/>
  <c r="AE10" i="10" a="1"/>
  <c r="AE10" i="10" s="1"/>
  <c r="AE7" i="10" a="1"/>
  <c r="AE7" i="10" s="1"/>
  <c r="AE13" i="10" a="1"/>
  <c r="AE13" i="10" s="1"/>
  <c r="AE11" i="10" a="1"/>
  <c r="AE11" i="10" s="1"/>
  <c r="AE12" i="10" a="1"/>
  <c r="AE12" i="10" s="1"/>
  <c r="AE6" i="10" a="1"/>
  <c r="AE6" i="10" s="1"/>
  <c r="AE8" i="10" a="1"/>
  <c r="AE8" i="10" s="1"/>
  <c r="AE14" i="10" a="1"/>
  <c r="AE14" i="10" s="1"/>
  <c r="AG2" i="10" l="1"/>
  <c r="AF4" i="10" a="1"/>
  <c r="AF4" i="10" s="1"/>
  <c r="AF5" i="10" a="1"/>
  <c r="AF5" i="10" s="1"/>
  <c r="AF13" i="10" a="1"/>
  <c r="AF13" i="10" s="1"/>
  <c r="AF14" i="10" a="1"/>
  <c r="AF14" i="10" s="1"/>
  <c r="AF11" i="10" a="1"/>
  <c r="AF11" i="10" s="1"/>
  <c r="AF6" i="10" a="1"/>
  <c r="AF6" i="10" s="1"/>
  <c r="AF15" i="10" a="1"/>
  <c r="AF15" i="10" s="1"/>
  <c r="AF9" i="10" a="1"/>
  <c r="AF9" i="10" s="1"/>
  <c r="AF7" i="10" a="1"/>
  <c r="AF7" i="10" s="1"/>
  <c r="AF3" i="10" a="1"/>
  <c r="AF3" i="10" s="1"/>
  <c r="AF10" i="10" a="1"/>
  <c r="AF10" i="10" s="1"/>
  <c r="AF12" i="10" a="1"/>
  <c r="AF12" i="10" s="1"/>
  <c r="AF8" i="10" a="1"/>
  <c r="AF8" i="10" s="1"/>
  <c r="Y2" i="16"/>
  <c r="X9" i="16" a="1"/>
  <c r="X9" i="16" s="1"/>
  <c r="X8" i="16" a="1"/>
  <c r="X8" i="16" s="1"/>
  <c r="X12" i="16" a="1"/>
  <c r="X12" i="16" s="1"/>
  <c r="X14" i="16" a="1"/>
  <c r="X14" i="16" s="1"/>
  <c r="X13" i="16" a="1"/>
  <c r="X13" i="16" s="1"/>
  <c r="Z2" i="16" l="1"/>
  <c r="Y9" i="16" a="1"/>
  <c r="Y9" i="16" s="1"/>
  <c r="Y12" i="16" a="1"/>
  <c r="Y12" i="16" s="1"/>
  <c r="Y14" i="16" a="1"/>
  <c r="Y14" i="16" s="1"/>
  <c r="Y13" i="16" a="1"/>
  <c r="Y13" i="16" s="1"/>
  <c r="Y8" i="16" a="1"/>
  <c r="Y8" i="16" s="1"/>
  <c r="AH2" i="10"/>
  <c r="AG4" i="10" a="1"/>
  <c r="AG4" i="10" s="1"/>
  <c r="AG5" i="10" a="1"/>
  <c r="AG5" i="10" s="1"/>
  <c r="AG14" i="10" a="1"/>
  <c r="AG14" i="10" s="1"/>
  <c r="AG9" i="10" a="1"/>
  <c r="AG9" i="10" s="1"/>
  <c r="AG6" i="10" a="1"/>
  <c r="AG6" i="10" s="1"/>
  <c r="AG15" i="10" a="1"/>
  <c r="AG15" i="10" s="1"/>
  <c r="AG8" i="10" a="1"/>
  <c r="AG8" i="10" s="1"/>
  <c r="AG13" i="10" a="1"/>
  <c r="AG13" i="10" s="1"/>
  <c r="AG10" i="10" a="1"/>
  <c r="AG10" i="10" s="1"/>
  <c r="AG3" i="10" a="1"/>
  <c r="AG3" i="10" s="1"/>
  <c r="AG7" i="10" a="1"/>
  <c r="AG7" i="10" s="1"/>
  <c r="AG11" i="10" a="1"/>
  <c r="AG11" i="10" s="1"/>
  <c r="AG12" i="10" a="1"/>
  <c r="AG12" i="10" s="1"/>
  <c r="AI2" i="10" l="1"/>
  <c r="AH4" i="10" a="1"/>
  <c r="AH4" i="10" s="1"/>
  <c r="AH5" i="10" a="1"/>
  <c r="AH5" i="10" s="1"/>
  <c r="AH10" i="10" a="1"/>
  <c r="AH10" i="10" s="1"/>
  <c r="AH13" i="10" a="1"/>
  <c r="AH13" i="10" s="1"/>
  <c r="AH8" i="10" a="1"/>
  <c r="AH8" i="10" s="1"/>
  <c r="AH9" i="10" a="1"/>
  <c r="AH9" i="10" s="1"/>
  <c r="AH11" i="10" a="1"/>
  <c r="AH11" i="10" s="1"/>
  <c r="AH15" i="10" a="1"/>
  <c r="AH15" i="10" s="1"/>
  <c r="AH3" i="10" a="1"/>
  <c r="AH3" i="10" s="1"/>
  <c r="AH6" i="10" a="1"/>
  <c r="AH6" i="10" s="1"/>
  <c r="AH7" i="10" a="1"/>
  <c r="AH7" i="10" s="1"/>
  <c r="AH12" i="10" a="1"/>
  <c r="AH12" i="10" s="1"/>
  <c r="AH14" i="10" a="1"/>
  <c r="AH14" i="10" s="1"/>
  <c r="Z8" i="16" a="1"/>
  <c r="Z8" i="16" s="1"/>
  <c r="AA2" i="16"/>
  <c r="Z9" i="16" a="1"/>
  <c r="Z9" i="16" s="1"/>
  <c r="Z13" i="16" a="1"/>
  <c r="Z13" i="16" s="1"/>
  <c r="Z12" i="16" a="1"/>
  <c r="Z12" i="16" s="1"/>
  <c r="Z14" i="16" a="1"/>
  <c r="Z14" i="16" s="1"/>
  <c r="AA8" i="16" l="1" a="1"/>
  <c r="AA8" i="16" s="1"/>
  <c r="AB2" i="16"/>
  <c r="AA9" i="16" a="1"/>
  <c r="AA9" i="16" s="1"/>
  <c r="AA13" i="16" a="1"/>
  <c r="AA13" i="16" s="1"/>
  <c r="AA12" i="16" a="1"/>
  <c r="AA12" i="16" s="1"/>
  <c r="AA14" i="16" a="1"/>
  <c r="AA14" i="16" s="1"/>
  <c r="AJ2" i="10"/>
  <c r="AI4" i="10" a="1"/>
  <c r="AI4" i="10" s="1"/>
  <c r="AI5" i="10" a="1"/>
  <c r="AI5" i="10" s="1"/>
  <c r="AI14" i="10" a="1"/>
  <c r="AI14" i="10" s="1"/>
  <c r="AI15" i="10" a="1"/>
  <c r="AI15" i="10" s="1"/>
  <c r="AI3" i="10" a="1"/>
  <c r="AI3" i="10" s="1"/>
  <c r="AI13" i="10" a="1"/>
  <c r="AI13" i="10" s="1"/>
  <c r="AI7" i="10" a="1"/>
  <c r="AI7" i="10" s="1"/>
  <c r="AI12" i="10" a="1"/>
  <c r="AI12" i="10" s="1"/>
  <c r="AI11" i="10" a="1"/>
  <c r="AI11" i="10" s="1"/>
  <c r="AI9" i="10" a="1"/>
  <c r="AI9" i="10" s="1"/>
  <c r="AI10" i="10" a="1"/>
  <c r="AI10" i="10" s="1"/>
  <c r="AI8" i="10" a="1"/>
  <c r="AI8" i="10" s="1"/>
  <c r="AI6" i="10" a="1"/>
  <c r="AI6" i="10" s="1"/>
  <c r="AK2" i="10" l="1"/>
  <c r="AJ4" i="10" a="1"/>
  <c r="AJ4" i="10" s="1"/>
  <c r="AJ5" i="10" a="1"/>
  <c r="AJ5" i="10" s="1"/>
  <c r="AJ12" i="10" a="1"/>
  <c r="AJ12" i="10" s="1"/>
  <c r="AJ3" i="10" a="1"/>
  <c r="AJ3" i="10" s="1"/>
  <c r="AJ8" i="10" a="1"/>
  <c r="AJ8" i="10" s="1"/>
  <c r="AJ15" i="10" a="1"/>
  <c r="AJ15" i="10" s="1"/>
  <c r="AJ6" i="10" a="1"/>
  <c r="AJ6" i="10" s="1"/>
  <c r="AJ13" i="10" a="1"/>
  <c r="AJ13" i="10" s="1"/>
  <c r="AJ7" i="10" a="1"/>
  <c r="AJ7" i="10" s="1"/>
  <c r="AJ10" i="10" a="1"/>
  <c r="AJ10" i="10" s="1"/>
  <c r="AJ14" i="10" a="1"/>
  <c r="AJ14" i="10" s="1"/>
  <c r="AJ11" i="10" a="1"/>
  <c r="AJ11" i="10" s="1"/>
  <c r="AJ9" i="10" a="1"/>
  <c r="AJ9" i="10" s="1"/>
  <c r="AC2" i="16"/>
  <c r="AB8" i="16" a="1"/>
  <c r="AB8" i="16" s="1"/>
  <c r="AB9" i="16" a="1"/>
  <c r="AB9" i="16" s="1"/>
  <c r="AB13" i="16" a="1"/>
  <c r="AB13" i="16" s="1"/>
  <c r="AB12" i="16" a="1"/>
  <c r="AB12" i="16" s="1"/>
  <c r="AB14" i="16" a="1"/>
  <c r="AB14" i="16" s="1"/>
  <c r="AC8" i="16" l="1" a="1"/>
  <c r="AC8" i="16" s="1"/>
  <c r="AC9" i="16" a="1"/>
  <c r="AC9" i="16" s="1"/>
  <c r="AC13" i="16" a="1"/>
  <c r="AC13" i="16" s="1"/>
  <c r="AC14" i="16" a="1"/>
  <c r="AC14" i="16" s="1"/>
  <c r="AC12" i="16" a="1"/>
  <c r="AC12" i="16" s="1"/>
  <c r="AD2" i="16"/>
  <c r="AL2" i="10"/>
  <c r="AK5" i="10" a="1"/>
  <c r="AK5" i="10" s="1"/>
  <c r="AK4" i="10" a="1"/>
  <c r="AK4" i="10" s="1"/>
  <c r="AK3" i="10" a="1"/>
  <c r="AK3" i="10" s="1"/>
  <c r="AK15" i="10" a="1"/>
  <c r="AK15" i="10" s="1"/>
  <c r="AK10" i="10" a="1"/>
  <c r="AK10" i="10" s="1"/>
  <c r="AK9" i="10" a="1"/>
  <c r="AK9" i="10" s="1"/>
  <c r="AK12" i="10" a="1"/>
  <c r="AK12" i="10" s="1"/>
  <c r="AK7" i="10" a="1"/>
  <c r="AK7" i="10" s="1"/>
  <c r="AK11" i="10" a="1"/>
  <c r="AK11" i="10" s="1"/>
  <c r="AK13" i="10" a="1"/>
  <c r="AK13" i="10" s="1"/>
  <c r="AK6" i="10" a="1"/>
  <c r="AK6" i="10" s="1"/>
  <c r="AK14" i="10" a="1"/>
  <c r="AK14" i="10" s="1"/>
  <c r="AK8" i="10" a="1"/>
  <c r="AK8" i="10" s="1"/>
  <c r="AM2" i="10" l="1"/>
  <c r="AL4" i="10" a="1"/>
  <c r="AL4" i="10" s="1"/>
  <c r="AL5" i="10" a="1"/>
  <c r="AL5" i="10" s="1"/>
  <c r="AL14" i="10" a="1"/>
  <c r="AL14" i="10" s="1"/>
  <c r="AL8" i="10" a="1"/>
  <c r="AL8" i="10" s="1"/>
  <c r="AL6" i="10" a="1"/>
  <c r="AL6" i="10" s="1"/>
  <c r="AL7" i="10" a="1"/>
  <c r="AL7" i="10" s="1"/>
  <c r="AL9" i="10" a="1"/>
  <c r="AL9" i="10" s="1"/>
  <c r="AL10" i="10" a="1"/>
  <c r="AL10" i="10" s="1"/>
  <c r="AL12" i="10" a="1"/>
  <c r="AL12" i="10" s="1"/>
  <c r="AL3" i="10" a="1"/>
  <c r="AL3" i="10" s="1"/>
  <c r="AL13" i="10" a="1"/>
  <c r="AL13" i="10" s="1"/>
  <c r="AL15" i="10" a="1"/>
  <c r="AL15" i="10" s="1"/>
  <c r="AL11" i="10" a="1"/>
  <c r="AL11" i="10" s="1"/>
  <c r="AD9" i="16" a="1"/>
  <c r="AD9" i="16" s="1"/>
  <c r="AE2" i="16"/>
  <c r="AD8" i="16" a="1"/>
  <c r="AD8" i="16" s="1"/>
  <c r="AD14" i="16" a="1"/>
  <c r="AD14" i="16" s="1"/>
  <c r="AD13" i="16" a="1"/>
  <c r="AD13" i="16" s="1"/>
  <c r="AD12" i="16" a="1"/>
  <c r="AD12" i="16" s="1"/>
  <c r="AE9" i="16" l="1" a="1"/>
  <c r="AE9" i="16" s="1"/>
  <c r="AF2" i="16"/>
  <c r="AE12" i="16" a="1"/>
  <c r="AE12" i="16" s="1"/>
  <c r="AE14" i="16" a="1"/>
  <c r="AE14" i="16" s="1"/>
  <c r="AE13" i="16" a="1"/>
  <c r="AE13" i="16" s="1"/>
  <c r="AE8" i="16" a="1"/>
  <c r="AE8" i="16" s="1"/>
  <c r="AM4" i="10" a="1"/>
  <c r="AM4" i="10" s="1"/>
  <c r="AM5" i="10" a="1"/>
  <c r="AM5" i="10" s="1"/>
  <c r="AN2" i="10"/>
  <c r="AM15" i="10" a="1"/>
  <c r="AM15" i="10" s="1"/>
  <c r="AM9" i="10" a="1"/>
  <c r="AM9" i="10" s="1"/>
  <c r="AM12" i="10" a="1"/>
  <c r="AM12" i="10" s="1"/>
  <c r="AM11" i="10" a="1"/>
  <c r="AM11" i="10" s="1"/>
  <c r="AM10" i="10" a="1"/>
  <c r="AM10" i="10" s="1"/>
  <c r="AM6" i="10" a="1"/>
  <c r="AM6" i="10" s="1"/>
  <c r="AM8" i="10" a="1"/>
  <c r="AM8" i="10" s="1"/>
  <c r="AM14" i="10" a="1"/>
  <c r="AM14" i="10" s="1"/>
  <c r="AM7" i="10" a="1"/>
  <c r="AM7" i="10" s="1"/>
  <c r="AM3" i="10" a="1"/>
  <c r="AM3" i="10" s="1"/>
  <c r="AM13" i="10" a="1"/>
  <c r="AM13" i="10" s="1"/>
  <c r="AO2" i="10" l="1"/>
  <c r="AN4" i="10" a="1"/>
  <c r="AN4" i="10" s="1"/>
  <c r="AN5" i="10" a="1"/>
  <c r="AN5" i="10" s="1"/>
  <c r="AN8" i="10" a="1"/>
  <c r="AN8" i="10" s="1"/>
  <c r="AN7" i="10" a="1"/>
  <c r="AN7" i="10" s="1"/>
  <c r="AN15" i="10" a="1"/>
  <c r="AN15" i="10" s="1"/>
  <c r="AN14" i="10" a="1"/>
  <c r="AN14" i="10" s="1"/>
  <c r="AN9" i="10" a="1"/>
  <c r="AN9" i="10" s="1"/>
  <c r="AN10" i="10" a="1"/>
  <c r="AN10" i="10" s="1"/>
  <c r="AN12" i="10" a="1"/>
  <c r="AN12" i="10" s="1"/>
  <c r="AN13" i="10" a="1"/>
  <c r="AN13" i="10" s="1"/>
  <c r="AN11" i="10" a="1"/>
  <c r="AN11" i="10" s="1"/>
  <c r="AN6" i="10" a="1"/>
  <c r="AN6" i="10" s="1"/>
  <c r="AN3" i="10" a="1"/>
  <c r="AN3" i="10" s="1"/>
  <c r="AF8" i="16" a="1"/>
  <c r="AF8" i="16" s="1"/>
  <c r="AG2" i="16"/>
  <c r="AF9" i="16" a="1"/>
  <c r="AF9" i="16" s="1"/>
  <c r="AF12" i="16" a="1"/>
  <c r="AF12" i="16" s="1"/>
  <c r="AF14" i="16" a="1"/>
  <c r="AF14" i="16" s="1"/>
  <c r="AF13" i="16" a="1"/>
  <c r="AF13" i="16" s="1"/>
  <c r="AG8" i="16" l="1" a="1"/>
  <c r="AG8" i="16" s="1"/>
  <c r="AG9" i="16" a="1"/>
  <c r="AG9" i="16" s="1"/>
  <c r="AH2" i="16"/>
  <c r="AG12" i="16" a="1"/>
  <c r="AG12" i="16" s="1"/>
  <c r="AG14" i="16" a="1"/>
  <c r="AG14" i="16" s="1"/>
  <c r="AG13" i="16" a="1"/>
  <c r="AG13" i="16" s="1"/>
  <c r="AO4" i="10" a="1"/>
  <c r="AO4" i="10" s="1"/>
  <c r="AP2" i="10"/>
  <c r="AO5" i="10" a="1"/>
  <c r="AO5" i="10" s="1"/>
  <c r="AO12" i="10" a="1"/>
  <c r="AO12" i="10" s="1"/>
  <c r="AO7" i="10" a="1"/>
  <c r="AO7" i="10" s="1"/>
  <c r="AO3" i="10" a="1"/>
  <c r="AO3" i="10" s="1"/>
  <c r="AO10" i="10" a="1"/>
  <c r="AO10" i="10" s="1"/>
  <c r="AO6" i="10" a="1"/>
  <c r="AO6" i="10" s="1"/>
  <c r="AO14" i="10" a="1"/>
  <c r="AO14" i="10" s="1"/>
  <c r="AO11" i="10" a="1"/>
  <c r="AO11" i="10" s="1"/>
  <c r="AO15" i="10" a="1"/>
  <c r="AO15" i="10" s="1"/>
  <c r="AO13" i="10" a="1"/>
  <c r="AO13" i="10" s="1"/>
  <c r="AO8" i="10" a="1"/>
  <c r="AO8" i="10" s="1"/>
  <c r="AO9" i="10" a="1"/>
  <c r="AO9" i="10" s="1"/>
  <c r="AP4" i="10" l="1" a="1"/>
  <c r="AP4" i="10" s="1"/>
  <c r="AP5" i="10" a="1"/>
  <c r="AP5" i="10" s="1"/>
  <c r="AP10" i="10" a="1"/>
  <c r="AP10" i="10" s="1"/>
  <c r="AP6" i="10" a="1"/>
  <c r="AP6" i="10" s="1"/>
  <c r="AP8" i="10" a="1"/>
  <c r="AP8" i="10" s="1"/>
  <c r="AP13" i="10" a="1"/>
  <c r="AP13" i="10" s="1"/>
  <c r="AP7" i="10" a="1"/>
  <c r="AP7" i="10" s="1"/>
  <c r="AP9" i="10" a="1"/>
  <c r="AP9" i="10" s="1"/>
  <c r="AP11" i="10" a="1"/>
  <c r="AP11" i="10" s="1"/>
  <c r="AP15" i="10" a="1"/>
  <c r="AP15" i="10" s="1"/>
  <c r="AP12" i="10" a="1"/>
  <c r="AP12" i="10" s="1"/>
  <c r="AP3" i="10" a="1"/>
  <c r="AP3" i="10" s="1"/>
  <c r="AP14" i="10" a="1"/>
  <c r="AP14" i="10" s="1"/>
  <c r="AH8" i="16" a="1"/>
  <c r="AH8" i="16" s="1"/>
  <c r="AH9" i="16" a="1"/>
  <c r="AH9" i="16" s="1"/>
  <c r="AH12" i="16" a="1"/>
  <c r="AH12" i="16" s="1"/>
  <c r="AH14" i="16" a="1"/>
  <c r="AH14" i="16" s="1"/>
  <c r="AI2" i="16"/>
  <c r="AH13" i="16" a="1"/>
  <c r="AH13" i="16" s="1"/>
  <c r="AI8" i="16" l="1" a="1"/>
  <c r="AI8" i="16" s="1"/>
  <c r="AJ2" i="16"/>
  <c r="AI13" i="16" a="1"/>
  <c r="AI13" i="16" s="1"/>
  <c r="AI9" i="16" a="1"/>
  <c r="AI9" i="16" s="1"/>
  <c r="AI12" i="16" a="1"/>
  <c r="AI12" i="16" s="1"/>
  <c r="AI14" i="16" a="1"/>
  <c r="AI14" i="16" s="1"/>
  <c r="AK2" i="16" l="1"/>
  <c r="AJ9" i="16" a="1"/>
  <c r="AJ9" i="16" s="1"/>
  <c r="AJ8" i="16" a="1"/>
  <c r="AJ8" i="16" s="1"/>
  <c r="AJ13" i="16" a="1"/>
  <c r="AJ13" i="16" s="1"/>
  <c r="AJ12" i="16" a="1"/>
  <c r="AJ12" i="16" s="1"/>
  <c r="AJ14" i="16" a="1"/>
  <c r="AJ14" i="16" s="1"/>
  <c r="AL2" i="16" l="1"/>
  <c r="AK9" i="16" a="1"/>
  <c r="AK9" i="16" s="1"/>
  <c r="AK13" i="16" a="1"/>
  <c r="AK13" i="16" s="1"/>
  <c r="AK12" i="16" a="1"/>
  <c r="AK12" i="16" s="1"/>
  <c r="AK8" i="16" a="1"/>
  <c r="AK8" i="16" s="1"/>
  <c r="AK14" i="16" a="1"/>
  <c r="AK14" i="16" s="1"/>
  <c r="AL8" i="16" l="1" a="1"/>
  <c r="AL8" i="16" s="1"/>
  <c r="AM2" i="16"/>
  <c r="AL13" i="16" a="1"/>
  <c r="AL13" i="16" s="1"/>
  <c r="AL9" i="16" a="1"/>
  <c r="AL9" i="16" s="1"/>
  <c r="AL14" i="16" a="1"/>
  <c r="AL14" i="16" s="1"/>
  <c r="AL12" i="16" a="1"/>
  <c r="AL12" i="16" s="1"/>
  <c r="AM8" i="16" l="1" a="1"/>
  <c r="AM8" i="16" s="1"/>
  <c r="AN2" i="16"/>
  <c r="AM9" i="16" a="1"/>
  <c r="AM9" i="16" s="1"/>
  <c r="AM14" i="16" a="1"/>
  <c r="AM14" i="16" s="1"/>
  <c r="AM13" i="16" a="1"/>
  <c r="AM13" i="16" s="1"/>
  <c r="AM12" i="16" a="1"/>
  <c r="AM12" i="16" s="1"/>
  <c r="AO2" i="16" l="1"/>
  <c r="AP2" i="16" s="1"/>
  <c r="AN8" i="16" a="1"/>
  <c r="AN8" i="16" s="1"/>
  <c r="AO8" i="16" s="1"/>
  <c r="AP8" i="16" s="1"/>
  <c r="AN9" i="16" a="1"/>
  <c r="AN9" i="16" s="1"/>
  <c r="AO9" i="16" s="1"/>
  <c r="AP9" i="16" s="1"/>
  <c r="AN12" i="16" a="1"/>
  <c r="AN12" i="16" s="1"/>
  <c r="AO12" i="16" s="1"/>
  <c r="AP12" i="16" s="1"/>
  <c r="AN14" i="16" a="1"/>
  <c r="AN14" i="16" s="1"/>
  <c r="AO14" i="16" s="1"/>
  <c r="AP14" i="16" s="1"/>
  <c r="AN13" i="16" a="1"/>
  <c r="AN13" i="16" s="1"/>
  <c r="AO13" i="16" s="1"/>
  <c r="AP13" i="16" s="1"/>
  <c r="N7" i="6" l="1"/>
  <c r="O7" i="6"/>
  <c r="N8" i="6"/>
  <c r="O8" i="6"/>
  <c r="S7" i="5"/>
  <c r="T8" i="5"/>
  <c r="U8" i="5"/>
  <c r="T9" i="5"/>
  <c r="U9" i="5"/>
  <c r="T10" i="5"/>
  <c r="U10" i="5"/>
  <c r="Q7" i="4"/>
  <c r="R8" i="4"/>
  <c r="S8"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X3" authorId="0" shapeId="0" xr:uid="{54823A44-4427-46E3-B15C-EC772D5614CE}">
      <text>
        <r>
          <rPr>
            <b/>
            <sz val="9"/>
            <color indexed="81"/>
            <rFont val="Tahoma"/>
            <family val="2"/>
          </rPr>
          <t>bruno merven:</t>
        </r>
        <r>
          <rPr>
            <sz val="9"/>
            <color indexed="81"/>
            <rFont val="Tahoma"/>
            <family val="2"/>
          </rPr>
          <t xml:space="preserve">
need to add Sox, Nox N2o, CMO, NMVS and PM10 to boilers and methane rich gas conversion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tc={097E2DB2-C7B7-4600-A89B-7CD851423C8C}</author>
    <author>tc={4C0E7D07-76D7-4545-8866-03734547B9CA}</author>
    <author>Fadiel</author>
    <author>tc={93FFD154-6D52-4BCF-87AA-86E4085FDB4E}</author>
  </authors>
  <commentList>
    <comment ref="H13" authorId="0" shapeId="0" xr:uid="{097E2DB2-C7B7-4600-A89B-7CD851423C8C}">
      <text>
        <t>[Threaded comment]
Your version of Excel allows you to read this threaded comment; however, any edits to it will get removed if the file is opened in a newer version of Excel. Learn more: https://go.microsoft.com/fwlink/?linkid=870924
Comment:
    OAG doesn't go anywhere at the moment</t>
      </text>
    </comment>
    <comment ref="H14" authorId="1" shapeId="0" xr:uid="{4C0E7D07-76D7-4545-8866-03734547B9CA}">
      <text>
        <t>[Threaded comment]
Your version of Excel allows you to read this threaded comment; however, any edits to it will get removed if the file is opened in a newer version of Excel. Learn more: https://go.microsoft.com/fwlink/?linkid=870924
Comment:
    Changed to Zero to allow model more flexibility on jet fuel.</t>
      </text>
    </comment>
    <comment ref="E16" authorId="2" shapeId="0" xr:uid="{D4E6FC7A-9075-4E77-8A72-7C3972957340}">
      <text>
        <r>
          <rPr>
            <b/>
            <sz val="9"/>
            <color indexed="81"/>
            <rFont val="Tahoma"/>
            <family val="2"/>
          </rPr>
          <t>Fadiel:</t>
        </r>
        <r>
          <rPr>
            <sz val="9"/>
            <color indexed="81"/>
            <rFont val="Tahoma"/>
            <family val="2"/>
          </rPr>
          <t xml:space="preserve">
Marchese (2021); Campanario (2017)   ~4%</t>
        </r>
      </text>
    </comment>
    <comment ref="G19" authorId="2" shapeId="0" xr:uid="{810C286E-38BF-407C-AAF0-09447E9DE0BD}">
      <text>
        <r>
          <rPr>
            <b/>
            <sz val="9"/>
            <color indexed="81"/>
            <rFont val="Tahoma"/>
            <family val="2"/>
          </rPr>
          <t>Fadiel:</t>
        </r>
        <r>
          <rPr>
            <sz val="9"/>
            <color indexed="81"/>
            <rFont val="Tahoma"/>
            <family val="2"/>
          </rPr>
          <t xml:space="preserve">
Guessitmate
</t>
        </r>
      </text>
    </comment>
    <comment ref="G21" authorId="2" shapeId="0" xr:uid="{80838D66-21FC-45A4-9951-B0C4B98038AB}">
      <text>
        <r>
          <rPr>
            <b/>
            <sz val="9"/>
            <color indexed="81"/>
            <rFont val="Tahoma"/>
            <family val="2"/>
          </rPr>
          <t>Fadiel:</t>
        </r>
        <r>
          <rPr>
            <sz val="9"/>
            <color indexed="81"/>
            <rFont val="Tahoma"/>
            <family val="2"/>
          </rPr>
          <t xml:space="preserve">
From SATIM for new GTL
</t>
        </r>
      </text>
    </comment>
    <comment ref="G23" authorId="3" shapeId="0" xr:uid="{93FFD154-6D52-4BCF-87AA-86E4085FDB4E}">
      <text>
        <t>[Threaded comment]
Your version of Excel allows you to read this threaded comment; however, any edits to it will get removed if the file is opened in a newer version of Excel. Learn more: https://go.microsoft.com/fwlink/?linkid=870924
Comment:
    Assumption until we have better data</t>
      </text>
    </comment>
    <comment ref="C46" authorId="2" shapeId="0" xr:uid="{3F8C1830-1BA5-4F7C-8D05-1CDFD10B87AA}">
      <text>
        <r>
          <rPr>
            <b/>
            <sz val="9"/>
            <color indexed="81"/>
            <rFont val="Tahoma"/>
            <family val="2"/>
          </rPr>
          <t xml:space="preserve">Fadiel:CASE 4
</t>
        </r>
        <r>
          <rPr>
            <sz val="9"/>
            <color indexed="81"/>
            <rFont val="Tahoma"/>
            <family val="2"/>
          </rPr>
          <t>Seems a better fit for current  SATIM setup
with no DAC and Gas recisrulated to RWGS</t>
        </r>
      </text>
    </comment>
    <comment ref="A57" authorId="2" shapeId="0" xr:uid="{77376628-426B-43E7-A7CC-FA2A2B3F8D4B}">
      <text>
        <r>
          <rPr>
            <b/>
            <sz val="9"/>
            <color indexed="81"/>
            <rFont val="Tahoma"/>
            <family val="2"/>
          </rPr>
          <t>Fadiel:</t>
        </r>
        <r>
          <rPr>
            <sz val="9"/>
            <color indexed="81"/>
            <rFont val="Tahoma"/>
            <family val="2"/>
          </rPr>
          <t xml:space="preserve">
JetFuel</t>
        </r>
      </text>
    </comment>
    <comment ref="A59" authorId="2" shapeId="0" xr:uid="{73C728B6-F449-4589-959D-5464C6DADFF2}">
      <text>
        <r>
          <rPr>
            <b/>
            <sz val="9"/>
            <color indexed="81"/>
            <rFont val="Tahoma"/>
            <family val="2"/>
          </rPr>
          <t>Fadiel:</t>
        </r>
        <r>
          <rPr>
            <sz val="9"/>
            <color indexed="81"/>
            <rFont val="Tahoma"/>
            <family val="2"/>
          </rPr>
          <t xml:space="preserve">
No DAC</t>
        </r>
      </text>
    </comment>
    <comment ref="A66" authorId="2" shapeId="0" xr:uid="{81FF0514-D35E-4462-863A-9469730E364D}">
      <text>
        <r>
          <rPr>
            <b/>
            <sz val="9"/>
            <color indexed="81"/>
            <rFont val="Tahoma"/>
            <family val="2"/>
          </rPr>
          <t>Fadiel:</t>
        </r>
        <r>
          <rPr>
            <sz val="9"/>
            <color indexed="81"/>
            <rFont val="Tahoma"/>
            <family val="2"/>
          </rPr>
          <t xml:space="preserve">
JetFuel</t>
        </r>
      </text>
    </comment>
    <comment ref="B66" authorId="2" shapeId="0" xr:uid="{EF9485C9-826B-4046-B6EB-555B5AAEC60B}">
      <text>
        <r>
          <rPr>
            <b/>
            <sz val="9"/>
            <color indexed="81"/>
            <rFont val="Tahoma"/>
            <family val="2"/>
          </rPr>
          <t>Fadiel:</t>
        </r>
        <r>
          <rPr>
            <sz val="9"/>
            <color indexed="81"/>
            <rFont val="Tahoma"/>
            <family val="2"/>
          </rPr>
          <t xml:space="preserve">
JetFuel</t>
        </r>
      </text>
    </comment>
    <comment ref="C66" authorId="2" shapeId="0" xr:uid="{B91FD728-1BFA-4A35-9E5F-D9FF792699A3}">
      <text>
        <r>
          <rPr>
            <b/>
            <sz val="9"/>
            <color indexed="81"/>
            <rFont val="Tahoma"/>
            <family val="2"/>
          </rPr>
          <t>Fadiel:</t>
        </r>
        <r>
          <rPr>
            <sz val="9"/>
            <color indexed="81"/>
            <rFont val="Tahoma"/>
            <family val="2"/>
          </rPr>
          <t xml:space="preserve">
https://sites.google.com/site/fractionaldistallation/carbon-chains-lengths</t>
        </r>
      </text>
    </comment>
    <comment ref="A89" authorId="2" shapeId="0" xr:uid="{351DC354-0ADB-4336-B9FE-A980AA839529}">
      <text>
        <r>
          <rPr>
            <b/>
            <sz val="9"/>
            <color indexed="81"/>
            <rFont val="Tahoma"/>
            <family val="2"/>
          </rPr>
          <t>Fadiel:</t>
        </r>
        <r>
          <rPr>
            <sz val="9"/>
            <color indexed="81"/>
            <rFont val="Tahoma"/>
            <family val="2"/>
          </rPr>
          <t xml:space="preserve">
JetFuel</t>
        </r>
      </text>
    </comment>
    <comment ref="A97" authorId="2" shapeId="0" xr:uid="{C8476D86-8EF6-4F85-992F-D01594F23919}">
      <text>
        <r>
          <rPr>
            <b/>
            <sz val="9"/>
            <color indexed="81"/>
            <rFont val="Tahoma"/>
            <family val="2"/>
          </rPr>
          <t>Fadiel:</t>
        </r>
        <r>
          <rPr>
            <sz val="9"/>
            <color indexed="81"/>
            <rFont val="Tahoma"/>
            <family val="2"/>
          </rPr>
          <t xml:space="preserve">
JetFuel</t>
        </r>
      </text>
    </comment>
    <comment ref="D109" authorId="2" shapeId="0" xr:uid="{ECFD87FA-B514-498A-A090-83A43396BF65}">
      <text>
        <r>
          <rPr>
            <b/>
            <sz val="9"/>
            <color indexed="81"/>
            <rFont val="Tahoma"/>
            <family val="2"/>
          </rPr>
          <t>Fadiel:</t>
        </r>
        <r>
          <rPr>
            <sz val="9"/>
            <color indexed="81"/>
            <rFont val="Tahoma"/>
            <family val="2"/>
          </rPr>
          <t xml:space="preserve">
Chem Eng Eco (1989)</t>
        </r>
      </text>
    </comment>
    <comment ref="T136" authorId="2" shapeId="0" xr:uid="{F389B0D0-0E53-47E1-90EF-3657D346F209}">
      <text>
        <r>
          <rPr>
            <b/>
            <sz val="9"/>
            <color indexed="81"/>
            <rFont val="Tahoma"/>
            <family val="2"/>
          </rPr>
          <t>Fadiel:</t>
        </r>
        <r>
          <rPr>
            <sz val="9"/>
            <color indexed="81"/>
            <rFont val="Tahoma"/>
            <family val="2"/>
          </rPr>
          <t xml:space="preserve">
Hydrogen, Fuel Cells and Fuel Cell Vehicles
Dell &amp; Rand (2014)</t>
        </r>
      </text>
    </comment>
    <comment ref="T137" authorId="2" shapeId="0" xr:uid="{D91AE749-48B8-46CD-A6D7-8CA3D067FC63}">
      <text>
        <r>
          <rPr>
            <b/>
            <sz val="9"/>
            <color indexed="81"/>
            <rFont val="Tahoma"/>
            <family val="2"/>
          </rPr>
          <t>Fadiel:</t>
        </r>
        <r>
          <rPr>
            <sz val="9"/>
            <color indexed="81"/>
            <rFont val="Tahoma"/>
            <family val="2"/>
          </rPr>
          <t xml:space="preserve">
Hydrogen, Fuel Cells and Fuel Cell Vehicles
Dell &amp; Rand (2014)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tc={579E8DC9-49DE-4128-AB78-3D80E253B2F5}</author>
  </authors>
  <commentList>
    <comment ref="J19" authorId="0" shapeId="0" xr:uid="{579E8DC9-49DE-4128-AB78-3D80E253B2F5}">
      <text>
        <t>[Threaded comment]
Your version of Excel allows you to read this threaded comment; however, any edits to it will get removed if the file is opened in a newer version of Excel. Learn more: https://go.microsoft.com/fwlink/?linkid=870924
Comment:
    This is arbitrary at the moment and set to avoid unbounded solution in case this becomes a very profitable product.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Fadiel Ahjum</author>
  </authors>
  <commentList>
    <comment ref="H5" authorId="0" shapeId="0" xr:uid="{B5AF618E-156C-4EA1-963F-C700962E39AC}">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D8" authorId="0" shapeId="0" xr:uid="{86AFBFE5-501E-4495-8559-3C0B4426D9FC}">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D9" authorId="0" shapeId="0" xr:uid="{1E352581-63FB-4B76-A8A8-9358C78E680B}">
      <text>
        <r>
          <rPr>
            <b/>
            <sz val="9"/>
            <color indexed="81"/>
            <rFont val="Tahoma"/>
            <family val="2"/>
          </rPr>
          <t>Fadiel:</t>
        </r>
        <r>
          <rPr>
            <sz val="9"/>
            <color indexed="81"/>
            <rFont val="Tahoma"/>
            <family val="2"/>
          </rPr>
          <t xml:space="preserve">
https://iea.blob.core.windows.net/assets/a02a0c80-77b2-462e-a9d5-1099e0e572ce/IEA-The-Future-of-Hydrogen-Assumptions-Annex.pdf</t>
        </r>
      </text>
    </comment>
    <comment ref="F39" authorId="0" shapeId="0" xr:uid="{1275695C-7605-4582-BC1A-C957B40D226F}">
      <text>
        <r>
          <rPr>
            <b/>
            <sz val="9"/>
            <color indexed="81"/>
            <rFont val="Tahoma"/>
            <family val="2"/>
          </rPr>
          <t>Fadiel:</t>
        </r>
        <r>
          <rPr>
            <sz val="9"/>
            <color indexed="81"/>
            <rFont val="Tahoma"/>
            <family val="2"/>
          </rPr>
          <t xml:space="preserve">
DoE (2009)
See H2 storage</t>
        </r>
      </text>
    </comment>
    <comment ref="H40" authorId="0" shapeId="0" xr:uid="{6E7E15E7-AC36-4C2E-9B7E-9F5BC3B54305}">
      <text>
        <r>
          <rPr>
            <b/>
            <sz val="9"/>
            <color indexed="81"/>
            <rFont val="Tahoma"/>
            <family val="2"/>
          </rPr>
          <t>Fadiel:</t>
        </r>
        <r>
          <rPr>
            <sz val="9"/>
            <color indexed="81"/>
            <rFont val="Tahoma"/>
            <family val="2"/>
          </rPr>
          <t xml:space="preserve">
My interpretation of yhe IEA "long term" estimate given it history of under estimating cost reductions</t>
        </r>
      </text>
    </comment>
    <comment ref="E41" authorId="1" shapeId="0" xr:uid="{00000000-0006-0000-1B00-000001000000}">
      <text>
        <r>
          <rPr>
            <b/>
            <sz val="9"/>
            <color indexed="81"/>
            <rFont val="Tahoma"/>
            <family val="2"/>
          </rPr>
          <t>Fadiel Ahjum:</t>
        </r>
        <r>
          <rPr>
            <sz val="9"/>
            <color indexed="81"/>
            <rFont val="Tahoma"/>
            <family val="2"/>
          </rPr>
          <t xml:space="preserve">
IEA (2019) assuming 2019USD</t>
        </r>
      </text>
    </comment>
    <comment ref="G41" authorId="0" shapeId="0" xr:uid="{7ED6EF0E-44CF-42F2-9D83-A04380855321}">
      <text>
        <r>
          <rPr>
            <b/>
            <sz val="9"/>
            <color indexed="81"/>
            <rFont val="Tahoma"/>
            <family val="2"/>
          </rPr>
          <t>Fadiel:</t>
        </r>
        <r>
          <rPr>
            <sz val="9"/>
            <color indexed="81"/>
            <rFont val="Tahoma"/>
            <family val="2"/>
          </rPr>
          <t xml:space="preserve">
? Remove 2030 miletone since IEA is notoriusly conservative with past projections usually very far off from actual progression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Fadiel</author>
  </authors>
  <commentList>
    <comment ref="D7" authorId="0" shapeId="0" xr:uid="{76CB3362-9A32-4790-835E-33F8E5B953C7}">
      <text>
        <r>
          <rPr>
            <b/>
            <sz val="9"/>
            <color indexed="81"/>
            <rFont val="Tahoma"/>
            <family val="2"/>
          </rPr>
          <t>Fadiel:</t>
        </r>
        <r>
          <rPr>
            <sz val="9"/>
            <color indexed="81"/>
            <rFont val="Tahoma"/>
            <family val="2"/>
          </rPr>
          <t xml:space="preserve">
differs for seasonal due to boil-off losses for CH2 and LH2
</t>
        </r>
      </text>
    </comment>
    <comment ref="E14" authorId="0" shapeId="0" xr:uid="{8266F743-1E24-462A-AB12-B307364D0EE3}">
      <text>
        <r>
          <rPr>
            <b/>
            <sz val="9"/>
            <color indexed="81"/>
            <rFont val="Tahoma"/>
            <family val="2"/>
          </rPr>
          <t>Fadiel:</t>
        </r>
        <r>
          <rPr>
            <sz val="9"/>
            <color indexed="81"/>
            <rFont val="Tahoma"/>
            <family val="2"/>
          </rPr>
          <t xml:space="preserve">
differential pressure from supply</t>
        </r>
      </text>
    </comment>
    <comment ref="E16" authorId="0" shapeId="0" xr:uid="{29778D51-CA30-41FA-9258-12BD82A74271}">
      <text>
        <r>
          <rPr>
            <b/>
            <sz val="9"/>
            <color indexed="81"/>
            <rFont val="Tahoma"/>
            <family val="2"/>
          </rPr>
          <t>Fadiel:</t>
        </r>
        <r>
          <rPr>
            <sz val="9"/>
            <color indexed="81"/>
            <rFont val="Tahoma"/>
            <family val="2"/>
          </rPr>
          <t xml:space="preserve">
differential pressure from storage pressure</t>
        </r>
      </text>
    </comment>
    <comment ref="E26" authorId="0" shapeId="0" xr:uid="{57517898-F728-4279-B44D-1C465E991EE0}">
      <text>
        <r>
          <rPr>
            <b/>
            <sz val="9"/>
            <color indexed="81"/>
            <rFont val="Tahoma"/>
            <family val="2"/>
          </rPr>
          <t>Fadiel:</t>
        </r>
        <r>
          <rPr>
            <sz val="9"/>
            <color indexed="81"/>
            <rFont val="Tahoma"/>
            <family val="2"/>
          </rPr>
          <t xml:space="preserve">
https://www.energy.gov/eere/fuelcells/hydrogen-storage
Specific system targets include the following:
1.5 kWh/kg system (4.5 wt.% hydrogen)
1.0 kWh/L system (0.030 kg hydrogen/L)
$10/kWh ($333/kg stored hydrogen capacity).
</t>
        </r>
      </text>
    </comment>
    <comment ref="F26" authorId="0" shapeId="0" xr:uid="{F95683DD-868B-4D47-B840-39AE8C13755E}">
      <text>
        <r>
          <rPr>
            <b/>
            <sz val="9"/>
            <color indexed="81"/>
            <rFont val="Tahoma"/>
            <family val="2"/>
          </rPr>
          <t>Fadiel: USD/kWh</t>
        </r>
        <r>
          <rPr>
            <sz val="9"/>
            <color indexed="81"/>
            <rFont val="Tahoma"/>
            <family val="2"/>
          </rPr>
          <t xml:space="preserve">
Houchins C. and James B.D. (2020)
USD2016-&gt;2020
https://www.in2013dollars.com/us/inflation/2016?endYear=2020&amp;amount=1</t>
        </r>
      </text>
    </comment>
    <comment ref="C37" authorId="0" shapeId="0" xr:uid="{2C51DD65-C43E-4537-8A38-3DAEF02FC267}">
      <text>
        <r>
          <rPr>
            <b/>
            <sz val="9"/>
            <color indexed="81"/>
            <rFont val="Tahoma"/>
            <family val="2"/>
          </rPr>
          <t>Fadiel:</t>
        </r>
        <r>
          <rPr>
            <sz val="9"/>
            <color indexed="81"/>
            <rFont val="Tahoma"/>
            <family val="2"/>
          </rPr>
          <t xml:space="preserve">
</t>
        </r>
      </text>
    </comment>
    <comment ref="B42" authorId="0" shapeId="0" xr:uid="{1714F58C-0DFA-476C-9A90-DE6DD72769A4}">
      <text>
        <r>
          <rPr>
            <b/>
            <sz val="9"/>
            <color indexed="81"/>
            <rFont val="Tahoma"/>
            <family val="2"/>
          </rPr>
          <t>Fadiel:</t>
        </r>
        <r>
          <rPr>
            <sz val="9"/>
            <color indexed="81"/>
            <rFont val="Tahoma"/>
            <family val="2"/>
          </rPr>
          <t xml:space="preserve">
E4Tech (2012)
</t>
        </r>
      </text>
    </comment>
    <comment ref="C43" authorId="0" shapeId="0" xr:uid="{059D6E12-E9D2-4939-A7B9-DFE0A4D87889}">
      <text>
        <r>
          <rPr>
            <b/>
            <sz val="9"/>
            <color indexed="81"/>
            <rFont val="Tahoma"/>
            <family val="2"/>
          </rPr>
          <t>Fadiel:</t>
        </r>
        <r>
          <rPr>
            <sz val="9"/>
            <color indexed="81"/>
            <rFont val="Tahoma"/>
            <family val="2"/>
          </rPr>
          <t xml:space="preserve">
DoE (2009)
</t>
        </r>
      </text>
    </comment>
    <comment ref="C44" authorId="0" shapeId="0" xr:uid="{8B3F8EB3-8136-40E7-A57B-BA21D958EF0A}">
      <text>
        <r>
          <rPr>
            <b/>
            <sz val="9"/>
            <color indexed="81"/>
            <rFont val="Tahoma"/>
            <family val="2"/>
          </rPr>
          <t>Fadiel:</t>
        </r>
        <r>
          <rPr>
            <sz val="9"/>
            <color indexed="81"/>
            <rFont val="Tahoma"/>
            <family val="2"/>
          </rPr>
          <t xml:space="preserve">
estimated from DoE(2009) for 20 bar supply. See below.</t>
        </r>
      </text>
    </comment>
    <comment ref="C46" authorId="0" shapeId="0" xr:uid="{EE102475-067C-44D0-9F88-7C34335221A8}">
      <text>
        <r>
          <rPr>
            <b/>
            <sz val="9"/>
            <color indexed="81"/>
            <rFont val="Tahoma"/>
            <family val="2"/>
          </rPr>
          <t>Fadiel:</t>
        </r>
        <r>
          <rPr>
            <sz val="9"/>
            <color indexed="81"/>
            <rFont val="Tahoma"/>
            <family val="2"/>
          </rPr>
          <t xml:space="preserve">
estimated from DoE(2009) for 20 bar supply. See below.</t>
        </r>
      </text>
    </comment>
    <comment ref="C48" authorId="0" shapeId="0" xr:uid="{2291FE3F-C2B5-4FAA-8686-AAD9DA084246}">
      <text>
        <r>
          <rPr>
            <b/>
            <sz val="9"/>
            <color indexed="81"/>
            <rFont val="Tahoma"/>
            <family val="2"/>
          </rPr>
          <t>Fadiel:</t>
        </r>
        <r>
          <rPr>
            <sz val="9"/>
            <color indexed="81"/>
            <rFont val="Tahoma"/>
            <family val="2"/>
          </rPr>
          <t xml:space="preserve">
Houchins C. and James B.D. (2020) 
</t>
        </r>
      </text>
    </comment>
    <comment ref="Z117" authorId="0" shapeId="0" xr:uid="{2DF215FC-9B40-4E27-9D79-35C9ED3A18F0}">
      <text>
        <r>
          <rPr>
            <b/>
            <sz val="9"/>
            <color indexed="81"/>
            <rFont val="Tahoma"/>
            <family val="2"/>
          </rPr>
          <t>Fadiel:</t>
        </r>
        <r>
          <rPr>
            <sz val="9"/>
            <color indexed="81"/>
            <rFont val="Tahoma"/>
            <family val="2"/>
          </rPr>
          <t xml:space="preserve">
Complete-Trailer</t>
        </r>
      </text>
    </comment>
    <comment ref="C118" authorId="0" shapeId="0" xr:uid="{F772DEFA-5B0D-4D7F-8F5D-472E6FB2FAF4}">
      <text>
        <r>
          <rPr>
            <b/>
            <sz val="9"/>
            <color indexed="81"/>
            <rFont val="Tahoma"/>
            <family val="2"/>
          </rPr>
          <t>Fadiel:</t>
        </r>
        <r>
          <rPr>
            <sz val="9"/>
            <color indexed="81"/>
            <rFont val="Tahoma"/>
            <family val="2"/>
          </rPr>
          <t xml:space="preserve">
Supply Pressure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<sst xmlns="http://schemas.openxmlformats.org/spreadsheetml/2006/main" count="2201" uniqueCount="838">
  <si>
    <t>Document type:</t>
  </si>
  <si>
    <t>YES</t>
  </si>
  <si>
    <t>DAYNITE</t>
    <phoneticPr fontId="0" type="noConversion"/>
  </si>
  <si>
    <t>PJa</t>
  </si>
  <si>
    <t>PJ</t>
  </si>
  <si>
    <t>PRE</t>
  </si>
  <si>
    <t>SUPH2GD</t>
  </si>
  <si>
    <t>*</t>
  </si>
  <si>
    <t>Years</t>
  </si>
  <si>
    <t>Output Commodity</t>
  </si>
  <si>
    <t>Input Commodity</t>
  </si>
  <si>
    <t>Technology description</t>
  </si>
  <si>
    <t>*Technology Name</t>
  </si>
  <si>
    <t>Vintage</t>
  </si>
  <si>
    <t>PrimaryCG</t>
  </si>
  <si>
    <t>Tslvl</t>
  </si>
  <si>
    <t>Tcap</t>
  </si>
  <si>
    <t>Tact</t>
  </si>
  <si>
    <t>TechDesc</t>
  </si>
  <si>
    <t>TechName</t>
  </si>
  <si>
    <t>Sets</t>
  </si>
  <si>
    <t>FIXOM</t>
  </si>
  <si>
    <t>VAROM</t>
  </si>
  <si>
    <t>NCAP_COST~2030</t>
  </si>
  <si>
    <t>NCAP_COST</t>
  </si>
  <si>
    <t>EFF~2030</t>
  </si>
  <si>
    <t>NCAP_AF</t>
  </si>
  <si>
    <t>LIFE</t>
  </si>
  <si>
    <t>START</t>
  </si>
  <si>
    <t>CAP2ACT</t>
  </si>
  <si>
    <t>Comm-OUT</t>
  </si>
  <si>
    <t>Comm-IN</t>
  </si>
  <si>
    <t>*TechDesc</t>
  </si>
  <si>
    <t>~FI_Process</t>
  </si>
  <si>
    <t>~FI_T</t>
  </si>
  <si>
    <t>Source: UK TIMES</t>
  </si>
  <si>
    <t>DAYNITE</t>
  </si>
  <si>
    <t>SUPH2GC</t>
  </si>
  <si>
    <t>%</t>
  </si>
  <si>
    <t>*Unit</t>
  </si>
  <si>
    <t>Annual availability factor relating the annual activity of a process to the installed capacity, 2010</t>
  </si>
  <si>
    <t>Units of activity/unit of capacity</t>
  </si>
  <si>
    <t>Lifetime</t>
  </si>
  <si>
    <t>NCAP_FOM~2030</t>
  </si>
  <si>
    <t>NCAP_FOM</t>
  </si>
  <si>
    <t>EFF~2050</t>
  </si>
  <si>
    <t>NCAP_AFA</t>
  </si>
  <si>
    <t>NCAP_ILED</t>
  </si>
  <si>
    <t>SUPELC</t>
  </si>
  <si>
    <t/>
  </si>
  <si>
    <t>SUPH2LC</t>
  </si>
  <si>
    <t>Hydrogen liquefaction</t>
  </si>
  <si>
    <t>SH2GH2L_01</t>
  </si>
  <si>
    <t>* Hydrogen liquefaction to HDL</t>
  </si>
  <si>
    <t>€m/capacity unit</t>
  </si>
  <si>
    <t>Fixed Operational &amp; Maintenance Cost - 2030 (2012 prices)</t>
  </si>
  <si>
    <t>Fixed Operational &amp; Maintenance Cost (2012 prices)</t>
  </si>
  <si>
    <t>Investment cost - 2030 (2012 prices)</t>
  </si>
  <si>
    <t>Investment cost (2012 prices)</t>
  </si>
  <si>
    <t xml:space="preserve"> Input per unit of activity - 2025</t>
  </si>
  <si>
    <t xml:space="preserve"> Input per unit of activity - 2010</t>
  </si>
  <si>
    <t>Lifetime of new capacity</t>
  </si>
  <si>
    <t>Auxiliary input</t>
  </si>
  <si>
    <t>INPUT~2025</t>
  </si>
  <si>
    <t>INPUT</t>
  </si>
  <si>
    <t>COMM-IN-A</t>
  </si>
  <si>
    <t>HYDROGEN liquefaction (H2L)</t>
  </si>
  <si>
    <t>Hydrogen Delivery - PIPELINE TRANSMISSION HIGH-PRESSURE</t>
  </si>
  <si>
    <t>SH2GDEL_02</t>
  </si>
  <si>
    <t>SUPH2LD</t>
  </si>
  <si>
    <t>Hydrogen Delivery - ROAD-TANKER DISTRIBUTION</t>
  </si>
  <si>
    <t>SH2LDEL_01</t>
  </si>
  <si>
    <t>Hydrogen Delivery - PIPELINE DISTRIBUTION HIGH-PRESSURE</t>
  </si>
  <si>
    <t>SH2GDEL_01</t>
  </si>
  <si>
    <t>* Pipeline and road tanker distribution</t>
  </si>
  <si>
    <t>years</t>
  </si>
  <si>
    <t>Economic lifetime</t>
  </si>
  <si>
    <t>Activity Cost (Cost per unit of output) - 2020 (2012 prices)</t>
  </si>
  <si>
    <t>Activity Cost (Cost per unit of output) (2012 prices)</t>
  </si>
  <si>
    <t>NCAP_ELIFE</t>
  </si>
  <si>
    <t>ACT_COST~2030</t>
  </si>
  <si>
    <t>ACT_COST</t>
  </si>
  <si>
    <t>HYDROGEN delivery (H2D)</t>
  </si>
  <si>
    <t>No</t>
    <phoneticPr fontId="0" type="noConversion"/>
  </si>
  <si>
    <t>STS</t>
    <phoneticPr fontId="0" type="noConversion"/>
  </si>
  <si>
    <t>Hydrogen Storage - SMALL</t>
  </si>
  <si>
    <t>SH2GSTG_02</t>
  </si>
  <si>
    <t>Hydrogen Storage - LARGE</t>
  </si>
  <si>
    <t>SH2GSTG_01</t>
  </si>
  <si>
    <t>proportion</t>
  </si>
  <si>
    <t>Availability factor</t>
  </si>
  <si>
    <t>Fixed Operational &amp; Maintenance Cost (2010 prices)</t>
  </si>
  <si>
    <t>Investment cost (2010 prices)</t>
  </si>
  <si>
    <t>Storage efficiency</t>
  </si>
  <si>
    <t>S_EFF</t>
  </si>
  <si>
    <t>HYDROGEN storage (H2S)</t>
  </si>
  <si>
    <t>Sector(s):</t>
  </si>
  <si>
    <t>Purpose:</t>
  </si>
  <si>
    <t>Original developer(s):</t>
  </si>
  <si>
    <t>Current maintainer(s):</t>
  </si>
  <si>
    <t>Part of TIM version:</t>
  </si>
  <si>
    <t>Model repository:</t>
  </si>
  <si>
    <t>Licence:</t>
  </si>
  <si>
    <t>CC BY-NC-SA 4.0 (unless specified otherwise)</t>
  </si>
  <si>
    <t>https://creativecommons.org/licenses/by-nc-sa/4.0/</t>
  </si>
  <si>
    <t>New Technologies</t>
  </si>
  <si>
    <t>Supply sector (SUP)</t>
  </si>
  <si>
    <t>Specify techno-economic data for hydrogen chain technologies</t>
  </si>
  <si>
    <t>SATIM</t>
  </si>
  <si>
    <t>Bruno Merven (brunomerven@gmail.com)</t>
  </si>
  <si>
    <t>Ronald M. Dell, ... David A.J. Rand, 2014, Hydrogen, Fuel Cells and Fuel Cell Vehicles in Towards Sustainable Road Transport</t>
  </si>
  <si>
    <t>Campanario et al (2017) Techno-economic assessment of bio-oil aqueous phase-to-liquids via Fischer-Tropsch synthesis and based on supercritical water reforming</t>
  </si>
  <si>
    <t>Marchese et al 2021 CO2 from direct air capture as carbon feedstock for Fischer-Tropsch chemicals and fuels: Energy and economic analysis</t>
  </si>
  <si>
    <t>1989_Bookmatter_ChemicalEngineeringEconomics</t>
  </si>
  <si>
    <t>References:</t>
  </si>
  <si>
    <t>(3) An average for motor gasolines with RON between 91 and 95.</t>
  </si>
  <si>
    <t>(2) Assumes a mixture of 70% propane and 30% butane by mass.</t>
  </si>
  <si>
    <t>(1) For naphtha and heavier oils, the net calorific value is assumed to be 95% of gross.</t>
  </si>
  <si>
    <t>E85</t>
  </si>
  <si>
    <t>Ethanol</t>
  </si>
  <si>
    <r>
      <rPr>
        <i/>
        <sz val="11"/>
        <color rgb="FF212126"/>
        <rFont val="Calibri"/>
        <family val="2"/>
        <scheme val="minor"/>
      </rPr>
      <t>Fuel oil, high-sulphur</t>
    </r>
  </si>
  <si>
    <r>
      <rPr>
        <i/>
        <sz val="11"/>
        <color rgb="FF212126"/>
        <rFont val="Calibri"/>
        <family val="2"/>
        <scheme val="minor"/>
      </rPr>
      <t>Fuel oil, low-sulphur</t>
    </r>
  </si>
  <si>
    <r>
      <rPr>
        <i/>
        <sz val="11"/>
        <color rgb="FF212126"/>
        <rFont val="Calibri"/>
        <family val="2"/>
        <scheme val="minor"/>
      </rPr>
      <t>Gas/diesel oil</t>
    </r>
  </si>
  <si>
    <r>
      <rPr>
        <i/>
        <sz val="11"/>
        <color rgb="FF212126"/>
        <rFont val="Calibri"/>
        <family val="2"/>
        <scheme val="minor"/>
      </rPr>
      <t>Other kerosene</t>
    </r>
  </si>
  <si>
    <r>
      <rPr>
        <i/>
        <sz val="11"/>
        <color rgb="FF212126"/>
        <rFont val="Calibri"/>
        <family val="2"/>
        <scheme val="minor"/>
      </rPr>
      <t>Motor gasoline(3)</t>
    </r>
  </si>
  <si>
    <r>
      <rPr>
        <i/>
        <sz val="11"/>
        <color rgb="FF212126"/>
        <rFont val="Calibri"/>
        <family val="2"/>
        <scheme val="minor"/>
      </rPr>
      <t>Aviation turbine fuel</t>
    </r>
  </si>
  <si>
    <r>
      <rPr>
        <i/>
        <sz val="11"/>
        <color rgb="FF212126"/>
        <rFont val="Calibri"/>
        <family val="2"/>
        <scheme val="minor"/>
      </rPr>
      <t>Aviation gasoline</t>
    </r>
  </si>
  <si>
    <r>
      <rPr>
        <i/>
        <sz val="11"/>
        <color rgb="FF212126"/>
        <rFont val="Calibri"/>
        <family val="2"/>
        <scheme val="minor"/>
      </rPr>
      <t>Naphtha</t>
    </r>
  </si>
  <si>
    <r>
      <rPr>
        <i/>
        <sz val="11"/>
        <color rgb="FF212126"/>
        <rFont val="Calibri"/>
        <family val="2"/>
        <scheme val="minor"/>
      </rPr>
      <t>LPG(2)</t>
    </r>
  </si>
  <si>
    <r>
      <rPr>
        <i/>
        <sz val="11"/>
        <color rgb="FF212126"/>
        <rFont val="Calibri"/>
        <family val="2"/>
        <scheme val="minor"/>
      </rPr>
      <t>Butane</t>
    </r>
  </si>
  <si>
    <r>
      <rPr>
        <i/>
        <sz val="11"/>
        <color rgb="FF212126"/>
        <rFont val="Calibri"/>
        <family val="2"/>
        <scheme val="minor"/>
      </rPr>
      <t>Propane</t>
    </r>
  </si>
  <si>
    <r>
      <rPr>
        <i/>
        <sz val="11"/>
        <color rgb="FF212126"/>
        <rFont val="Calibri"/>
        <family val="2"/>
        <scheme val="minor"/>
      </rPr>
      <t>Ethane</t>
    </r>
  </si>
  <si>
    <t>Net calorific value
(MJ/litre)(1)</t>
  </si>
  <si>
    <r>
      <rPr>
        <i/>
        <sz val="11"/>
        <color rgb="FF212126"/>
        <rFont val="Calibri"/>
        <family val="2"/>
        <scheme val="minor"/>
      </rPr>
      <t>Net calorific value
(GJ/t)(1)</t>
    </r>
  </si>
  <si>
    <r>
      <rPr>
        <i/>
        <sz val="11"/>
        <color rgb="FF212126"/>
        <rFont val="Calibri"/>
        <family val="2"/>
        <scheme val="minor"/>
      </rPr>
      <t>Gross calorific value (GJ/t)</t>
    </r>
  </si>
  <si>
    <r>
      <rPr>
        <i/>
        <sz val="11"/>
        <color rgb="FF212126"/>
        <rFont val="Calibri"/>
        <family val="2"/>
        <scheme val="minor"/>
      </rPr>
      <t>Litres per tonne</t>
    </r>
  </si>
  <si>
    <r>
      <rPr>
        <i/>
        <sz val="11"/>
        <color rgb="FF212126"/>
        <rFont val="Calibri"/>
        <family val="2"/>
        <scheme val="minor"/>
      </rPr>
      <t>Density kg/m3</t>
    </r>
  </si>
  <si>
    <r>
      <rPr>
        <i/>
        <sz val="11"/>
        <color rgb="FF212126"/>
        <rFont val="Calibri"/>
        <family val="2"/>
        <scheme val="minor"/>
      </rPr>
      <t>Product</t>
    </r>
  </si>
  <si>
    <t>IEA Stats Manual Table A3.8 Typical Calorific Values for Selected Petroleum Products</t>
  </si>
  <si>
    <t>MJ/kg</t>
  </si>
  <si>
    <t>H2 LHV: high temp processes</t>
  </si>
  <si>
    <t>H2 HHV: low temp processess</t>
  </si>
  <si>
    <t>H2 Calorific Value</t>
  </si>
  <si>
    <t>M$</t>
  </si>
  <si>
    <t>MEUR</t>
  </si>
  <si>
    <t>M.EUR</t>
  </si>
  <si>
    <t>ZAR2015</t>
  </si>
  <si>
    <t>mR/PJ</t>
  </si>
  <si>
    <t>INVcost 2019 USD/kW</t>
  </si>
  <si>
    <t>average</t>
  </si>
  <si>
    <t>INVcost 2017 USD/kW</t>
  </si>
  <si>
    <t>IEA (2019) -annex</t>
  </si>
  <si>
    <t>Marchese (2021)</t>
  </si>
  <si>
    <t>INVcost 2019 EUR/kW</t>
  </si>
  <si>
    <t>per annum</t>
  </si>
  <si>
    <t>learning rate:</t>
  </si>
  <si>
    <t>ZAR2020</t>
  </si>
  <si>
    <t>mEUR/PJ</t>
  </si>
  <si>
    <t>J</t>
  </si>
  <si>
    <t>EUR/kW</t>
  </si>
  <si>
    <t>installed cost = purchase price x installation factor</t>
  </si>
  <si>
    <t>CAPACT</t>
  </si>
  <si>
    <t>https://www1.oanda.com/currency/converter/</t>
  </si>
  <si>
    <t>USD2019-&gt;ZAR2019</t>
  </si>
  <si>
    <t>ZAR 2019-&gt;2015</t>
  </si>
  <si>
    <t>EUR2019-&gt;USD2019</t>
  </si>
  <si>
    <t>https://www.inflationtool.com/us-dollar?amount=1&amp;year1=2017&amp;year2=2019</t>
  </si>
  <si>
    <t>USD2017-&gt;USD2019 IEA(2019)</t>
  </si>
  <si>
    <t>USD-&gt;EUR</t>
  </si>
  <si>
    <t>EUR2019-&gt;ZAR2019</t>
  </si>
  <si>
    <t>https://inflationcalc.co.za/</t>
  </si>
  <si>
    <t>ZAR 2020-&gt;2015</t>
  </si>
  <si>
    <t xml:space="preserve">(C20+) </t>
  </si>
  <si>
    <t>Other Product</t>
  </si>
  <si>
    <t xml:space="preserve">(C11-C20) </t>
  </si>
  <si>
    <t>(C5-C11)</t>
  </si>
  <si>
    <t>Aviation Fuel Product</t>
  </si>
  <si>
    <t>share:</t>
  </si>
  <si>
    <t>t</t>
  </si>
  <si>
    <t>Total</t>
  </si>
  <si>
    <t>output:</t>
  </si>
  <si>
    <t>kt/t</t>
  </si>
  <si>
    <t>CO2</t>
  </si>
  <si>
    <t>GJ/t</t>
  </si>
  <si>
    <t>Hydrogen</t>
  </si>
  <si>
    <t>Electricity</t>
  </si>
  <si>
    <t>GJ.hr</t>
  </si>
  <si>
    <t>MWh</t>
  </si>
  <si>
    <t>input:</t>
  </si>
  <si>
    <t>Net Efficiency Calc.</t>
  </si>
  <si>
    <t>Jetfuel per annum @ 8000 hrs</t>
  </si>
  <si>
    <t>t.t</t>
  </si>
  <si>
    <t>H2</t>
  </si>
  <si>
    <t>t.hr</t>
  </si>
  <si>
    <t>kg/kg</t>
  </si>
  <si>
    <t>H2O-&gt; H2</t>
  </si>
  <si>
    <t>Other</t>
  </si>
  <si>
    <t>jetfuel C chain length C12-18</t>
  </si>
  <si>
    <t>Suitable for Jet fuel</t>
  </si>
  <si>
    <t>Suitable for Aviation gasoline</t>
  </si>
  <si>
    <t>FT compression</t>
  </si>
  <si>
    <t>Auxiliaries</t>
  </si>
  <si>
    <t>MW</t>
  </si>
  <si>
    <t>Liquid/Wax fraction</t>
  </si>
  <si>
    <t>Gas Fraction Recirculated</t>
  </si>
  <si>
    <t>Gas to Burner</t>
  </si>
  <si>
    <t>t/hr</t>
  </si>
  <si>
    <t>FT Products</t>
  </si>
  <si>
    <t>Absorber Solvent</t>
  </si>
  <si>
    <t>CO2-&gt; RWGS</t>
  </si>
  <si>
    <t>O2 electrolysis</t>
  </si>
  <si>
    <t>Condensed H2O</t>
  </si>
  <si>
    <t>H2O electrolysis</t>
  </si>
  <si>
    <t>CASE 5 (no CC and No Ngas)</t>
  </si>
  <si>
    <t>CASE 4 (No NGAS)</t>
  </si>
  <si>
    <t>Feedstock (t/hour)</t>
  </si>
  <si>
    <t>operation hours/year</t>
  </si>
  <si>
    <t>kt</t>
  </si>
  <si>
    <t>oth</t>
  </si>
  <si>
    <t>other product</t>
  </si>
  <si>
    <t>kt/PJ</t>
  </si>
  <si>
    <t>co2</t>
  </si>
  <si>
    <t>flo emmis</t>
  </si>
  <si>
    <t>flo_shar</t>
  </si>
  <si>
    <t>GJ</t>
  </si>
  <si>
    <t>oke</t>
  </si>
  <si>
    <t>h2</t>
  </si>
  <si>
    <t>oag</t>
  </si>
  <si>
    <t>elc</t>
  </si>
  <si>
    <t>total</t>
  </si>
  <si>
    <t>annum</t>
  </si>
  <si>
    <t>hr</t>
  </si>
  <si>
    <t>output based:</t>
  </si>
  <si>
    <t>input based:</t>
  </si>
  <si>
    <t>flofunc</t>
  </si>
  <si>
    <t>Premium on "green" jet fuel relative to normal</t>
  </si>
  <si>
    <t>-</t>
  </si>
  <si>
    <t>Construction time</t>
  </si>
  <si>
    <t>UFTHGNCO2-N</t>
  </si>
  <si>
    <t>NCAP_TLIFE</t>
  </si>
  <si>
    <t>technical life of plant</t>
  </si>
  <si>
    <t>LO</t>
  </si>
  <si>
    <t>annual availibility min</t>
  </si>
  <si>
    <t>UP</t>
  </si>
  <si>
    <t>annual availibility max</t>
  </si>
  <si>
    <t>running costs</t>
  </si>
  <si>
    <t>fixed costs</t>
  </si>
  <si>
    <t>INVcost (2015 mR/PJa)</t>
  </si>
  <si>
    <t>TOP-OUT</t>
  </si>
  <si>
    <t>FLO_SHAR</t>
  </si>
  <si>
    <t>kerosene: jetfuel</t>
  </si>
  <si>
    <t>aviation gasoline</t>
  </si>
  <si>
    <t>TOP-IN</t>
  </si>
  <si>
    <t>hydrogen feed</t>
  </si>
  <si>
    <t>electricity feed</t>
  </si>
  <si>
    <t>FLO_FUNC</t>
  </si>
  <si>
    <t>conversion efficiency</t>
  </si>
  <si>
    <t>OKG</t>
  </si>
  <si>
    <t>UFTHGNCO2-N-O</t>
  </si>
  <si>
    <t>OAG</t>
  </si>
  <si>
    <t>HGN</t>
  </si>
  <si>
    <t>UFTHGNCO2-N-I</t>
  </si>
  <si>
    <t>UPSELC</t>
  </si>
  <si>
    <t>CO2CAPT</t>
  </si>
  <si>
    <t>PRC_ACTFLO</t>
  </si>
  <si>
    <t>CO2 feed</t>
  </si>
  <si>
    <t>NCAP_START</t>
  </si>
  <si>
    <t>start year</t>
  </si>
  <si>
    <t>parameter</t>
  </si>
  <si>
    <t>process</t>
  </si>
  <si>
    <t>CASE 4: exc. DAC</t>
  </si>
  <si>
    <t>CO2 from direct air capture as carbon feedstock for Fischer-Tropsch chemicals and fuels: Energy and economic analysis</t>
  </si>
  <si>
    <t>COM,NRG,ANNUAL,FOSSIL</t>
  </si>
  <si>
    <t>Dummy commodity</t>
  </si>
  <si>
    <t>IDUM</t>
  </si>
  <si>
    <t>E</t>
  </si>
  <si>
    <t>CO2 Captured</t>
  </si>
  <si>
    <t>PRC,PRE,ANNUAL,IRE</t>
  </si>
  <si>
    <t>PJ,PJa</t>
  </si>
  <si>
    <t>Exports of Green JetFuel</t>
  </si>
  <si>
    <t>PEXOKG</t>
  </si>
  <si>
    <t>T</t>
  </si>
  <si>
    <t>PRC,PRE,ANNUAL</t>
  </si>
  <si>
    <t xml:space="preserve">Conversion Tech from Green </t>
  </si>
  <si>
    <t>XOKGOKE</t>
  </si>
  <si>
    <t>Oil Green JetFuel</t>
  </si>
  <si>
    <t>Fischer-Tropsch SynFuel plant for Chemicals and Jetfuel-NEW</t>
  </si>
  <si>
    <t>COM_GRP,COM_GRPTRU</t>
  </si>
  <si>
    <t>D</t>
  </si>
  <si>
    <t>REGION1</t>
  </si>
  <si>
    <t>ITEMS</t>
  </si>
  <si>
    <t>ANNUAL</t>
  </si>
  <si>
    <t>ACT_BND</t>
  </si>
  <si>
    <t>ACTGRP</t>
  </si>
  <si>
    <t>ACT_EFF</t>
  </si>
  <si>
    <t>FX</t>
  </si>
  <si>
    <t>I/E</t>
  </si>
  <si>
    <t>Item6</t>
  </si>
  <si>
    <t>Item5</t>
  </si>
  <si>
    <t>Item4</t>
  </si>
  <si>
    <t>CommGrp</t>
  </si>
  <si>
    <t>Comm</t>
  </si>
  <si>
    <t>Process</t>
  </si>
  <si>
    <t>Parameter</t>
  </si>
  <si>
    <t>TS DATA</t>
  </si>
  <si>
    <t>PRC_CAPACT</t>
  </si>
  <si>
    <t>PRC_ACTUNT</t>
  </si>
  <si>
    <t>OKE</t>
  </si>
  <si>
    <t>COM_GMAP</t>
  </si>
  <si>
    <t>Value</t>
  </si>
  <si>
    <t>Item3</t>
  </si>
  <si>
    <t>Commodity</t>
  </si>
  <si>
    <t>TID DATA</t>
  </si>
  <si>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on- site</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</si>
  <si>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(2)</t>
    </r>
  </si>
  <si>
    <r>
      <rPr>
        <b/>
        <sz val="11"/>
        <rFont val="Calibri"/>
        <family val="2"/>
      </rPr>
      <t>GH</t>
    </r>
    <r>
      <rPr>
        <b/>
        <sz val="7"/>
        <rFont val="Calibri"/>
        <family val="2"/>
      </rPr>
      <t>2</t>
    </r>
    <r>
      <rPr>
        <b/>
        <sz val="11"/>
        <rFont val="Calibri"/>
        <family val="2"/>
      </rPr>
      <t>-GH</t>
    </r>
    <r>
      <rPr>
        <b/>
        <sz val="7"/>
        <rFont val="Calibri"/>
        <family val="2"/>
      </rPr>
      <t xml:space="preserve">2 </t>
    </r>
    <r>
      <rPr>
        <b/>
        <sz val="11"/>
        <rFont val="Calibri"/>
        <family val="2"/>
      </rPr>
      <t xml:space="preserve">pipeline
</t>
    </r>
    <r>
      <rPr>
        <b/>
        <sz val="11"/>
        <rFont val="Calibri"/>
        <family val="2"/>
      </rPr>
      <t>(1)</t>
    </r>
  </si>
  <si>
    <r>
      <rPr>
        <b/>
        <sz val="11"/>
        <rFont val="Calibri"/>
        <family val="2"/>
      </rPr>
      <t>LH</t>
    </r>
    <r>
      <rPr>
        <b/>
        <sz val="7"/>
        <rFont val="Calibri"/>
        <family val="2"/>
      </rPr>
      <t>2</t>
    </r>
    <r>
      <rPr>
        <b/>
        <sz val="11"/>
        <rFont val="Calibri"/>
        <family val="2"/>
      </rPr>
      <t>-GH</t>
    </r>
    <r>
      <rPr>
        <b/>
        <sz val="7"/>
        <rFont val="Calibri"/>
        <family val="2"/>
      </rPr>
      <t xml:space="preserve">2
</t>
    </r>
    <r>
      <rPr>
        <b/>
        <sz val="11"/>
        <rFont val="Calibri"/>
        <family val="2"/>
      </rPr>
      <t>tanker</t>
    </r>
  </si>
  <si>
    <r>
      <rPr>
        <b/>
        <sz val="11"/>
        <rFont val="Calibri"/>
        <family val="2"/>
      </rPr>
      <t>LH</t>
    </r>
    <r>
      <rPr>
        <b/>
        <sz val="7"/>
        <rFont val="Calibri"/>
        <family val="2"/>
      </rPr>
      <t>2</t>
    </r>
    <r>
      <rPr>
        <b/>
        <sz val="11"/>
        <rFont val="Calibri"/>
        <family val="2"/>
      </rPr>
      <t>-LH</t>
    </r>
    <r>
      <rPr>
        <b/>
        <sz val="7"/>
        <rFont val="Calibri"/>
        <family val="2"/>
      </rPr>
      <t xml:space="preserve">2
</t>
    </r>
    <r>
      <rPr>
        <b/>
        <sz val="11"/>
        <rFont val="Calibri"/>
        <family val="2"/>
      </rPr>
      <t>tanker</t>
    </r>
  </si>
  <si>
    <r>
      <rPr>
        <b/>
        <sz val="11"/>
        <rFont val="Calibri"/>
        <family val="2"/>
      </rPr>
      <t>Year</t>
    </r>
  </si>
  <si>
    <r>
      <rPr>
        <b/>
        <sz val="9"/>
        <color indexed="49"/>
        <rFont val="Calibri"/>
        <family val="2"/>
      </rPr>
      <t>Table 14. TIAM-UCL hydrogen fuelling station best-estimate costs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</si>
  <si>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r>
      <rPr>
        <b/>
        <sz val="9"/>
        <color indexed="49"/>
        <rFont val="Calibri"/>
        <family val="2"/>
      </rPr>
      <t>Table 13. UK MARKAL hydrogen fuelling station best-estimate costs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t>
    </r>
  </si>
  <si>
    <t>The UK MARKAL model does not directly account for the road tanker investment cost. For transmission, it assumes an energy efficiency of 98%. The investment costs are simulated as a variable O&amp;M distribution cost of £1.17 GJ-1, which is an output of the transmission model of Yang and Ogden (2007). The US9R MARKAL model has an optimistically-low investment cost (£0.6 GJ-1 y-1) but pessimistically assumes an energy efficiency of 90%.</t>
  </si>
  <si>
    <r>
      <rPr>
        <b/>
        <sz val="11"/>
        <rFont val="Calibri"/>
        <family val="2"/>
      </rPr>
      <t>TIAM-UCL (US$(2005)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</si>
  <si>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UK MARKAL (UK£(2000) GJ</t>
    </r>
    <r>
      <rPr>
        <b/>
        <sz val="7"/>
        <rFont val="Calibri"/>
        <family val="2"/>
      </rPr>
      <t xml:space="preserve">-1 </t>
    </r>
    <r>
      <rPr>
        <b/>
        <sz val="11"/>
        <rFont val="Calibri"/>
        <family val="2"/>
      </rPr>
      <t>y</t>
    </r>
    <r>
      <rPr>
        <b/>
        <sz val="7"/>
        <rFont val="Calibri"/>
        <family val="2"/>
      </rPr>
      <t>-1</t>
    </r>
    <r>
      <rPr>
        <b/>
        <sz val="11"/>
        <rFont val="Calibri"/>
        <family val="2"/>
      </rPr>
      <t>)</t>
    </r>
  </si>
  <si>
    <r>
      <rPr>
        <b/>
        <sz val="11"/>
        <rFont val="Calibri"/>
        <family val="2"/>
      </rPr>
      <t>year</t>
    </r>
  </si>
  <si>
    <r>
      <rPr>
        <b/>
        <sz val="11"/>
        <rFont val="Calibri"/>
        <family val="2"/>
      </rPr>
      <t>EFF</t>
    </r>
  </si>
  <si>
    <r>
      <rPr>
        <b/>
        <sz val="11"/>
        <rFont val="Calibri"/>
        <family val="2"/>
      </rPr>
      <t>INVCOST</t>
    </r>
  </si>
  <si>
    <r>
      <rPr>
        <b/>
        <sz val="11"/>
        <rFont val="Calibri"/>
        <family val="2"/>
      </rPr>
      <t>First</t>
    </r>
  </si>
  <si>
    <r>
      <rPr>
        <b/>
        <sz val="11"/>
        <rFont val="Calibri"/>
        <family val="2"/>
      </rPr>
      <t>Technology</t>
    </r>
  </si>
  <si>
    <r>
      <rPr>
        <b/>
        <sz val="9"/>
        <color indexed="49"/>
        <rFont val="Calibri"/>
        <family val="2"/>
      </rPr>
      <t>2000–2050. These costs and efficiencies are only valid for short delivery distances (i.e. approximately 100 km). See the text for a description of the data source.</t>
    </r>
  </si>
  <si>
    <r>
      <rPr>
        <b/>
        <sz val="9"/>
        <color indexed="49"/>
        <rFont val="Calibri"/>
        <family val="2"/>
      </rPr>
      <t>Table 12. Recommended energy system model investment cost and energy efficiency data for tube trailers for the period</t>
    </r>
  </si>
  <si>
    <r>
      <rPr>
        <b/>
        <sz val="11"/>
        <color indexed="8"/>
        <rFont val="Cambria"/>
        <family val="1"/>
      </rPr>
      <t>4.2.2    Tube trailer delivery</t>
    </r>
  </si>
  <si>
    <r>
      <rPr>
        <sz val="11"/>
        <rFont val="Calibri"/>
        <family val="2"/>
      </rPr>
      <t>Small</t>
    </r>
  </si>
  <si>
    <r>
      <rPr>
        <b/>
        <sz val="11"/>
        <rFont val="Calibri"/>
        <family val="2"/>
      </rPr>
      <t>Road tanker*</t>
    </r>
  </si>
  <si>
    <r>
      <rPr>
        <sz val="11"/>
        <rFont val="Calibri"/>
        <family val="2"/>
      </rPr>
      <t>Large</t>
    </r>
  </si>
  <si>
    <r>
      <rPr>
        <b/>
        <sz val="11"/>
        <rFont val="Calibri"/>
        <family val="2"/>
      </rPr>
      <t>Ship*</t>
    </r>
  </si>
  <si>
    <r>
      <rPr>
        <sz val="11"/>
        <rFont val="Calibri"/>
        <family val="2"/>
      </rPr>
      <t>Medium</t>
    </r>
  </si>
  <si>
    <r>
      <rPr>
        <b/>
        <sz val="11"/>
        <rFont val="Calibri"/>
        <family val="2"/>
      </rPr>
      <t>Liquefaction</t>
    </r>
  </si>
  <si>
    <r>
      <rPr>
        <b/>
        <sz val="11"/>
        <rFont val="Calibri"/>
        <family val="2"/>
      </rPr>
      <t>First year</t>
    </r>
  </si>
  <si>
    <r>
      <rPr>
        <b/>
        <sz val="11"/>
        <rFont val="Calibri"/>
        <family val="2"/>
      </rPr>
      <t>Size</t>
    </r>
  </si>
  <si>
    <r>
      <rPr>
        <b/>
        <sz val="9"/>
        <color indexed="49"/>
        <rFont val="Calibri"/>
        <family val="2"/>
      </rPr>
      <t>distance.</t>
    </r>
  </si>
  <si>
    <r>
      <rPr>
        <b/>
        <sz val="9"/>
        <color indexed="49"/>
        <rFont val="Calibri"/>
        <family val="2"/>
      </rPr>
      <t>description of the data source. * Ship and road tanker investment costs and efficiencies are influenced by the delivery</t>
    </r>
  </si>
  <si>
    <r>
      <rPr>
        <b/>
        <sz val="9"/>
        <color indexed="49"/>
        <rFont val="Calibri"/>
        <family val="2"/>
      </rPr>
      <t>period 2000–2050, for use in energy systems models. Investment costs have units US$(2005)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</si>
  <si>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11. Recommended TIAM-UCL investment cost and energy efficiency data for LH</t>
    </r>
    <r>
      <rPr>
        <b/>
        <sz val="6"/>
        <color indexed="49"/>
        <rFont val="Calibri"/>
        <family val="2"/>
      </rPr>
      <t xml:space="preserve">2 </t>
    </r>
    <r>
      <rPr>
        <b/>
        <sz val="9"/>
        <color indexed="49"/>
        <rFont val="Calibri"/>
        <family val="2"/>
      </rPr>
      <t>delivery technologies for the</t>
    </r>
  </si>
  <si>
    <r>
      <rPr>
        <b/>
        <sz val="9"/>
        <color indexed="49"/>
        <rFont val="Calibri"/>
        <family val="2"/>
      </rPr>
      <t>description of the data source. * Ship and road tanker investment costs and efficiencies are influenced by the delivery distance.</t>
    </r>
  </si>
  <si>
    <r>
      <rPr>
        <b/>
        <sz val="9"/>
        <color indexed="49"/>
        <rFont val="Calibri"/>
        <family val="2"/>
      </rPr>
      <t>period 2000–2050, for use in energy systems models. Investment costs have units GB£(2000)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See the text for a</t>
    </r>
  </si>
  <si>
    <r>
      <rPr>
        <b/>
        <sz val="9"/>
        <color indexed="49"/>
        <rFont val="Calibri"/>
        <family val="2"/>
      </rPr>
      <t>Table 10. Recommended UK MARKAL investment cost and energy efficiency data for LH</t>
    </r>
    <r>
      <rPr>
        <b/>
        <sz val="6"/>
        <color indexed="49"/>
        <rFont val="Calibri"/>
        <family val="2"/>
      </rPr>
      <t xml:space="preserve">2 </t>
    </r>
    <r>
      <rPr>
        <b/>
        <sz val="9"/>
        <color indexed="49"/>
        <rFont val="Calibri"/>
        <family val="2"/>
      </rPr>
      <t>delivery technologies for the</t>
    </r>
  </si>
  <si>
    <t>4.2.1 Liquid hydrogen delivery</t>
  </si>
  <si>
    <r>
      <rPr>
        <sz val="10"/>
        <rFont val="Cambria"/>
        <family val="1"/>
      </rPr>
      <t>0%</t>
    </r>
  </si>
  <si>
    <r>
      <rPr>
        <sz val="10"/>
        <rFont val="Cambria"/>
        <family val="1"/>
      </rPr>
      <t>100%</t>
    </r>
  </si>
  <si>
    <r>
      <rPr>
        <b/>
        <sz val="10"/>
        <rFont val="Cambria"/>
        <family val="1"/>
      </rPr>
      <t>Electrolysis</t>
    </r>
  </si>
  <si>
    <r>
      <rPr>
        <sz val="10"/>
        <rFont val="Cambria"/>
        <family val="1"/>
      </rPr>
      <t>30%</t>
    </r>
  </si>
  <si>
    <r>
      <rPr>
        <sz val="10"/>
        <rFont val="Cambria"/>
        <family val="1"/>
      </rPr>
      <t>70%</t>
    </r>
  </si>
  <si>
    <r>
      <rPr>
        <b/>
        <sz val="10"/>
        <rFont val="Cambria"/>
        <family val="1"/>
      </rPr>
      <t>Nuclear</t>
    </r>
  </si>
  <si>
    <t>kton CO2/PJ (H2 LHV)</t>
  </si>
  <si>
    <r>
      <rPr>
        <sz val="10"/>
        <rFont val="Cambria"/>
        <family val="1"/>
      </rPr>
      <t>3%</t>
    </r>
  </si>
  <si>
    <r>
      <rPr>
        <sz val="10"/>
        <rFont val="Cambria"/>
        <family val="1"/>
      </rPr>
      <t>97%</t>
    </r>
  </si>
  <si>
    <r>
      <rPr>
        <b/>
        <sz val="10"/>
        <rFont val="Cambria"/>
        <family val="1"/>
      </rPr>
      <t>Biomass and waste</t>
    </r>
  </si>
  <si>
    <t>kton CO2/PJ (H2 HHV)</t>
  </si>
  <si>
    <r>
      <rPr>
        <b/>
        <sz val="10"/>
        <rFont val="Cambria"/>
        <family val="1"/>
      </rPr>
      <t>SMR</t>
    </r>
  </si>
  <si>
    <t>kg CO2/MJ (H2 LHV)</t>
  </si>
  <si>
    <r>
      <rPr>
        <b/>
        <sz val="10"/>
        <rFont val="Cambria"/>
        <family val="1"/>
      </rPr>
      <t>IGCC generation (after
coal gasification)</t>
    </r>
  </si>
  <si>
    <t>kg CO2/MJ (H2 HHV)</t>
  </si>
  <si>
    <r>
      <rPr>
        <b/>
        <sz val="10"/>
        <rFont val="Cambria"/>
        <family val="1"/>
      </rPr>
      <t>Coal gasification</t>
    </r>
  </si>
  <si>
    <t>(Pg 53)</t>
  </si>
  <si>
    <t xml:space="preserve"> kg CO2/kg H2</t>
  </si>
  <si>
    <t>CO2 out from WSG Unit:</t>
  </si>
  <si>
    <r>
      <rPr>
        <b/>
        <sz val="10"/>
        <rFont val="Cambria"/>
        <family val="1"/>
      </rPr>
      <t>Electricity</t>
    </r>
  </si>
  <si>
    <r>
      <rPr>
        <b/>
        <sz val="10"/>
        <rFont val="Cambria"/>
        <family val="1"/>
      </rPr>
      <t>GH2</t>
    </r>
  </si>
  <si>
    <r>
      <rPr>
        <b/>
        <sz val="10"/>
        <rFont val="Cambria"/>
        <family val="1"/>
      </rPr>
      <t>Feedstock</t>
    </r>
  </si>
  <si>
    <t>overall effic coal to H2</t>
  </si>
  <si>
    <t>Efficiency</t>
  </si>
  <si>
    <r>
      <rPr>
        <b/>
        <sz val="10"/>
        <rFont val="Cambria"/>
        <family val="1"/>
      </rPr>
      <t>Energy output</t>
    </r>
  </si>
  <si>
    <r>
      <rPr>
        <b/>
        <sz val="10"/>
        <rFont val="Cambria"/>
        <family val="1"/>
      </rPr>
      <t>Energy input</t>
    </r>
  </si>
  <si>
    <r>
      <rPr>
        <b/>
        <sz val="10"/>
        <rFont val="Cambria"/>
        <family val="1"/>
      </rPr>
      <t>Technology</t>
    </r>
  </si>
  <si>
    <r>
      <rPr>
        <b/>
        <sz val="10"/>
        <color indexed="49"/>
        <rFont val="Cambria"/>
        <family val="1"/>
      </rPr>
      <t>text for a description of the data source.</t>
    </r>
  </si>
  <si>
    <t>D. Simbeck and E. Chang (2002) "Hydrogen Supply: Cost Estimate for Hydrogen Pathways Scoping Analysis", NREL, NREL/SR-540-32525</t>
  </si>
  <si>
    <t>Source:</t>
  </si>
  <si>
    <r>
      <rPr>
        <b/>
        <sz val="10"/>
        <color indexed="49"/>
        <rFont val="Cambria"/>
        <family val="1"/>
      </rPr>
      <t>systems models. Technologies with CCS should increase the electricity input and reduce the feedstock by 4%. See the</t>
    </r>
  </si>
  <si>
    <r>
      <rPr>
        <b/>
        <sz val="10"/>
        <color indexed="49"/>
        <rFont val="Cambria"/>
        <family val="1"/>
      </rPr>
      <t>Table 7. Recommended energy source input and output data for hydrogen production technologies for use in energy</t>
    </r>
  </si>
  <si>
    <t>Coal Gasification</t>
  </si>
  <si>
    <t>Units of R/kW</t>
  </si>
  <si>
    <t>Units of $m(2005) GW-1</t>
  </si>
  <si>
    <r>
      <rPr>
        <sz val="10"/>
        <rFont val="Cambria"/>
        <family val="1"/>
      </rPr>
      <t>5%</t>
    </r>
  </si>
  <si>
    <r>
      <rPr>
        <sz val="10"/>
        <rFont val="Cambria"/>
        <family val="1"/>
      </rPr>
      <t>Small</t>
    </r>
  </si>
  <si>
    <r>
      <rPr>
        <sz val="10"/>
        <rFont val="Cambria"/>
        <family val="1"/>
      </rPr>
      <t>Electrolysis</t>
    </r>
  </si>
  <si>
    <t>Gupta (2009)</t>
  </si>
  <si>
    <r>
      <rPr>
        <sz val="10"/>
        <rFont val="Cambria"/>
        <family val="1"/>
      </rPr>
      <t>Medium</t>
    </r>
  </si>
  <si>
    <t>Small Plant</t>
  </si>
  <si>
    <t>UK_SHEC II (2012)</t>
  </si>
  <si>
    <r>
      <rPr>
        <sz val="10"/>
        <rFont val="Cambria"/>
        <family val="1"/>
      </rPr>
      <t>6%</t>
    </r>
  </si>
  <si>
    <r>
      <rPr>
        <sz val="10"/>
        <rFont val="Cambria"/>
        <family val="1"/>
      </rPr>
      <t>Large</t>
    </r>
  </si>
  <si>
    <r>
      <rPr>
        <sz val="10"/>
        <rFont val="Cambria"/>
        <family val="1"/>
      </rPr>
      <t>Nuclear</t>
    </r>
  </si>
  <si>
    <t>Medium Plant</t>
  </si>
  <si>
    <r>
      <rPr>
        <sz val="10"/>
        <rFont val="Cambria"/>
        <family val="1"/>
      </rPr>
      <t>7%</t>
    </r>
  </si>
  <si>
    <r>
      <rPr>
        <sz val="10"/>
        <rFont val="Cambria"/>
        <family val="1"/>
      </rPr>
      <t>Waste gasification</t>
    </r>
  </si>
  <si>
    <t>Comments</t>
  </si>
  <si>
    <t>Source</t>
  </si>
  <si>
    <t>Volume Units</t>
  </si>
  <si>
    <t>Volume</t>
  </si>
  <si>
    <t>Upper</t>
  </si>
  <si>
    <t>Lower</t>
  </si>
  <si>
    <r>
      <rPr>
        <sz val="10"/>
        <rFont val="Cambria"/>
        <family val="1"/>
      </rPr>
      <t>Biomass oil pyrolysis</t>
    </r>
  </si>
  <si>
    <r>
      <rPr>
        <sz val="10"/>
        <rFont val="Cambria"/>
        <family val="1"/>
      </rPr>
      <t>Biomass gasification</t>
    </r>
  </si>
  <si>
    <t>Summary</t>
  </si>
  <si>
    <t>The efficiency of water electrolyzers lies in the range 58-87%</t>
  </si>
  <si>
    <r>
      <rPr>
        <sz val="10"/>
        <rFont val="Cambria"/>
        <family val="1"/>
      </rPr>
      <t>4%</t>
    </r>
  </si>
  <si>
    <r>
      <rPr>
        <sz val="10"/>
        <rFont val="Cambria"/>
        <family val="1"/>
      </rPr>
      <t>SMR</t>
    </r>
  </si>
  <si>
    <t>Ram B.Gupta, 2009. Hydrogen Fuel: Production, Transport and Storage.ISBN 978-1-4200-4575-8</t>
  </si>
  <si>
    <t>IGCC generation (after coal gasification)</t>
  </si>
  <si>
    <t>Water Electrolysis</t>
  </si>
  <si>
    <r>
      <rPr>
        <sz val="10"/>
        <rFont val="Cambria"/>
        <family val="1"/>
      </rPr>
      <t>Coal gasification</t>
    </r>
  </si>
  <si>
    <t>2025 - 2050</t>
  </si>
  <si>
    <t>2000 - 2025</t>
  </si>
  <si>
    <t>Learning Rate</t>
  </si>
  <si>
    <t>Fixed O&amp;M costs (million ZAR(2010) PJ-1 y-1)</t>
  </si>
  <si>
    <t>Fixed O&amp;M costs ($(2005) GJ-1 y-1)</t>
  </si>
  <si>
    <t>Fixed O&amp;M (% of investment costs)</t>
  </si>
  <si>
    <t>Size</t>
  </si>
  <si>
    <t xml:space="preserve">Technology       </t>
  </si>
  <si>
    <t>Nm3/day = normal m3/day ie: assuming gas at standard temperature and pressure</t>
  </si>
  <si>
    <t>Small SMR Plant</t>
  </si>
  <si>
    <r>
      <rPr>
        <b/>
        <sz val="10"/>
        <color indexed="49"/>
        <rFont val="Cambria"/>
        <family val="1"/>
      </rPr>
      <t>have units $m(2005) GW-1. See the text for a description of the data source.</t>
    </r>
  </si>
  <si>
    <t>Medium SMR Plant</t>
  </si>
  <si>
    <r>
      <rPr>
        <b/>
        <sz val="10"/>
        <color indexed="49"/>
        <rFont val="Cambria"/>
        <family val="1"/>
      </rPr>
      <t>2000–2050, for use in energy systems models. O&amp;M costs have units $(2005) GJ-1 y-1, except for those denoted by * that</t>
    </r>
  </si>
  <si>
    <t>Large SMR Plant</t>
  </si>
  <si>
    <r>
      <rPr>
        <b/>
        <sz val="10"/>
        <color indexed="49"/>
        <rFont val="Cambria"/>
        <family val="1"/>
      </rPr>
      <t>Table 6. Recommended TIAM-UCL annual fixed O&amp;M cost data for hydrogen production technologies for the period</t>
    </r>
  </si>
  <si>
    <t>EIA (2008)</t>
  </si>
  <si>
    <t>67-73%</t>
  </si>
  <si>
    <t>Rand &amp; Dell (2008)</t>
  </si>
  <si>
    <t>75-80%</t>
  </si>
  <si>
    <t>Scholz in Gupta(2009)</t>
  </si>
  <si>
    <t>HHV basis (Case when steam input requires energy in)</t>
  </si>
  <si>
    <t>Nm3/day</t>
  </si>
  <si>
    <t>HHV basis (Case when steam output can't be used)</t>
  </si>
  <si>
    <t>HHV basis - steam inputs and outputs included. Exothermic reaction to oxidsise CO can produce steam for input internally</t>
  </si>
  <si>
    <t>3000 - 30000</t>
  </si>
  <si>
    <t>medium scale for distributed production</t>
  </si>
  <si>
    <t>50 - 3000</t>
  </si>
  <si>
    <t>micro</t>
  </si>
  <si>
    <t>Volume Production (m3 H2)</t>
  </si>
  <si>
    <t>Type</t>
  </si>
  <si>
    <r>
      <rPr>
        <sz val="10"/>
        <rFont val="Cambria"/>
        <family val="1"/>
      </rPr>
      <t>coal gasification)</t>
    </r>
  </si>
  <si>
    <r>
      <rPr>
        <sz val="10"/>
        <rFont val="Cambria"/>
        <family val="1"/>
      </rPr>
      <t>6.3*</t>
    </r>
  </si>
  <si>
    <r>
      <rPr>
        <sz val="10"/>
        <rFont val="Cambria"/>
        <family val="1"/>
      </rPr>
      <t>IGCC generation (after</t>
    </r>
  </si>
  <si>
    <t>The overall thermal efficiencies of steam reformer plants are, at best, only 75-80% and thus, in the absence of CCS the conversion of methane to hydrogen releases significantly more CO2 than burning the methane.</t>
  </si>
  <si>
    <t>Source: Rand &amp; Dell (2008), "Hydrogen Energy Challenges and Prospects"</t>
  </si>
  <si>
    <t>convert 2005$ to 2015 $</t>
  </si>
  <si>
    <r>
      <rPr>
        <b/>
        <sz val="10"/>
        <rFont val="Cambria"/>
        <family val="1"/>
      </rPr>
      <t>Fixed O&amp;M costs</t>
    </r>
  </si>
  <si>
    <r>
      <rPr>
        <b/>
        <sz val="10"/>
        <color indexed="49"/>
        <rFont val="Cambria"/>
        <family val="1"/>
      </rPr>
      <t>2000–2050, for use in energy systems models. O&amp;M costs have units £(2000) GJ-1 y-1, except for those denoted by * that have units £m(2000) GW-1. See the text for a description of the data source.</t>
    </r>
  </si>
  <si>
    <t>kton CH4/PJ IN</t>
  </si>
  <si>
    <t>CH4</t>
  </si>
  <si>
    <r>
      <rPr>
        <b/>
        <sz val="10"/>
        <color indexed="49"/>
        <rFont val="Cambria"/>
        <family val="1"/>
      </rPr>
      <t>Table 5. Recommended UK MARKAL annual fixed O&amp;M cost data for hydrogen production technologies for the period</t>
    </r>
  </si>
  <si>
    <t>kton CO2/PJ IN</t>
  </si>
  <si>
    <t>kton CH4/PJ out</t>
  </si>
  <si>
    <r>
      <rPr>
        <sz val="10"/>
        <rFont val="Cambria"/>
        <family val="1"/>
      </rPr>
      <t>90%</t>
    </r>
  </si>
  <si>
    <r>
      <rPr>
        <sz val="10"/>
        <rFont val="Cambria"/>
        <family val="1"/>
      </rPr>
      <t>85%</t>
    </r>
  </si>
  <si>
    <r>
      <rPr>
        <sz val="10"/>
        <rFont val="Cambria"/>
        <family val="1"/>
      </rPr>
      <t>75%</t>
    </r>
  </si>
  <si>
    <t>kton CO2 eq/PJ out</t>
  </si>
  <si>
    <t>Nm3/Nm3 H2 produced</t>
  </si>
  <si>
    <t>CO2 emissions(77.65% of GHG):</t>
  </si>
  <si>
    <t>kton CO2/PJ out</t>
  </si>
  <si>
    <t>kg CO2 eq/kg net H2 Produced</t>
  </si>
  <si>
    <t>GHG Emissions of SMR =</t>
  </si>
  <si>
    <t>Spath &amp; Mann in Gupta:</t>
  </si>
  <si>
    <t>efficiency</t>
  </si>
  <si>
    <r>
      <rPr>
        <sz val="10"/>
        <rFont val="Cambria"/>
        <family val="1"/>
      </rPr>
      <t>50%</t>
    </r>
  </si>
  <si>
    <t>kg/MJ (LHV)</t>
  </si>
  <si>
    <t>Emission Factor</t>
  </si>
  <si>
    <t>GHG Emissions</t>
  </si>
  <si>
    <t>Calculations</t>
  </si>
  <si>
    <t>AFA</t>
  </si>
  <si>
    <t>HHV basis (steam input requires energy in)</t>
  </si>
  <si>
    <t>M$/PJ; $/GJ</t>
  </si>
  <si>
    <t>CAPEX</t>
  </si>
  <si>
    <t>HHV basis (steam output can't be used)</t>
  </si>
  <si>
    <r>
      <rPr>
        <sz val="10"/>
        <rFont val="Cambria"/>
        <family val="1"/>
      </rPr>
      <t>80%</t>
    </r>
  </si>
  <si>
    <r>
      <rPr>
        <sz val="10"/>
        <rFont val="Cambria"/>
        <family val="1"/>
      </rPr>
      <t>65%</t>
    </r>
  </si>
  <si>
    <t>$2017/kW.H2</t>
  </si>
  <si>
    <t>IEA (2019)</t>
  </si>
  <si>
    <r>
      <rPr>
        <sz val="10"/>
        <rFont val="Cambria"/>
        <family val="1"/>
      </rPr>
      <t>60%</t>
    </r>
  </si>
  <si>
    <t>hydrogen plant efficiency</t>
  </si>
  <si>
    <t>Note: The SMR processes both uses and produces steam</t>
  </si>
  <si>
    <t xml:space="preserve"> Investment costs   ( million ZAR(2010) PJ-1 y-1)</t>
  </si>
  <si>
    <t xml:space="preserve"> Energy efficiency</t>
  </si>
  <si>
    <t xml:space="preserve"> Investment costs   ( $(2005) GJ-1 y-1)</t>
  </si>
  <si>
    <t xml:space="preserve"> First year   </t>
  </si>
  <si>
    <t xml:space="preserve">  Size       </t>
  </si>
  <si>
    <t xml:space="preserve">Technology                                </t>
  </si>
  <si>
    <t>1 gge is equivalent to 1 kg of hydrogen</t>
  </si>
  <si>
    <t>Conversion to compare with IEA (2019) $2017/kWhH2 [USD 2005-&gt;2017]</t>
  </si>
  <si>
    <t xml:space="preserve">The cost is estimated at $5/gasoline gallon equivalent (gge) 2003 US dollar </t>
  </si>
  <si>
    <t>kgO2/kgH2</t>
  </si>
  <si>
    <r>
      <rPr>
        <b/>
        <sz val="9"/>
        <color indexed="49"/>
        <rFont val="Calibri"/>
        <family val="2"/>
      </rPr>
      <t>by 0.05. Investment costs have units $(2005)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 $m(2005) GW</t>
    </r>
    <r>
      <rPr>
        <b/>
        <sz val="6"/>
        <color indexed="49"/>
        <rFont val="Calibri"/>
        <family val="2"/>
      </rPr>
      <t>-1</t>
    </r>
    <r>
      <rPr>
        <b/>
        <sz val="9"/>
        <color indexed="49"/>
        <rFont val="Calibri"/>
        <family val="2"/>
      </rPr>
      <t>. See the text for a description of the data source.</t>
    </r>
  </si>
  <si>
    <t>Hydrogen produced by SMR at distributed scale is assumed to be more economical than central SMR production</t>
  </si>
  <si>
    <t>kg H2O/kg O2</t>
  </si>
  <si>
    <t>Water Use:O2</t>
  </si>
  <si>
    <r>
      <rPr>
        <b/>
        <sz val="9"/>
        <color indexed="49"/>
        <rFont val="Calibri"/>
        <family val="2"/>
      </rPr>
      <t>the period 2000–2050, for use in energy systems models. Technologies with CCS should reduce the energy efficiencies</t>
    </r>
  </si>
  <si>
    <t xml:space="preserve">95% of hydrogen produced in the world comes from fossil fuels. </t>
  </si>
  <si>
    <t>O2</t>
  </si>
  <si>
    <t>Table 4. Recommended TIAM-UCL investment cost and energy efficiency data for hydrogen production technologies for</t>
  </si>
  <si>
    <t>Capacity range (100 t/h of H2&lt;H&lt;1t/h of H2. 100 t/h for ammonia manufacturing plants and &lt;1 t/h for small decentralised systems</t>
  </si>
  <si>
    <t>used to produce 40% of world hydrogen</t>
  </si>
  <si>
    <r>
      <rPr>
        <sz val="11"/>
        <rFont val="Calibri"/>
        <family val="2"/>
      </rPr>
      <t>90%</t>
    </r>
  </si>
  <si>
    <r>
      <rPr>
        <sz val="11"/>
        <rFont val="Calibri"/>
        <family val="2"/>
      </rPr>
      <t>85%</t>
    </r>
  </si>
  <si>
    <r>
      <rPr>
        <sz val="11"/>
        <rFont val="Calibri"/>
        <family val="2"/>
      </rPr>
      <t>75%</t>
    </r>
  </si>
  <si>
    <r>
      <rPr>
        <sz val="11"/>
        <rFont val="Calibri"/>
        <family val="2"/>
      </rPr>
      <t>Electrolysis</t>
    </r>
  </si>
  <si>
    <t>Steam methane reforming (SMR), the most widely used being Catalytic steam reforming - it is the least expensive</t>
  </si>
  <si>
    <t>kg H2O/MJ (LHV)</t>
  </si>
  <si>
    <t>kg H2O/MJ (HHV)</t>
  </si>
  <si>
    <r>
      <rPr>
        <sz val="11"/>
        <rFont val="Calibri"/>
        <family val="2"/>
      </rPr>
      <t>Nuclear</t>
    </r>
  </si>
  <si>
    <t>kg H2O/kg H2</t>
  </si>
  <si>
    <t>Water Use:H2</t>
  </si>
  <si>
    <r>
      <rPr>
        <sz val="11"/>
        <rFont val="Calibri"/>
        <family val="2"/>
      </rPr>
      <t>50%</t>
    </r>
  </si>
  <si>
    <r>
      <rPr>
        <sz val="11"/>
        <rFont val="Calibri"/>
        <family val="2"/>
      </rPr>
      <t>Waste gasification</t>
    </r>
  </si>
  <si>
    <t>Steam Methane Reforming (SMR)</t>
  </si>
  <si>
    <r>
      <rPr>
        <sz val="11"/>
        <rFont val="Calibri"/>
        <family val="2"/>
      </rPr>
      <t>Biomass oil pyrolysis</t>
    </r>
  </si>
  <si>
    <t>https://www.webqc.org/molecular-weight-of-o.html</t>
  </si>
  <si>
    <t>Molar Mass O:</t>
  </si>
  <si>
    <r>
      <rPr>
        <sz val="11"/>
        <rFont val="Calibri"/>
        <family val="2"/>
      </rPr>
      <t>Biomass gasification</t>
    </r>
  </si>
  <si>
    <t>(Adapted from NREL (2002), "Hydrogen Supply: Cost Estimate for Hydrogen Pathways Scoping Analysis")</t>
  </si>
  <si>
    <t>https://www.webqc.org/molecular-weight-of-h.html</t>
  </si>
  <si>
    <t>Molar Mass H:</t>
  </si>
  <si>
    <t>WATER CONSUMPTION CALCS - INLAND ELECTROLYSIS</t>
  </si>
  <si>
    <r>
      <rPr>
        <b/>
        <sz val="11"/>
        <color indexed="8"/>
        <rFont val="Calibri"/>
        <family val="2"/>
      </rPr>
      <t>Electrolysis</t>
    </r>
    <r>
      <rPr>
        <sz val="11"/>
        <color theme="1"/>
        <rFont val="Calibri"/>
        <family val="2"/>
        <scheme val="minor"/>
      </rPr>
      <t xml:space="preserve"> to split hydrogen and water</t>
    </r>
  </si>
  <si>
    <r>
      <rPr>
        <sz val="11"/>
        <rFont val="Calibri"/>
        <family val="2"/>
      </rPr>
      <t>80%</t>
    </r>
  </si>
  <si>
    <r>
      <rPr>
        <sz val="11"/>
        <rFont val="Calibri"/>
        <family val="2"/>
      </rPr>
      <t>65%</t>
    </r>
  </si>
  <si>
    <r>
      <rPr>
        <sz val="11"/>
        <rFont val="Calibri"/>
        <family val="2"/>
      </rPr>
      <t>SMR</t>
    </r>
  </si>
  <si>
    <r>
      <rPr>
        <b/>
        <sz val="11"/>
        <color indexed="8"/>
        <rFont val="Calibri"/>
        <family val="2"/>
      </rPr>
      <t>Gasification</t>
    </r>
    <r>
      <rPr>
        <sz val="11"/>
        <color theme="1"/>
        <rFont val="Calibri"/>
        <family val="2"/>
        <scheme val="minor"/>
      </rPr>
      <t xml:space="preserve"> or partial oxidation (PO) is more flexible than reforming - it could process a range of gaseous, liquid and solid feedstocks such as coal, residual oils, ethanol or solid biomass</t>
    </r>
  </si>
  <si>
    <t>120 - 140</t>
  </si>
  <si>
    <t>Octane Rating</t>
  </si>
  <si>
    <r>
      <rPr>
        <b/>
        <sz val="11"/>
        <color indexed="8"/>
        <rFont val="Calibri"/>
        <family val="2"/>
      </rPr>
      <t>Reforming</t>
    </r>
    <r>
      <rPr>
        <sz val="11"/>
        <color theme="1"/>
        <rFont val="Calibri"/>
        <family val="2"/>
        <scheme val="minor"/>
      </rPr>
      <t xml:space="preserve"> is the technology of choice for converting gaseous and light liquid hydrocarbons</t>
    </r>
  </si>
  <si>
    <t>LHV</t>
  </si>
  <si>
    <t>HHV</t>
  </si>
  <si>
    <r>
      <rPr>
        <sz val="11"/>
        <rFont val="Calibri"/>
        <family val="2"/>
      </rPr>
      <t>60%</t>
    </r>
  </si>
  <si>
    <r>
      <rPr>
        <sz val="11"/>
        <rFont val="Calibri"/>
        <family val="2"/>
      </rPr>
      <t>126*</t>
    </r>
  </si>
  <si>
    <t>There are many laboratory proven hydrogen production processes ranging from large scale gasification of coal similar to the SASOL process to photosynthesis by specially bio-engineered algae. Commercially proven technologies however fall into one of the following 3 families of processes:</t>
  </si>
  <si>
    <t>g/litre</t>
  </si>
  <si>
    <t>density of liquid hydrogen</t>
  </si>
  <si>
    <r>
      <rPr>
        <sz val="11"/>
        <rFont val="Calibri"/>
        <family val="2"/>
      </rPr>
      <t>Coal gasification</t>
    </r>
  </si>
  <si>
    <t>General Notes</t>
  </si>
  <si>
    <t>kg/m3</t>
  </si>
  <si>
    <t>density at standard conditions</t>
  </si>
  <si>
    <t>deg. C</t>
  </si>
  <si>
    <t>Boiling Point</t>
  </si>
  <si>
    <t>Investment costs</t>
  </si>
  <si>
    <t>First year</t>
  </si>
  <si>
    <t xml:space="preserve">Technology    </t>
  </si>
  <si>
    <t>kg/kmol</t>
  </si>
  <si>
    <t>Molar Mass</t>
  </si>
  <si>
    <r>
      <rPr>
        <b/>
        <sz val="9"/>
        <color indexed="49"/>
        <rFont val="Calibri"/>
        <family val="2"/>
      </rPr>
      <t>£m(2000) GW</t>
    </r>
    <r>
      <rPr>
        <b/>
        <sz val="6"/>
        <color indexed="49"/>
        <rFont val="Calibri"/>
        <family val="2"/>
      </rPr>
      <t>-1</t>
    </r>
    <r>
      <rPr>
        <b/>
        <sz val="9"/>
        <color indexed="49"/>
        <rFont val="Calibri"/>
        <family val="2"/>
      </rPr>
      <t>.  See the text for a description of the data source.</t>
    </r>
  </si>
  <si>
    <t>kJ/(kg.K)</t>
  </si>
  <si>
    <t>Ideal Gas Constant R</t>
  </si>
  <si>
    <r>
      <rPr>
        <b/>
        <sz val="9"/>
        <color indexed="49"/>
        <rFont val="Calibri"/>
        <family val="2"/>
      </rPr>
      <t>for the period 2000–2050, for use in energy systems models. Technologies with CCS should reduce the energy efficiencies by 0.05. Investment costs have units £(2000) GJ</t>
    </r>
    <r>
      <rPr>
        <b/>
        <sz val="6"/>
        <color indexed="49"/>
        <rFont val="Calibri"/>
        <family val="2"/>
      </rPr>
      <t xml:space="preserve">-1 </t>
    </r>
    <r>
      <rPr>
        <b/>
        <sz val="9"/>
        <color indexed="49"/>
        <rFont val="Calibri"/>
        <family val="2"/>
      </rPr>
      <t>y</t>
    </r>
    <r>
      <rPr>
        <b/>
        <sz val="6"/>
        <color indexed="49"/>
        <rFont val="Calibri"/>
        <family val="2"/>
      </rPr>
      <t>-1</t>
    </r>
    <r>
      <rPr>
        <b/>
        <sz val="9"/>
        <color indexed="49"/>
        <rFont val="Calibri"/>
        <family val="2"/>
      </rPr>
      <t>, except for those denoted by * that have units</t>
    </r>
  </si>
  <si>
    <r>
      <rPr>
        <b/>
        <sz val="9"/>
        <color indexed="49"/>
        <rFont val="Calibri"/>
        <family val="2"/>
      </rPr>
      <t>Table 3. Recommended UK MARKAL investment cost and energy efficiency data for hydrogen production technologies</t>
    </r>
  </si>
  <si>
    <t>http://www.psi.org.uk/pdf/2008/HydrogenMARKAL_report.pdf</t>
  </si>
  <si>
    <t>http://www.wholesem.ac.uk/bartlett/energy/research/themes/energy-systems/hydrogen/</t>
  </si>
  <si>
    <t>CONSTANTS</t>
  </si>
  <si>
    <t>UK SHEC PROJECT MARKAL MODEL HYDROGEN SUPPLY TECHNOLOGY TABLES</t>
  </si>
  <si>
    <t>Contents</t>
  </si>
  <si>
    <t>tlife.hrs</t>
  </si>
  <si>
    <t>Alk</t>
  </si>
  <si>
    <t>PEM</t>
  </si>
  <si>
    <t>life (hr)</t>
  </si>
  <si>
    <t>Stack lifetime</t>
  </si>
  <si>
    <t>ZAR 2019 mR/PJ</t>
  </si>
  <si>
    <t>ZAR 2019 R/kW</t>
  </si>
  <si>
    <t>M$/PJ</t>
  </si>
  <si>
    <t>$/J</t>
  </si>
  <si>
    <t>Joules</t>
  </si>
  <si>
    <t>UNITS</t>
  </si>
  <si>
    <t>$Mil.PJ</t>
  </si>
  <si>
    <t>conservative</t>
  </si>
  <si>
    <t>optimistic</t>
  </si>
  <si>
    <t>2019USD/kWe</t>
  </si>
  <si>
    <t>Alkaline</t>
  </si>
  <si>
    <t>IEA long term lower bound</t>
  </si>
  <si>
    <t>OR</t>
  </si>
  <si>
    <t>For comparison, the lower heating value (LHV) of hydrogen is 33.3 kWh/kg H2.</t>
  </si>
  <si>
    <t>LHV-H2</t>
  </si>
  <si>
    <t>ZAR2019-&gt;ZAR2010</t>
  </si>
  <si>
    <t>USD2017-&gt;ZAR2015</t>
  </si>
  <si>
    <t>UELEA1HGN</t>
  </si>
  <si>
    <t>UELEP1HGN</t>
  </si>
  <si>
    <t>Electrical Efficiency (LHV)</t>
  </si>
  <si>
    <t xml:space="preserve">AFA </t>
  </si>
  <si>
    <t>Tlife</t>
  </si>
  <si>
    <t>FOM</t>
  </si>
  <si>
    <t>INVcost (2015 R/kW)</t>
  </si>
  <si>
    <t>Projected from IEA (2019) data</t>
  </si>
  <si>
    <t>Production Plant Hydrogen Electrolysis Alkaline</t>
  </si>
  <si>
    <t>UELEA1</t>
  </si>
  <si>
    <t>Production Plant Hydrogen Electrolysis PEM</t>
  </si>
  <si>
    <t>UELEP1</t>
  </si>
  <si>
    <t>Electrolysis</t>
  </si>
  <si>
    <t>Houchins C. and James B.D. (2020)  2020 DOE Hydrogen and Fuel Cells Program Review:  Hydrogen Storage Cost Analysis (ST100)</t>
  </si>
  <si>
    <t>E4Tech  (2012)  Electrolysis in the EU APPENDIX 2B FCHJU ElectrolysisStudy (ID 1329459)</t>
  </si>
  <si>
    <t>[11] M Bracha, et al., “Large-Scale Hydrogen Liquefaction in Germany” International Journal of Hydrogen Energy 19 (Jan 1994) pp. 53-59.</t>
  </si>
  <si>
    <t>[10] Personal communication with Joseph P. Cohen at APCI. Assuming a normal compressor, and typical ambient temperature conditions compression energy is: 2.05kWh/kg for 350(440) bar, 2.36 for 500(630) bar, and 2.67 for 700(880) bar. Cooling energy ranges from 0.1 to .45 kWh/kg. Cooling energy from 30º C ambient to -40º C and -20º C is 0.45, 0.18 kWh/kg. Cooling energy from 15º C ambient to -40º C and -20º C is 0.33, 0.1 kWh/kg. Typically no cooling is needed for 350 bar. The APCI, hydrogen liquefier in New Orleans is sized for approximately 55,000 kg/day.</t>
  </si>
  <si>
    <t>[9] DOE Hydrogen Delivery Website and Model http://www.hydrogen.energy.gov/h2a_delivery.html (HDSAM V2.0.6)</t>
  </si>
  <si>
    <t>http://www.eihp.org/unece/drafts/cgh2/GRPE_12a-b/CGH2R-12b.pdf</t>
  </si>
  <si>
    <t>EU 2.35 Factor of Safety Table 7A.5: Minimum Burst Pressure Ratios P. 59-60,</t>
  </si>
  <si>
    <t>http://www-nrd.nhtsa.dot.gov/pdf/nrd-01/esv/esv20/07-0046-O.pdf</t>
  </si>
  <si>
    <t>DOT 2.25 Factor of Safety, Table 4: Hydrogen Cylinder Test Matrix P. 6</t>
  </si>
  <si>
    <t>http://www.eere.energy.gov/hydrogenandfuelcells/storage/hydrogen_storage_testing.html</t>
  </si>
  <si>
    <t>[8] DOE, Website on Tank Safety.</t>
  </si>
  <si>
    <t>http://www.hydrogen.energy.gov/pdfs/review09/pd_37_barclay.pdf</t>
  </si>
  <si>
    <t>[7] Active Magnetic Regenerative Liquefier, John Barclay, Prometheus Energy DOE Annual Merit Review, May 2009</t>
  </si>
  <si>
    <t>[6] Peschka, W. (1992). “Liquid Hydrogen.” Springer-Verlag, New York.</t>
  </si>
  <si>
    <t>[5] Report: “H2A Hydrogen Delivery Infrastructure Analysis Models and Conventional Pathway Options Analysis Results”, May 2008, http://www.hydrogen.energy.gov/h2a_delivery.html</t>
  </si>
  <si>
    <t>http://www.eere.energy.gov/hydrogenandfuelcells/hydrogen_publications.html#h2_storage</t>
  </si>
  <si>
    <t>TIAX LLC, Argonne National Laboratory, 2009</t>
  </si>
  <si>
    <t>[4] Technical Assessment of Compressed Hydrogen Storage for Automotive Applications</t>
  </si>
  <si>
    <t>http://www.nextenergy.org/Modules/Document/upload_documents/Fueling Specification for 70 MPa Compressed Hydrogen Vehicles Release Version A.pdf</t>
  </si>
  <si>
    <t>[3] Next Energy 70MPa Specification Documents:</t>
  </si>
  <si>
    <t>Reported average efficiency of 3.1 kWh/kg for 1 quarter reported data for on site hydrogen generation with a range of 7 to 16 MJ/kg (2 to 4 kWh/kg) excluding outliers</t>
  </si>
  <si>
    <t>Refueling Station Compressor Efficiency, CDP #61, 3/2/09 http://www.nrel.gov/hydrogen/docs/cdp/cdp_61.ppt</t>
  </si>
  <si>
    <t>[2] NREL Composite Data Products from the DOE Tech Validation Program http://www.nrel.gov/hydrogen/proj_learning_demo.html</t>
  </si>
  <si>
    <t>http://webbook.nist.gov/chemistry/</t>
  </si>
  <si>
    <t>[1] NIST Web book site:</t>
  </si>
  <si>
    <t>Compression energy</t>
  </si>
  <si>
    <t>Bar</t>
  </si>
  <si>
    <t>Total USD (2020)</t>
  </si>
  <si>
    <t>DoE (2009)</t>
  </si>
  <si>
    <t>Assembly</t>
  </si>
  <si>
    <t>$15/ft</t>
  </si>
  <si>
    <t>35 ft.</t>
  </si>
  <si>
    <t>Tubing</t>
  </si>
  <si>
    <t>$156 each</t>
  </si>
  <si>
    <t>Pressure Gauges (analog)</t>
  </si>
  <si>
    <t>$1,250 each</t>
  </si>
  <si>
    <t>Block &amp; Bleed Valve</t>
  </si>
  <si>
    <t>$300 each</t>
  </si>
  <si>
    <t>Valve Box./Common Manifold</t>
  </si>
  <si>
    <t>$270 each</t>
  </si>
  <si>
    <t>Manual Shutoff Valves</t>
  </si>
  <si>
    <t>$3,000 each</t>
  </si>
  <si>
    <t>Pressure Relief Device (PRD)</t>
  </si>
  <si>
    <t>Balance of System</t>
  </si>
  <si>
    <t>$50,000/structure</t>
  </si>
  <si>
    <t>Steel Containment Structure</t>
  </si>
  <si>
    <t>$40,000/trailer</t>
  </si>
  <si>
    <t>40’ Trailer</t>
  </si>
  <si>
    <t>$76,851/vessel</t>
  </si>
  <si>
    <t>Type 4 220 kgH2 capacity Pressure Vessel</t>
  </si>
  <si>
    <t>Cost per Trailer @100 Trailers per Year</t>
  </si>
  <si>
    <t>Cost per Unit @100 Trailers per Year</t>
  </si>
  <si>
    <t>Quantity Per System</t>
  </si>
  <si>
    <t>Unit</t>
  </si>
  <si>
    <t>Gotthold (2015 AMR)</t>
  </si>
  <si>
    <t>Carbon fiber volume fraction</t>
  </si>
  <si>
    <t>Adams (2019)</t>
  </si>
  <si>
    <r>
      <rPr>
        <sz val="9"/>
        <rFont val="Calibri"/>
        <family val="2"/>
      </rPr>
      <t>T700S/
Vinyl Ester</t>
    </r>
  </si>
  <si>
    <t>Cascade and Tube Trailer Storage Composite</t>
  </si>
  <si>
    <t>Hexagon Titan XL</t>
  </si>
  <si>
    <t>NA</t>
  </si>
  <si>
    <t>Tube Trailer Pressure (bar)</t>
  </si>
  <si>
    <r>
      <t>Tube Trailer Capacity (kgH</t>
    </r>
    <r>
      <rPr>
        <vertAlign val="subscript"/>
        <sz val="9"/>
        <rFont val="Calibri"/>
        <family val="2"/>
      </rPr>
      <t>2</t>
    </r>
    <r>
      <rPr>
        <sz val="9"/>
        <rFont val="Calibri"/>
        <family val="2"/>
      </rPr>
      <t>)</t>
    </r>
  </si>
  <si>
    <t>Type 4</t>
  </si>
  <si>
    <t>Tube Trailer Vessel Type</t>
  </si>
  <si>
    <t>ANL optimization parameter</t>
  </si>
  <si>
    <t>300-950</t>
  </si>
  <si>
    <t>Cascade Storage Pressure (bar)</t>
  </si>
  <si>
    <t>Based on Linde and FIBA Tech design</t>
  </si>
  <si>
    <t>Type 2</t>
  </si>
  <si>
    <t>Cascade Vessel Type</t>
  </si>
  <si>
    <t>No. of Tanks per Module in Cascade Storage Bank</t>
  </si>
  <si>
    <t>Max dispensed pressure is higher 875 bar</t>
  </si>
  <si>
    <t>Target Vehicle Pressure (bar)</t>
  </si>
  <si>
    <t>Date: October 26th, 2009</t>
  </si>
  <si>
    <t>ANL assumption based on Linde design</t>
  </si>
  <si>
    <r>
      <t>Module Dispensing Capacity (kgH</t>
    </r>
    <r>
      <rPr>
        <vertAlign val="subscript"/>
        <sz val="9"/>
        <rFont val="Calibri"/>
        <family val="2"/>
      </rPr>
      <t>2</t>
    </r>
    <r>
      <rPr>
        <sz val="9"/>
        <rFont val="Calibri"/>
        <family val="2"/>
      </rPr>
      <t>/day/module)</t>
    </r>
  </si>
  <si>
    <t>Approved by: Sunita Satyapal</t>
  </si>
  <si>
    <t>ANL/Linde design</t>
  </si>
  <si>
    <t>Number of refueling modules</t>
  </si>
  <si>
    <t>Originator: Monterey Gardiner</t>
  </si>
  <si>
    <t>HRSAM</t>
  </si>
  <si>
    <r>
      <t>Station Max Daily Dispensing Capacity (kgH</t>
    </r>
    <r>
      <rPr>
        <vertAlign val="subscript"/>
        <sz val="9"/>
        <rFont val="Calibri"/>
        <family val="2"/>
      </rPr>
      <t>2</t>
    </r>
    <r>
      <rPr>
        <sz val="9"/>
        <rFont val="Calibri"/>
        <family val="2"/>
      </rPr>
      <t>/day)</t>
    </r>
  </si>
  <si>
    <t>Title: Energy requirements for hydrogen gas compression and liquefaction as related to vehicle storage needs</t>
  </si>
  <si>
    <t>Dewer</t>
  </si>
  <si>
    <t>Tube Trailer</t>
  </si>
  <si>
    <t>Bulk Storage Method Assumption</t>
  </si>
  <si>
    <t>Date: July 7th, 2009</t>
  </si>
  <si>
    <r>
      <rPr>
        <b/>
        <sz val="11"/>
        <color rgb="FFFFFFFF"/>
        <rFont val="Calibri"/>
        <family val="2"/>
      </rPr>
      <t>Notes/Design Basis</t>
    </r>
  </si>
  <si>
    <r>
      <rPr>
        <b/>
        <sz val="11"/>
        <color rgb="FFFFFFFF"/>
        <rFont val="Calibri"/>
        <family val="2"/>
      </rPr>
      <t>LH2</t>
    </r>
  </si>
  <si>
    <r>
      <rPr>
        <b/>
        <sz val="11"/>
        <color rgb="FFFFFFFF"/>
        <rFont val="Calibri"/>
        <family val="2"/>
      </rPr>
      <t>GH2</t>
    </r>
  </si>
  <si>
    <r>
      <rPr>
        <b/>
        <sz val="11"/>
        <color rgb="FFFFFFFF"/>
        <rFont val="Calibri"/>
        <family val="2"/>
      </rPr>
      <t>Parameter</t>
    </r>
  </si>
  <si>
    <t>Record #: 9013</t>
  </si>
  <si>
    <t>DOE Hydrogen and Fuel Cells Program Record</t>
  </si>
  <si>
    <t>https://www.hydrogen.energy.gov/pdfs/9013_energy_requirements_for_hydrogen_gas_compression.pdf</t>
  </si>
  <si>
    <t>Analyzed 700 bar LDV System Cost Reduction Strategies &amp; Identified Path to Near Ultimate DOE $/kWh target</t>
  </si>
  <si>
    <t>https://www.energy.gov/eere/fuelcells/doe-technical-targets-hydrogen-delivery</t>
  </si>
  <si>
    <t>https://www.hydrogen.energy.gov/storage.html</t>
  </si>
  <si>
    <t>Images taken from https://hdsam.es.anl.gov/</t>
  </si>
  <si>
    <t>logarithmic</t>
  </si>
  <si>
    <t>linear-trend</t>
  </si>
  <si>
    <t>a2</t>
  </si>
  <si>
    <t>a1</t>
  </si>
  <si>
    <t>Chart</t>
  </si>
  <si>
    <t>Tube Trailer x4</t>
  </si>
  <si>
    <t>bar</t>
  </si>
  <si>
    <t>kg</t>
  </si>
  <si>
    <t>USD (2020)</t>
  </si>
  <si>
    <t>Units</t>
  </si>
  <si>
    <t>Pressure (Bar)</t>
  </si>
  <si>
    <t>Capacity</t>
  </si>
  <si>
    <t>Capex</t>
  </si>
  <si>
    <t>Storage</t>
  </si>
  <si>
    <t>daynite</t>
  </si>
  <si>
    <t>vehicle</t>
  </si>
  <si>
    <t>pipeline</t>
  </si>
  <si>
    <t>seasonal</t>
  </si>
  <si>
    <t>turbine</t>
  </si>
  <si>
    <t>Compression (kWh/kg)</t>
  </si>
  <si>
    <t>Compressor efficiency</t>
  </si>
  <si>
    <t>H2 pressure from electrolyser</t>
  </si>
  <si>
    <t>time period</t>
  </si>
  <si>
    <t>application</t>
  </si>
  <si>
    <t>pressure (bar)</t>
  </si>
  <si>
    <t>CH2</t>
  </si>
  <si>
    <t xml:space="preserve">Large scale </t>
  </si>
  <si>
    <t>https://www.in2013dollars.com/us/inflation/2016?endYear=2020&amp;amount=1</t>
  </si>
  <si>
    <t>USD2016-&gt;2020</t>
  </si>
  <si>
    <t>ZAR 2020 -&gt; ZAR 2015</t>
  </si>
  <si>
    <t>https://www.resbank.co.za/en/home</t>
  </si>
  <si>
    <t>USD 2020 -&gt; ZAR 2020</t>
  </si>
  <si>
    <t>Currency</t>
  </si>
  <si>
    <t>2015 mR/PJ</t>
  </si>
  <si>
    <t>ZAR2015/kg</t>
  </si>
  <si>
    <t>USD-2020/kg</t>
  </si>
  <si>
    <t>DoE target-2020</t>
  </si>
  <si>
    <t>DoE target</t>
  </si>
  <si>
    <t>mR</t>
  </si>
  <si>
    <t>ZAR</t>
  </si>
  <si>
    <r>
      <t>10E</t>
    </r>
    <r>
      <rPr>
        <vertAlign val="superscript"/>
        <sz val="11"/>
        <color theme="1"/>
        <rFont val="Calibri"/>
        <family val="2"/>
        <scheme val="minor"/>
      </rPr>
      <t>x</t>
    </r>
  </si>
  <si>
    <t>MJ</t>
  </si>
  <si>
    <t>scaling factor</t>
  </si>
  <si>
    <t>PJ/PJ</t>
  </si>
  <si>
    <t>XTRAHGN</t>
  </si>
  <si>
    <t>n/a</t>
  </si>
  <si>
    <t>HGNXUPS</t>
  </si>
  <si>
    <t>ELC</t>
  </si>
  <si>
    <t xml:space="preserve"> Efficiency</t>
  </si>
  <si>
    <t>Compression</t>
  </si>
  <si>
    <t>HGNSTSUTL</t>
  </si>
  <si>
    <t>estimate</t>
  </si>
  <si>
    <t>STG_EFF</t>
  </si>
  <si>
    <t>yrs</t>
  </si>
  <si>
    <t>2015 mR/PJa</t>
  </si>
  <si>
    <t>PRC,PRE,DAYNITE</t>
  </si>
  <si>
    <t>Hydrogen Compression for Storage at 200 bar</t>
  </si>
  <si>
    <t>PRC,PRE,STGTSS,DAYNITE</t>
  </si>
  <si>
    <t>Utility Scale Storage - Hydrogen</t>
  </si>
  <si>
    <t>COM,NRG,DAYNITE,FOSSIL</t>
  </si>
  <si>
    <t>Hydrogen Upstream Production</t>
  </si>
  <si>
    <t>UPSHGN</t>
  </si>
  <si>
    <t>null</t>
  </si>
  <si>
    <t>NCAP_PKCNT</t>
  </si>
  <si>
    <t>NCAP_BND</t>
  </si>
  <si>
    <t>NCAP_AFC</t>
  </si>
  <si>
    <t>FLO_EFF</t>
  </si>
  <si>
    <t>Production Plant Hydrogen - Large Coal Gasification</t>
  </si>
  <si>
    <t>Production Plant Hydrogen - Large SMR - Coastal</t>
  </si>
  <si>
    <t>Production Plant Hydrogen - Large SMR - Inland</t>
  </si>
  <si>
    <t>kton/PJ</t>
  </si>
  <si>
    <t>mR/Pj</t>
  </si>
  <si>
    <t>mR/Pja</t>
  </si>
  <si>
    <t xml:space="preserve">Annual </t>
  </si>
  <si>
    <t>(sum OUT/IN)</t>
  </si>
  <si>
    <t>*Units</t>
  </si>
  <si>
    <t>Variable O&amp;M Cost</t>
  </si>
  <si>
    <t>Fixed O&amp;M Cost</t>
  </si>
  <si>
    <t>Investment Cost</t>
  </si>
  <si>
    <t>Start Year</t>
  </si>
  <si>
    <t>Minimum Utilisation factor</t>
  </si>
  <si>
    <t>Utilisation factor</t>
  </si>
  <si>
    <t>Output</t>
  </si>
  <si>
    <t>Auxiliary Input fuels</t>
  </si>
  <si>
    <t>Technology Name</t>
  </si>
  <si>
    <t>*Technology Description</t>
  </si>
  <si>
    <t>Start</t>
  </si>
  <si>
    <t>Life</t>
  </si>
  <si>
    <t>Comm-Out</t>
  </si>
  <si>
    <t>Comm-IN-A</t>
  </si>
  <si>
    <t>Other Transformation</t>
  </si>
  <si>
    <t>South Africa</t>
  </si>
  <si>
    <t>Hydrogen Production Technologies</t>
  </si>
  <si>
    <t>Gas Terminals/Pipelines infrastructure</t>
  </si>
  <si>
    <t>New Refineries</t>
  </si>
  <si>
    <t>Existing Refineries</t>
  </si>
  <si>
    <t>Comment</t>
  </si>
  <si>
    <t>Set Memberships</t>
  </si>
  <si>
    <t>Unit(s)</t>
  </si>
  <si>
    <t>Description</t>
  </si>
  <si>
    <t>Name</t>
  </si>
  <si>
    <t>Comp</t>
  </si>
  <si>
    <t>USMRGASHGN</t>
  </si>
  <si>
    <t>USMRGICHGN</t>
  </si>
  <si>
    <t>UCOGCLEHGN</t>
  </si>
  <si>
    <t>UPSGAS</t>
  </si>
  <si>
    <t>UPSGIC</t>
  </si>
  <si>
    <t>UPSCLE</t>
  </si>
  <si>
    <t>Hydrogen Production</t>
  </si>
  <si>
    <t>AFA~UP</t>
  </si>
  <si>
    <t>AFA~LO</t>
  </si>
  <si>
    <t>Auxilliary inputs</t>
  </si>
  <si>
    <t>ENV_ACT~CO2C</t>
  </si>
  <si>
    <t>ZAR/USD Exchange Rate from IRP 2016:</t>
  </si>
  <si>
    <t>Country Name</t>
  </si>
  <si>
    <t>Real effective exchange rate index (2005 = 100)</t>
  </si>
  <si>
    <t>Multiplier</t>
  </si>
  <si>
    <t xml:space="preserve">Official Exchange Rate (LCU per US$, period average) </t>
  </si>
  <si>
    <t>United States</t>
  </si>
  <si>
    <t>GDP deflator (annual change %) for US from "The World Bank"</t>
  </si>
  <si>
    <t>or divide by</t>
  </si>
  <si>
    <t>multipy by</t>
  </si>
  <si>
    <t>Conversion factor</t>
  </si>
  <si>
    <t>Rands</t>
  </si>
  <si>
    <t>Year to Convert to</t>
  </si>
  <si>
    <t>Year to Convert from</t>
  </si>
  <si>
    <t>downloaded July 2013</t>
  </si>
  <si>
    <t>http://search.worldbank.org/data?qterm=gdp%20deflator%20%22south%20africa%22&amp;language=EN</t>
  </si>
  <si>
    <t>GDP deflator (annual change %) for South Africa from "The World Bank"</t>
  </si>
  <si>
    <t>http://beta2.statssa.gov.za/publications/P0141/CPIHistory.pdf</t>
  </si>
  <si>
    <t>INVCOST~2017</t>
  </si>
  <si>
    <t>INVCOST~2030</t>
  </si>
  <si>
    <t>INVCOST~2050</t>
  </si>
  <si>
    <t>EFF~2017</t>
  </si>
  <si>
    <t>EFF~2040</t>
  </si>
  <si>
    <t>INVCOST~2040</t>
  </si>
  <si>
    <t>2015-&gt;2022 ZAR</t>
  </si>
  <si>
    <t>Pja</t>
  </si>
  <si>
    <t>Annual</t>
  </si>
  <si>
    <t>H2 Tech</t>
  </si>
  <si>
    <t>*Production</t>
  </si>
  <si>
    <t>GW</t>
  </si>
  <si>
    <t>*Storage</t>
  </si>
  <si>
    <t>ENV_ACT~CH4C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</si>
</sst>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3" formatCode="_-* #,##0.00_-;\-* #,##0.00_-;_-* &quot;-&quot;??_-;_-@_-"/>
    <numFmt numFmtId="164" formatCode="0.0"/>
    <numFmt numFmtId="165" formatCode="\Te\x\t"/>
    <numFmt numFmtId="166" formatCode="###0.00;###0.00"/>
    <numFmt numFmtId="167" formatCode="###0.000;###0.000"/>
    <numFmt numFmtId="168" formatCode="###0.0;###0.0"/>
    <numFmt numFmtId="169" formatCode="###0;###0"/>
    <numFmt numFmtId="170" formatCode="_(* #,##0_);_(* \(#,##0\);_(* &quot;-&quot;??_);_(@_)"/>
    <numFmt numFmtId="171" formatCode="_(* #,##0.00_);_(* \(#,##0.00\);_(* &quot;-&quot;??_);_(@_)"/>
    <numFmt numFmtId="172" formatCode="_-* #,##0_-;\-* #,##0_-;_-* &quot;-&quot;??_-;_-@_-"/>
    <numFmt numFmtId="173" formatCode="0.0%"/>
    <numFmt numFmtId="174" formatCode="0.0000"/>
    <numFmt numFmtId="175" formatCode="0.00000"/>
    <numFmt numFmtId="176" formatCode="0.000"/>
    <numFmt numFmtId="177" formatCode="0.000%"/>
    <numFmt numFmtId="178" formatCode="_(* #,##0.0_);_(* \(#,##0.0\);_(* &quot;-&quot;??_);_(@_)"/>
    <numFmt numFmtId="179" formatCode="0.000000"/>
    <numFmt numFmtId="180" formatCode="0.0_)"/>
    <numFmt numFmtId="181" formatCode="[$£-809]#,##0.00;[Red]&quot;-&quot;[$£-809]#,##0.00"/>
    <numFmt numFmtId="182" formatCode="#,##0.000"/>
    <numFmt numFmtId="183" formatCode="#,##0.0000"/>
  </numFmts>
  <fonts count="84" x14ac:knownFonts="1">
    <font>
      <sz val="11"/>
      <color theme="1"/>
      <name val="Calibri"/>
      <family val="2"/>
      <scheme val="minor"/>
    </font>
    <font>
      <sz val="11"/>
      <color theme="1"/>
      <name val="Calibri"/>
      <family val="2"/>
      <scheme val="minor"/>
    </font>
    <font>
      <sz val="11"/>
      <color theme="0"/>
      <name val="Calibri"/>
      <family val="2"/>
      <scheme val="minor"/>
    </font>
    <font>
      <sz val="12"/>
      <color theme="1"/>
      <name val="Calibri"/>
      <family val="2"/>
      <scheme val="minor"/>
    </font>
    <font>
      <sz val="11"/>
      <name val="Calibri"/>
      <family val="2"/>
      <scheme val="minor"/>
    </font>
    <font>
      <b/>
      <u/>
      <sz val="11"/>
      <name val="Calibri"/>
      <family val="2"/>
      <scheme val="minor"/>
    </font>
    <font>
      <sz val="11"/>
      <color theme="7" tint="-0.499984740745262"/>
      <name val="Calibri"/>
      <family val="2"/>
      <scheme val="minor"/>
    </font>
    <font>
      <b/>
      <sz val="11"/>
      <name val="Calibri"/>
      <family val="2"/>
      <scheme val="minor"/>
    </font>
    <font>
      <b/>
      <sz val="11"/>
      <color theme="7" tint="-0.499984740745262"/>
      <name val="Calibri"/>
      <family val="2"/>
      <scheme val="minor"/>
    </font>
    <font>
      <u/>
      <sz val="11"/>
      <color theme="10"/>
      <name val="Calibri"/>
      <family val="2"/>
      <scheme val="minor"/>
    </font>
    <font>
      <sz val="24"/>
      <name val="Calibri"/>
      <family val="2"/>
      <scheme val="minor"/>
    </font>
    <font>
      <i/>
      <sz val="10"/>
      <name val="Calibri"/>
      <family val="2"/>
      <scheme val="minor"/>
    </font>
    <font>
      <b/>
      <sz val="10"/>
      <name val="Calibri"/>
      <family val="2"/>
      <scheme val="minor"/>
    </font>
    <font>
      <b/>
      <sz val="18"/>
      <color theme="0"/>
      <name val="Calibri"/>
      <family val="2"/>
      <scheme val="minor"/>
    </font>
    <font>
      <sz val="10"/>
      <name val="Calibri"/>
      <family val="2"/>
      <scheme val="minor"/>
    </font>
    <font>
      <sz val="10"/>
      <name val="Arial"/>
      <family val="2"/>
    </font>
    <font>
      <sz val="10"/>
      <color theme="1"/>
      <name val="Calibri"/>
      <family val="2"/>
      <scheme val="minor"/>
    </font>
    <font>
      <b/>
      <sz val="15"/>
      <color theme="3"/>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1"/>
      <color rgb="FF000000"/>
      <name val="Calibri"/>
      <family val="2"/>
      <scheme val="minor"/>
    </font>
    <font>
      <sz val="10"/>
      <color rgb="FF000000"/>
      <name val="Times New Roman"/>
      <family val="1"/>
    </font>
    <font>
      <sz val="11"/>
      <color rgb="FF212126"/>
      <name val="Calibri"/>
      <family val="2"/>
      <scheme val="minor"/>
    </font>
    <font>
      <i/>
      <sz val="11"/>
      <color rgb="FF212126"/>
      <name val="Calibri"/>
      <family val="2"/>
      <scheme val="minor"/>
    </font>
    <font>
      <u/>
      <sz val="10"/>
      <color indexed="12"/>
      <name val="Arial"/>
      <family val="2"/>
    </font>
    <font>
      <sz val="11"/>
      <color rgb="FFFFFF00"/>
      <name val="Calibri"/>
      <family val="2"/>
      <scheme val="minor"/>
    </font>
    <font>
      <sz val="11"/>
      <color theme="9" tint="-0.249977111117893"/>
      <name val="Calibri"/>
      <family val="2"/>
      <scheme val="minor"/>
    </font>
    <font>
      <sz val="16"/>
      <color theme="1"/>
      <name val="Calibri"/>
      <family val="2"/>
      <scheme val="minor"/>
    </font>
    <font>
      <b/>
      <sz val="9"/>
      <color indexed="81"/>
      <name val="Tahoma"/>
      <family val="2"/>
    </font>
    <font>
      <sz val="9"/>
      <color indexed="81"/>
      <name val="Tahoma"/>
      <family val="2"/>
    </font>
    <font>
      <sz val="11"/>
      <color theme="3"/>
      <name val="Calibri"/>
      <family val="2"/>
      <scheme val="minor"/>
    </font>
    <font>
      <sz val="11"/>
      <color rgb="FF000000"/>
      <name val="Calibri"/>
      <family val="2"/>
    </font>
    <font>
      <b/>
      <sz val="11"/>
      <name val="Calibri"/>
      <family val="2"/>
    </font>
    <font>
      <b/>
      <sz val="7"/>
      <name val="Calibri"/>
      <family val="2"/>
    </font>
    <font>
      <b/>
      <sz val="9"/>
      <color indexed="49"/>
      <name val="Calibri"/>
      <family val="2"/>
    </font>
    <font>
      <b/>
      <sz val="6"/>
      <color indexed="49"/>
      <name val="Calibri"/>
      <family val="2"/>
    </font>
    <font>
      <b/>
      <sz val="11"/>
      <color rgb="FF000000"/>
      <name val="Calibri"/>
      <family val="2"/>
    </font>
    <font>
      <sz val="10"/>
      <color theme="1"/>
      <name val="Times New Roman"/>
      <family val="1"/>
    </font>
    <font>
      <b/>
      <sz val="11"/>
      <color indexed="8"/>
      <name val="Cambria"/>
      <family val="1"/>
    </font>
    <font>
      <sz val="11"/>
      <name val="Calibri"/>
      <family val="2"/>
    </font>
    <font>
      <b/>
      <sz val="12"/>
      <color rgb="FF000000"/>
      <name val="Times New Roman"/>
      <family val="1"/>
    </font>
    <font>
      <sz val="10"/>
      <color rgb="FF000000"/>
      <name val="Calibri Light"/>
      <family val="1"/>
      <scheme val="major"/>
    </font>
    <font>
      <sz val="10"/>
      <name val="Cambria"/>
      <family val="1"/>
    </font>
    <font>
      <b/>
      <sz val="10"/>
      <name val="Cambria"/>
      <family val="1"/>
    </font>
    <font>
      <b/>
      <sz val="10"/>
      <color indexed="49"/>
      <name val="Cambria"/>
      <family val="1"/>
    </font>
    <font>
      <b/>
      <u/>
      <sz val="14"/>
      <color theme="1"/>
      <name val="Calibri"/>
      <family val="2"/>
      <scheme val="minor"/>
    </font>
    <font>
      <b/>
      <i/>
      <u/>
      <sz val="11"/>
      <color theme="1"/>
      <name val="Calibri"/>
      <family val="2"/>
      <scheme val="minor"/>
    </font>
    <font>
      <sz val="10"/>
      <name val="Calibri Light"/>
      <family val="1"/>
      <scheme val="major"/>
    </font>
    <font>
      <b/>
      <sz val="10"/>
      <color rgb="FF000000"/>
      <name val="Calibri Light"/>
      <family val="1"/>
      <scheme val="major"/>
    </font>
    <font>
      <b/>
      <sz val="10"/>
      <name val="Calibri Light"/>
      <family val="1"/>
      <scheme val="major"/>
    </font>
    <font>
      <i/>
      <sz val="11"/>
      <color theme="1"/>
      <name val="Calibri"/>
      <family val="2"/>
      <scheme val="minor"/>
    </font>
    <font>
      <b/>
      <u/>
      <sz val="11"/>
      <color theme="1"/>
      <name val="Calibri"/>
      <family val="2"/>
      <scheme val="minor"/>
    </font>
    <font>
      <b/>
      <i/>
      <sz val="11"/>
      <color theme="1"/>
      <name val="Calibri"/>
      <family val="2"/>
      <scheme val="minor"/>
    </font>
    <font>
      <b/>
      <sz val="10"/>
      <color rgb="FF4F81BC"/>
      <name val="Calibri"/>
      <family val="2"/>
    </font>
    <font>
      <b/>
      <sz val="9"/>
      <color rgb="FF4F81BC"/>
      <name val="Calibri"/>
      <family val="2"/>
    </font>
    <font>
      <b/>
      <sz val="14"/>
      <color theme="1"/>
      <name val="Calibri"/>
      <family val="2"/>
      <scheme val="minor"/>
    </font>
    <font>
      <b/>
      <sz val="11"/>
      <color indexed="8"/>
      <name val="Calibri"/>
      <family val="2"/>
    </font>
    <font>
      <sz val="8"/>
      <color rgb="FF800080"/>
      <name val="Arial"/>
      <family val="2"/>
    </font>
    <font>
      <sz val="10"/>
      <color theme="3"/>
      <name val="Arial"/>
      <family val="2"/>
    </font>
    <font>
      <sz val="9"/>
      <name val="Calibri"/>
      <family val="2"/>
    </font>
    <font>
      <sz val="9"/>
      <color rgb="FF000000"/>
      <name val="Calibri"/>
      <family val="2"/>
    </font>
    <font>
      <sz val="9"/>
      <color theme="1"/>
      <name val="Calibri"/>
      <family val="2"/>
      <scheme val="minor"/>
    </font>
    <font>
      <vertAlign val="subscript"/>
      <sz val="9"/>
      <name val="Calibri"/>
      <family val="2"/>
    </font>
    <font>
      <b/>
      <sz val="11"/>
      <color rgb="FFFFFFFF"/>
      <name val="Calibri"/>
      <family val="2"/>
    </font>
    <font>
      <vertAlign val="superscript"/>
      <sz val="11"/>
      <color theme="1"/>
      <name val="Calibri"/>
      <family val="2"/>
      <scheme val="minor"/>
    </font>
    <font>
      <sz val="10"/>
      <color rgb="FFFF0000"/>
      <name val="Arial"/>
      <family val="2"/>
    </font>
    <font>
      <sz val="10"/>
      <color indexed="12"/>
      <name val="Arial"/>
      <family val="2"/>
    </font>
    <font>
      <b/>
      <sz val="10"/>
      <name val="Arial"/>
      <family val="2"/>
    </font>
    <font>
      <sz val="10"/>
      <color theme="6" tint="-0.24994659260841701"/>
      <name val="Arial"/>
      <family val="2"/>
      <charset val="238"/>
    </font>
    <font>
      <b/>
      <sz val="12"/>
      <name val="Arial"/>
      <family val="2"/>
    </font>
    <font>
      <sz val="8"/>
      <color theme="1"/>
      <name val="Calibri"/>
      <family val="2"/>
      <scheme val="minor"/>
    </font>
    <font>
      <b/>
      <sz val="8"/>
      <color rgb="FF800080"/>
      <name val="Arial"/>
      <family val="2"/>
    </font>
    <font>
      <b/>
      <sz val="8"/>
      <color theme="1"/>
      <name val="Calibri"/>
      <family val="2"/>
      <scheme val="minor"/>
    </font>
    <font>
      <sz val="8"/>
      <color indexed="8"/>
      <name val="Arial"/>
      <family val="2"/>
    </font>
    <font>
      <b/>
      <sz val="8"/>
      <name val="Arial"/>
      <family val="2"/>
    </font>
    <font>
      <sz val="8"/>
      <name val="Arial"/>
      <family val="2"/>
    </font>
    <font>
      <b/>
      <sz val="8"/>
      <color indexed="8"/>
      <name val="Arial"/>
      <family val="2"/>
    </font>
    <font>
      <b/>
      <sz val="11"/>
      <color theme="3"/>
      <name val="Calibri"/>
      <family val="2"/>
      <scheme val="minor"/>
    </font>
    <font>
      <sz val="11"/>
      <color rgb="FF3F3F76"/>
      <name val="Calibri"/>
      <family val="2"/>
      <scheme val="minor"/>
    </font>
    <font>
      <b/>
      <sz val="11"/>
      <color rgb="FFFA7D00"/>
      <name val="Calibri"/>
      <family val="2"/>
      <scheme val="minor"/>
    </font>
    <font>
      <sz val="9"/>
      <name val="Times New Roman"/>
      <family val="1"/>
    </font>
    <font>
      <sz val="9"/>
      <color indexed="63"/>
      <name val="Times New Roman"/>
      <family val="1"/>
    </font>
    <font>
      <b/>
      <sz val="13"/>
      <color indexed="56"/>
      <name val="Calibri"/>
      <family val="2"/>
      <scheme val="minor"/>
    </font>
  </fonts>
  <fills count="36">
    <fill>
      <patternFill patternType="none"/>
    </fill>
    <fill>
      <patternFill patternType="gray125"/>
    </fill>
    <fill>
      <patternFill patternType="solid">
        <fgColor theme="4"/>
      </patternFill>
    </fill>
    <fill>
      <patternFill patternType="solid">
        <fgColor theme="0" tint="-0.14999847407452621"/>
        <bgColor indexed="64"/>
      </patternFill>
    </fill>
    <fill>
      <patternFill patternType="solid">
        <fgColor theme="0"/>
        <bgColor indexed="64"/>
      </patternFill>
    </fill>
    <fill>
      <patternFill patternType="solid">
        <fgColor indexed="9"/>
        <bgColor indexed="64"/>
      </patternFill>
    </fill>
    <fill>
      <patternFill patternType="solid">
        <fgColor rgb="FFFFFFCC"/>
        <bgColor indexed="64"/>
      </patternFill>
    </fill>
    <fill>
      <patternFill patternType="solid">
        <fgColor indexed="43"/>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indexed="42"/>
        <bgColor indexed="64"/>
      </patternFill>
    </fill>
    <fill>
      <patternFill patternType="solid">
        <fgColor rgb="FFFFFFFF"/>
      </patternFill>
    </fill>
    <fill>
      <patternFill patternType="solid">
        <fgColor rgb="FFF0F2DF"/>
      </patternFill>
    </fill>
    <fill>
      <patternFill patternType="solid">
        <fgColor rgb="FFFFC00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3"/>
        <bgColor indexed="64"/>
      </patternFill>
    </fill>
    <fill>
      <patternFill patternType="solid">
        <fgColor rgb="FF66FF66"/>
        <bgColor indexed="64"/>
      </patternFill>
    </fill>
    <fill>
      <patternFill patternType="solid">
        <fgColor theme="6" tint="0.59999389629810485"/>
        <bgColor indexed="64"/>
      </patternFill>
    </fill>
    <fill>
      <patternFill patternType="solid">
        <fgColor rgb="FF66FF33"/>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rgb="FFE7E7E7"/>
      </patternFill>
    </fill>
    <fill>
      <patternFill patternType="solid">
        <fgColor rgb="FF4F81BC"/>
      </patternFill>
    </fill>
    <fill>
      <patternFill patternType="solid">
        <fgColor rgb="FFFFC7C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theme="0" tint="-0.249977111117893"/>
        <bgColor indexed="64"/>
      </patternFill>
    </fill>
    <fill>
      <patternFill patternType="solid">
        <fgColor theme="4" tint="0.39997558519241921"/>
        <bgColor indexed="64"/>
      </patternFill>
    </fill>
  </fills>
  <borders count="31">
    <border>
      <left/>
      <right/>
      <top/>
      <bottom/>
      <diagonal/>
    </border>
    <border>
      <left/>
      <right/>
      <top style="thin">
        <color auto="1"/>
      </top>
      <bottom style="thin">
        <color auto="1"/>
      </bottom>
      <diagonal/>
    </border>
    <border>
      <left/>
      <right/>
      <top/>
      <bottom style="medium">
        <color indexed="64"/>
      </bottom>
      <diagonal/>
    </border>
    <border>
      <left/>
      <right/>
      <top style="thin">
        <color indexed="64"/>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bottom style="thin">
        <color rgb="FF000000"/>
      </bottom>
      <diagonal/>
    </border>
    <border>
      <left/>
      <right/>
      <top style="thin">
        <color rgb="FF000000"/>
      </top>
      <bottom/>
      <diagonal/>
    </border>
    <border>
      <left/>
      <right/>
      <top style="thin">
        <color rgb="FF000000"/>
      </top>
      <bottom style="thin">
        <color rgb="FF000000"/>
      </bottom>
      <diagonal/>
    </border>
    <border>
      <left/>
      <right/>
      <top/>
      <bottom style="thick">
        <color theme="4" tint="0.499984740745262"/>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style="medium">
        <color indexed="64"/>
      </top>
      <bottom style="medium">
        <color indexed="64"/>
      </bottom>
      <diagonal/>
    </border>
    <border>
      <left style="thin">
        <color indexed="62"/>
      </left>
      <right style="thin">
        <color indexed="62"/>
      </right>
      <top style="thin">
        <color indexed="62"/>
      </top>
      <bottom style="thin">
        <color indexed="62"/>
      </bottom>
      <diagonal/>
    </border>
    <border>
      <left style="thin">
        <color indexed="62"/>
      </left>
      <right style="thin">
        <color indexed="62"/>
      </right>
      <top style="thin">
        <color indexed="62"/>
      </top>
      <bottom style="thin">
        <color indexed="62"/>
      </bottom>
      <diagonal/>
    </border>
    <border>
      <left/>
      <right/>
      <top style="thin">
        <color indexed="64"/>
      </top>
      <bottom/>
      <diagonal/>
    </border>
  </borders>
  <cellStyleXfs count="22">
    <xf numFmtId="0" fontId="0" fillId="0" borderId="0"/>
    <xf numFmtId="0" fontId="2" fillId="2" borderId="0" applyNumberFormat="0" applyBorder="0" applyAlignment="0" applyProtection="0"/>
    <xf numFmtId="0" fontId="9" fillId="0" borderId="0" applyNumberFormat="0" applyFill="0" applyBorder="0" applyAlignment="0" applyProtection="0"/>
    <xf numFmtId="0" fontId="15" fillId="0" borderId="0"/>
    <xf numFmtId="0" fontId="17" fillId="0" borderId="4" applyNumberFormat="0" applyFill="0" applyAlignment="0" applyProtection="0"/>
    <xf numFmtId="0" fontId="22" fillId="0" borderId="0"/>
    <xf numFmtId="171" fontId="1" fillId="0" borderId="0" applyFont="0" applyFill="0" applyBorder="0" applyAlignment="0" applyProtection="0"/>
    <xf numFmtId="43" fontId="1" fillId="0" borderId="0" applyFont="0" applyFill="0" applyBorder="0" applyAlignment="0" applyProtection="0"/>
    <xf numFmtId="0" fontId="25" fillId="0" borderId="0" applyNumberFormat="0" applyFill="0" applyBorder="0" applyAlignment="0" applyProtection="0">
      <alignment vertical="top"/>
      <protection locked="0"/>
    </xf>
    <xf numFmtId="9" fontId="1" fillId="0" borderId="0" applyFont="0" applyFill="0" applyBorder="0" applyAlignment="0" applyProtection="0"/>
    <xf numFmtId="9" fontId="15" fillId="0" borderId="0" applyFont="0" applyFill="0" applyBorder="0" applyAlignment="0" applyProtection="0"/>
    <xf numFmtId="181" fontId="18" fillId="30" borderId="0" applyNumberFormat="0" applyBorder="0" applyAlignment="0" applyProtection="0"/>
    <xf numFmtId="4" fontId="69" fillId="0" borderId="0" applyNumberFormat="0" applyFill="0" applyBorder="0" applyAlignment="0" applyProtection="0">
      <alignment horizontal="center"/>
    </xf>
    <xf numFmtId="0" fontId="15" fillId="0" borderId="0"/>
    <xf numFmtId="0" fontId="78" fillId="0" borderId="0" applyNumberFormat="0" applyFill="0" applyBorder="0" applyAlignment="0" applyProtection="0"/>
    <xf numFmtId="0" fontId="18" fillId="31" borderId="0" applyNumberFormat="0" applyBorder="0" applyAlignment="0" applyProtection="0"/>
    <xf numFmtId="0" fontId="79" fillId="32" borderId="26" applyNumberFormat="0" applyAlignment="0" applyProtection="0"/>
    <xf numFmtId="0" fontId="80" fillId="33" borderId="26" applyNumberFormat="0" applyAlignment="0" applyProtection="0"/>
    <xf numFmtId="0" fontId="15" fillId="0" borderId="0"/>
    <xf numFmtId="0" fontId="15" fillId="0" borderId="0"/>
    <xf numFmtId="0" fontId="1" fillId="0" borderId="0"/>
    <xf numFmtId="0" fontId="83" fillId="0" borderId="25" applyNumberFormat="0" applyFill="0" applyAlignment="0" applyProtection="0"/>
  </cellStyleXfs>
  <cellXfs count="372">
    <xf numFmtId="0" fontId="0" fillId="0" borderId="0" xfId="0"/>
    <xf numFmtId="0" fontId="4" fillId="0" borderId="0" xfId="0" applyFont="1"/>
    <xf numFmtId="164" fontId="4" fillId="0" borderId="0" xfId="0" applyNumberFormat="1" applyFont="1"/>
    <xf numFmtId="0" fontId="7" fillId="6" borderId="1" xfId="0" applyFont="1" applyFill="1" applyBorder="1" applyAlignment="1">
      <alignment vertical="center"/>
    </xf>
    <xf numFmtId="0" fontId="0" fillId="0" borderId="0" xfId="0" applyAlignment="1">
      <alignment vertical="center"/>
    </xf>
    <xf numFmtId="165" fontId="0" fillId="0" borderId="0" xfId="0" applyNumberFormat="1" applyAlignment="1">
      <alignment vertical="center"/>
    </xf>
    <xf numFmtId="165" fontId="2" fillId="2" borderId="0" xfId="1" applyNumberFormat="1" applyAlignment="1">
      <alignment vertical="center"/>
    </xf>
    <xf numFmtId="0" fontId="2" fillId="8" borderId="0" xfId="0" applyFont="1" applyFill="1"/>
    <xf numFmtId="0" fontId="13" fillId="8" borderId="0" xfId="0" applyFont="1" applyFill="1" applyAlignment="1">
      <alignment vertical="center"/>
    </xf>
    <xf numFmtId="0" fontId="7" fillId="9" borderId="0" xfId="0" applyFont="1" applyFill="1"/>
    <xf numFmtId="0" fontId="11" fillId="10" borderId="1" xfId="0" applyFont="1" applyFill="1" applyBorder="1" applyAlignment="1">
      <alignment horizontal="left" vertical="center" wrapText="1"/>
    </xf>
    <xf numFmtId="0" fontId="14" fillId="11" borderId="2" xfId="0" applyFont="1" applyFill="1" applyBorder="1" applyAlignment="1">
      <alignment horizontal="left" vertical="center" wrapText="1"/>
    </xf>
    <xf numFmtId="0" fontId="11" fillId="11" borderId="3" xfId="0" applyFont="1" applyFill="1" applyBorder="1" applyAlignment="1">
      <alignment horizontal="left" vertical="center" wrapText="1"/>
    </xf>
    <xf numFmtId="0" fontId="12" fillId="7" borderId="3" xfId="0" applyFont="1" applyFill="1" applyBorder="1" applyAlignment="1">
      <alignment vertical="center" wrapText="1"/>
    </xf>
    <xf numFmtId="2" fontId="4" fillId="0" borderId="0" xfId="0" applyNumberFormat="1" applyFont="1"/>
    <xf numFmtId="0" fontId="12" fillId="7" borderId="3" xfId="0" applyFont="1" applyFill="1" applyBorder="1" applyAlignment="1">
      <alignment vertical="center"/>
    </xf>
    <xf numFmtId="0" fontId="1" fillId="4" borderId="0" xfId="3" applyFont="1" applyFill="1" applyAlignment="1">
      <alignment vertical="center"/>
    </xf>
    <xf numFmtId="0" fontId="1" fillId="3" borderId="0" xfId="3" applyFont="1" applyFill="1" applyAlignment="1">
      <alignment vertical="center"/>
    </xf>
    <xf numFmtId="0" fontId="10" fillId="3" borderId="0" xfId="3" applyFont="1" applyFill="1" applyAlignment="1">
      <alignment vertical="center"/>
    </xf>
    <xf numFmtId="0" fontId="9" fillId="3" borderId="0" xfId="3" applyFont="1" applyFill="1" applyAlignment="1">
      <alignment vertical="center"/>
    </xf>
    <xf numFmtId="0" fontId="1" fillId="5" borderId="0" xfId="3" applyFont="1" applyFill="1" applyAlignment="1">
      <alignment vertical="center"/>
    </xf>
    <xf numFmtId="0" fontId="7" fillId="3" borderId="0" xfId="3" applyFont="1" applyFill="1" applyAlignment="1">
      <alignment vertical="center"/>
    </xf>
    <xf numFmtId="0" fontId="8" fillId="3" borderId="0" xfId="3" applyFont="1" applyFill="1" applyAlignment="1">
      <alignment vertical="center"/>
    </xf>
    <xf numFmtId="0" fontId="5" fillId="4" borderId="0" xfId="3" applyFont="1" applyFill="1" applyAlignment="1">
      <alignment vertical="center"/>
    </xf>
    <xf numFmtId="0" fontId="4" fillId="3" borderId="0" xfId="3" applyFont="1" applyFill="1" applyAlignment="1">
      <alignment vertical="center"/>
    </xf>
    <xf numFmtId="0" fontId="6" fillId="3" borderId="0" xfId="3" applyFont="1" applyFill="1" applyAlignment="1">
      <alignment vertical="center"/>
    </xf>
    <xf numFmtId="0" fontId="4" fillId="4" borderId="0" xfId="3" applyFont="1" applyFill="1" applyAlignment="1">
      <alignment vertical="center"/>
    </xf>
    <xf numFmtId="164" fontId="4" fillId="4" borderId="0" xfId="3" applyNumberFormat="1" applyFont="1" applyFill="1" applyAlignment="1">
      <alignment horizontal="left" vertical="center"/>
    </xf>
    <xf numFmtId="0" fontId="3" fillId="3" borderId="0" xfId="3" applyFont="1" applyFill="1" applyAlignment="1">
      <alignment vertical="center"/>
    </xf>
    <xf numFmtId="0" fontId="16" fillId="4" borderId="0" xfId="3" applyFont="1" applyFill="1" applyAlignment="1">
      <alignment vertical="center"/>
    </xf>
    <xf numFmtId="0" fontId="9" fillId="4" borderId="0" xfId="2" applyFill="1" applyAlignment="1">
      <alignment vertical="center"/>
    </xf>
    <xf numFmtId="0" fontId="21" fillId="0" borderId="0" xfId="0" applyFont="1"/>
    <xf numFmtId="0" fontId="20" fillId="0" borderId="0" xfId="0" applyFont="1"/>
    <xf numFmtId="0" fontId="22" fillId="0" borderId="0" xfId="5" applyAlignment="1">
      <alignment horizontal="left" vertical="top"/>
    </xf>
    <xf numFmtId="0" fontId="0" fillId="0" borderId="0" xfId="0" applyAlignment="1">
      <alignment horizontal="left" vertical="top"/>
    </xf>
    <xf numFmtId="166" fontId="23" fillId="12" borderId="5" xfId="0" applyNumberFormat="1" applyFont="1" applyFill="1" applyBorder="1" applyAlignment="1">
      <alignment horizontal="center" vertical="top" wrapText="1"/>
    </xf>
    <xf numFmtId="166" fontId="23" fillId="13" borderId="5" xfId="0" applyNumberFormat="1" applyFont="1" applyFill="1" applyBorder="1" applyAlignment="1">
      <alignment horizontal="center" vertical="top" wrapText="1"/>
    </xf>
    <xf numFmtId="167" fontId="23" fillId="13" borderId="5" xfId="0" applyNumberFormat="1" applyFont="1" applyFill="1" applyBorder="1" applyAlignment="1">
      <alignment horizontal="center" vertical="top" wrapText="1"/>
    </xf>
    <xf numFmtId="168" fontId="23" fillId="12" borderId="5" xfId="0" applyNumberFormat="1" applyFont="1" applyFill="1" applyBorder="1" applyAlignment="1">
      <alignment horizontal="center" vertical="top" wrapText="1"/>
    </xf>
    <xf numFmtId="0" fontId="24" fillId="13" borderId="5" xfId="0" applyFont="1" applyFill="1" applyBorder="1" applyAlignment="1">
      <alignment horizontal="left" vertical="top" wrapText="1"/>
    </xf>
    <xf numFmtId="169" fontId="23" fillId="13" borderId="5" xfId="0" applyNumberFormat="1" applyFont="1" applyFill="1" applyBorder="1" applyAlignment="1">
      <alignment horizontal="center" vertical="top" wrapText="1"/>
    </xf>
    <xf numFmtId="0" fontId="0" fillId="13" borderId="5" xfId="0" applyFill="1" applyBorder="1" applyAlignment="1">
      <alignment horizontal="left" vertical="top" wrapText="1"/>
    </xf>
    <xf numFmtId="0" fontId="24" fillId="12" borderId="5" xfId="0" applyFont="1" applyFill="1" applyBorder="1" applyAlignment="1">
      <alignment horizontal="center" vertical="top" wrapText="1"/>
    </xf>
    <xf numFmtId="0" fontId="0" fillId="13" borderId="5" xfId="0" applyFill="1" applyBorder="1" applyAlignment="1">
      <alignment horizontal="center" vertical="top" wrapText="1"/>
    </xf>
    <xf numFmtId="0" fontId="0" fillId="12" borderId="5" xfId="0" applyFill="1" applyBorder="1" applyAlignment="1">
      <alignment horizontal="left" vertical="top" wrapText="1"/>
    </xf>
    <xf numFmtId="0" fontId="0" fillId="14" borderId="0" xfId="0" applyFill="1"/>
    <xf numFmtId="0" fontId="0" fillId="15" borderId="6" xfId="0" applyFill="1" applyBorder="1"/>
    <xf numFmtId="0" fontId="0" fillId="0" borderId="6" xfId="0" applyBorder="1"/>
    <xf numFmtId="43" fontId="0" fillId="15" borderId="1" xfId="0" applyNumberFormat="1" applyFill="1" applyBorder="1"/>
    <xf numFmtId="0" fontId="0" fillId="15" borderId="7" xfId="0" applyFill="1" applyBorder="1"/>
    <xf numFmtId="170" fontId="0" fillId="15" borderId="8" xfId="0" applyNumberFormat="1" applyFill="1" applyBorder="1"/>
    <xf numFmtId="170" fontId="0" fillId="15" borderId="1" xfId="0" applyNumberFormat="1" applyFill="1" applyBorder="1"/>
    <xf numFmtId="170" fontId="0" fillId="16" borderId="9" xfId="6" applyNumberFormat="1" applyFont="1" applyFill="1" applyBorder="1"/>
    <xf numFmtId="170" fontId="0" fillId="16" borderId="6" xfId="6" applyNumberFormat="1" applyFont="1" applyFill="1" applyBorder="1"/>
    <xf numFmtId="0" fontId="0" fillId="16" borderId="10" xfId="0" applyFill="1" applyBorder="1"/>
    <xf numFmtId="43" fontId="0" fillId="0" borderId="0" xfId="0" applyNumberFormat="1" applyAlignment="1">
      <alignment horizontal="left"/>
    </xf>
    <xf numFmtId="170" fontId="0" fillId="16" borderId="11" xfId="6" applyNumberFormat="1" applyFont="1" applyFill="1" applyBorder="1"/>
    <xf numFmtId="170" fontId="0" fillId="16" borderId="0" xfId="6" applyNumberFormat="1" applyFont="1" applyFill="1" applyBorder="1"/>
    <xf numFmtId="0" fontId="0" fillId="16" borderId="12" xfId="0" applyFill="1" applyBorder="1"/>
    <xf numFmtId="43" fontId="0" fillId="0" borderId="0" xfId="0" applyNumberFormat="1"/>
    <xf numFmtId="0" fontId="0" fillId="0" borderId="0" xfId="0" applyAlignment="1">
      <alignment horizontal="left"/>
    </xf>
    <xf numFmtId="0" fontId="0" fillId="16" borderId="8" xfId="0" applyFill="1" applyBorder="1"/>
    <xf numFmtId="0" fontId="0" fillId="16" borderId="1" xfId="0" applyFill="1" applyBorder="1"/>
    <xf numFmtId="0" fontId="0" fillId="16" borderId="7" xfId="0" applyFill="1" applyBorder="1"/>
    <xf numFmtId="172" fontId="0" fillId="0" borderId="0" xfId="0" applyNumberFormat="1"/>
    <xf numFmtId="173" fontId="0" fillId="14" borderId="0" xfId="0" applyNumberFormat="1" applyFill="1"/>
    <xf numFmtId="172" fontId="0" fillId="0" borderId="0" xfId="7" applyNumberFormat="1" applyFont="1" applyFill="1"/>
    <xf numFmtId="0" fontId="0" fillId="16" borderId="0" xfId="0" applyFill="1" applyAlignment="1">
      <alignment horizontal="left"/>
    </xf>
    <xf numFmtId="0" fontId="0" fillId="16" borderId="0" xfId="0" applyFill="1" applyAlignment="1">
      <alignment horizontal="center"/>
    </xf>
    <xf numFmtId="174" fontId="0" fillId="17" borderId="5" xfId="0" applyNumberFormat="1" applyFill="1" applyBorder="1" applyAlignment="1">
      <alignment horizontal="center"/>
    </xf>
    <xf numFmtId="17" fontId="0" fillId="17" borderId="5" xfId="0" applyNumberFormat="1" applyFill="1" applyBorder="1" applyAlignment="1">
      <alignment horizontal="left"/>
    </xf>
    <xf numFmtId="174" fontId="0" fillId="17" borderId="0" xfId="0" applyNumberFormat="1" applyFill="1" applyAlignment="1">
      <alignment horizontal="center"/>
    </xf>
    <xf numFmtId="174" fontId="0" fillId="0" borderId="0" xfId="0" applyNumberFormat="1" applyAlignment="1">
      <alignment horizontal="center"/>
    </xf>
    <xf numFmtId="17" fontId="0" fillId="0" borderId="0" xfId="0" applyNumberFormat="1" applyAlignment="1">
      <alignment horizontal="left"/>
    </xf>
    <xf numFmtId="0" fontId="25" fillId="0" borderId="0" xfId="8" applyAlignment="1" applyProtection="1"/>
    <xf numFmtId="9" fontId="1" fillId="0" borderId="0" xfId="9" applyFont="1" applyFill="1" applyBorder="1"/>
    <xf numFmtId="2" fontId="1" fillId="0" borderId="0" xfId="9" applyNumberFormat="1" applyFont="1" applyFill="1" applyBorder="1"/>
    <xf numFmtId="175" fontId="0" fillId="0" borderId="6" xfId="0" applyNumberFormat="1" applyBorder="1"/>
    <xf numFmtId="0" fontId="20" fillId="0" borderId="6" xfId="0" applyFont="1" applyBorder="1"/>
    <xf numFmtId="175" fontId="0" fillId="0" borderId="0" xfId="0" applyNumberFormat="1"/>
    <xf numFmtId="1" fontId="0" fillId="0" borderId="0" xfId="0" applyNumberFormat="1"/>
    <xf numFmtId="2" fontId="0" fillId="0" borderId="0" xfId="0" applyNumberFormat="1"/>
    <xf numFmtId="176" fontId="0" fillId="0" borderId="0" xfId="0" applyNumberFormat="1"/>
    <xf numFmtId="174" fontId="0" fillId="0" borderId="0" xfId="0" applyNumberFormat="1"/>
    <xf numFmtId="0" fontId="0" fillId="18" borderId="0" xfId="0" applyFill="1"/>
    <xf numFmtId="0" fontId="0" fillId="19" borderId="6" xfId="0" applyFill="1" applyBorder="1"/>
    <xf numFmtId="0" fontId="0" fillId="19" borderId="0" xfId="0" applyFill="1"/>
    <xf numFmtId="0" fontId="0" fillId="19" borderId="3" xfId="0" applyFill="1" applyBorder="1"/>
    <xf numFmtId="0" fontId="0" fillId="4" borderId="9" xfId="0" applyFill="1" applyBorder="1"/>
    <xf numFmtId="0" fontId="0" fillId="4" borderId="6" xfId="0" applyFill="1" applyBorder="1"/>
    <xf numFmtId="0" fontId="0" fillId="4" borderId="10" xfId="0" applyFill="1" applyBorder="1"/>
    <xf numFmtId="0" fontId="0" fillId="4" borderId="11" xfId="0" applyFill="1" applyBorder="1"/>
    <xf numFmtId="0" fontId="0" fillId="4" borderId="0" xfId="0" applyFill="1"/>
    <xf numFmtId="0" fontId="0" fillId="4" borderId="12" xfId="0" applyFill="1" applyBorder="1"/>
    <xf numFmtId="1" fontId="0" fillId="4" borderId="0" xfId="0" applyNumberFormat="1" applyFill="1"/>
    <xf numFmtId="0" fontId="20" fillId="4" borderId="11" xfId="0" applyFont="1" applyFill="1" applyBorder="1"/>
    <xf numFmtId="0" fontId="20" fillId="4" borderId="0" xfId="0" applyFont="1" applyFill="1"/>
    <xf numFmtId="0" fontId="0" fillId="4" borderId="8" xfId="0" applyFill="1" applyBorder="1"/>
    <xf numFmtId="0" fontId="0" fillId="4" borderId="1" xfId="0" applyFill="1" applyBorder="1"/>
    <xf numFmtId="0" fontId="0" fillId="4" borderId="7" xfId="0" applyFill="1" applyBorder="1"/>
    <xf numFmtId="9" fontId="19" fillId="0" borderId="0" xfId="0" applyNumberFormat="1" applyFont="1"/>
    <xf numFmtId="0" fontId="26" fillId="0" borderId="0" xfId="0" applyFont="1"/>
    <xf numFmtId="9" fontId="0" fillId="0" borderId="0" xfId="0" applyNumberFormat="1"/>
    <xf numFmtId="9" fontId="0" fillId="14" borderId="0" xfId="0" applyNumberFormat="1" applyFill="1"/>
    <xf numFmtId="177" fontId="0" fillId="0" borderId="0" xfId="9" applyNumberFormat="1" applyFont="1"/>
    <xf numFmtId="172" fontId="27" fillId="0" borderId="0" xfId="0" applyNumberFormat="1" applyFont="1"/>
    <xf numFmtId="176" fontId="19" fillId="0" borderId="0" xfId="0" applyNumberFormat="1" applyFont="1"/>
    <xf numFmtId="0" fontId="19" fillId="0" borderId="0" xfId="0" applyFont="1"/>
    <xf numFmtId="0" fontId="28" fillId="4" borderId="0" xfId="0" applyFont="1" applyFill="1"/>
    <xf numFmtId="0" fontId="31" fillId="20" borderId="0" xfId="0" applyFont="1" applyFill="1"/>
    <xf numFmtId="0" fontId="0" fillId="20" borderId="0" xfId="0" applyFill="1"/>
    <xf numFmtId="169" fontId="32" fillId="12" borderId="5" xfId="0" applyNumberFormat="1" applyFont="1" applyFill="1" applyBorder="1" applyAlignment="1">
      <alignment horizontal="center" vertical="top" wrapText="1"/>
    </xf>
    <xf numFmtId="169" fontId="32" fillId="12" borderId="5" xfId="0" applyNumberFormat="1" applyFont="1" applyFill="1" applyBorder="1" applyAlignment="1">
      <alignment horizontal="left" vertical="top" wrapText="1"/>
    </xf>
    <xf numFmtId="0" fontId="0" fillId="12" borderId="5" xfId="0" applyFill="1" applyBorder="1" applyAlignment="1">
      <alignment horizontal="center" vertical="top" wrapText="1"/>
    </xf>
    <xf numFmtId="0" fontId="0" fillId="12" borderId="0" xfId="0" applyFill="1" applyAlignment="1">
      <alignment horizontal="left" vertical="top"/>
    </xf>
    <xf numFmtId="166" fontId="32" fillId="12" borderId="5" xfId="0" applyNumberFormat="1" applyFont="1" applyFill="1" applyBorder="1" applyAlignment="1">
      <alignment horizontal="center" vertical="top" wrapText="1"/>
    </xf>
    <xf numFmtId="0" fontId="0" fillId="12" borderId="5" xfId="0" applyFill="1" applyBorder="1" applyAlignment="1">
      <alignment vertical="top" wrapText="1"/>
    </xf>
    <xf numFmtId="169" fontId="37" fillId="12" borderId="5" xfId="0" applyNumberFormat="1" applyFont="1" applyFill="1" applyBorder="1" applyAlignment="1">
      <alignment horizontal="center" vertical="top" wrapText="1"/>
    </xf>
    <xf numFmtId="0" fontId="0" fillId="12" borderId="8" xfId="0" applyFill="1" applyBorder="1" applyAlignment="1">
      <alignment horizontal="center" vertical="top" wrapText="1"/>
    </xf>
    <xf numFmtId="0" fontId="0" fillId="12" borderId="1" xfId="0" applyFill="1" applyBorder="1" applyAlignment="1">
      <alignment horizontal="center" vertical="top" wrapText="1"/>
    </xf>
    <xf numFmtId="0" fontId="0" fillId="12" borderId="7" xfId="0" applyFill="1" applyBorder="1" applyAlignment="1">
      <alignment horizontal="center" vertical="top" wrapText="1"/>
    </xf>
    <xf numFmtId="0" fontId="38" fillId="12" borderId="0" xfId="0" applyFont="1" applyFill="1" applyAlignment="1">
      <alignment horizontal="left" vertical="top"/>
    </xf>
    <xf numFmtId="169" fontId="32" fillId="12" borderId="0" xfId="0" applyNumberFormat="1" applyFont="1" applyFill="1" applyAlignment="1">
      <alignment horizontal="center" vertical="top" wrapText="1"/>
    </xf>
    <xf numFmtId="169" fontId="32" fillId="12" borderId="0" xfId="0" applyNumberFormat="1" applyFont="1" applyFill="1" applyAlignment="1">
      <alignment horizontal="left" vertical="top" wrapText="1"/>
    </xf>
    <xf numFmtId="0" fontId="0" fillId="12" borderId="0" xfId="0" applyFill="1" applyAlignment="1">
      <alignment horizontal="left" vertical="top" wrapText="1"/>
    </xf>
    <xf numFmtId="169" fontId="32" fillId="12" borderId="7" xfId="0" applyNumberFormat="1" applyFont="1" applyFill="1" applyBorder="1" applyAlignment="1">
      <alignment horizontal="center" vertical="top" wrapText="1"/>
    </xf>
    <xf numFmtId="169" fontId="32" fillId="12" borderId="7" xfId="0" applyNumberFormat="1" applyFont="1" applyFill="1" applyBorder="1" applyAlignment="1">
      <alignment vertical="top" wrapText="1"/>
    </xf>
    <xf numFmtId="0" fontId="0" fillId="12" borderId="7" xfId="0" applyFill="1" applyBorder="1" applyAlignment="1">
      <alignment vertical="top" wrapText="1"/>
    </xf>
    <xf numFmtId="169" fontId="37" fillId="12" borderId="7" xfId="0" applyNumberFormat="1" applyFont="1" applyFill="1" applyBorder="1" applyAlignment="1">
      <alignment horizontal="center" vertical="top" wrapText="1"/>
    </xf>
    <xf numFmtId="169" fontId="32" fillId="12" borderId="0" xfId="0" applyNumberFormat="1" applyFont="1" applyFill="1" applyAlignment="1">
      <alignment horizontal="left" vertical="top"/>
    </xf>
    <xf numFmtId="0" fontId="41" fillId="12" borderId="0" xfId="0" applyFont="1" applyFill="1" applyAlignment="1">
      <alignment horizontal="left" vertical="top"/>
    </xf>
    <xf numFmtId="0" fontId="42" fillId="12" borderId="5" xfId="0" applyFont="1" applyFill="1" applyBorder="1" applyAlignment="1">
      <alignment horizontal="center" vertical="top" wrapText="1"/>
    </xf>
    <xf numFmtId="0" fontId="42" fillId="12" borderId="5" xfId="0" applyFont="1" applyFill="1" applyBorder="1" applyAlignment="1">
      <alignment horizontal="left" vertical="top" wrapText="1"/>
    </xf>
    <xf numFmtId="164" fontId="0" fillId="0" borderId="0" xfId="0" applyNumberFormat="1"/>
    <xf numFmtId="0" fontId="42" fillId="0" borderId="0" xfId="0" applyFont="1" applyAlignment="1">
      <alignment horizontal="left" vertical="top"/>
    </xf>
    <xf numFmtId="0" fontId="46" fillId="14" borderId="0" xfId="0" applyFont="1" applyFill="1"/>
    <xf numFmtId="0" fontId="0" fillId="21" borderId="0" xfId="0" applyFill="1"/>
    <xf numFmtId="10" fontId="1" fillId="0" borderId="5" xfId="9" applyNumberFormat="1" applyFont="1" applyBorder="1" applyAlignment="1">
      <alignment horizontal="center"/>
    </xf>
    <xf numFmtId="10" fontId="1" fillId="0" borderId="5" xfId="9" applyNumberFormat="1" applyFont="1" applyFill="1" applyBorder="1" applyAlignment="1">
      <alignment horizontal="center"/>
    </xf>
    <xf numFmtId="168" fontId="42" fillId="0" borderId="5" xfId="0" applyNumberFormat="1" applyFont="1" applyBorder="1" applyAlignment="1">
      <alignment horizontal="center" vertical="top" wrapText="1"/>
    </xf>
    <xf numFmtId="0" fontId="42" fillId="0" borderId="5" xfId="0" applyFont="1" applyBorder="1" applyAlignment="1">
      <alignment horizontal="center" vertical="top" wrapText="1"/>
    </xf>
    <xf numFmtId="0" fontId="42" fillId="0" borderId="5" xfId="0" applyFont="1" applyBorder="1" applyAlignment="1">
      <alignment horizontal="left" vertical="top" wrapText="1"/>
    </xf>
    <xf numFmtId="0" fontId="0" fillId="0" borderId="5" xfId="0" applyBorder="1" applyAlignment="1">
      <alignment horizontal="center"/>
    </xf>
    <xf numFmtId="9" fontId="0" fillId="0" borderId="5" xfId="0" applyNumberFormat="1" applyBorder="1" applyAlignment="1">
      <alignment horizontal="center"/>
    </xf>
    <xf numFmtId="0" fontId="0" fillId="0" borderId="5" xfId="0" applyBorder="1"/>
    <xf numFmtId="0" fontId="20" fillId="0" borderId="5" xfId="0" applyFont="1" applyBorder="1" applyAlignment="1">
      <alignment horizontal="center"/>
    </xf>
    <xf numFmtId="0" fontId="47" fillId="0" borderId="0" xfId="0" applyFont="1"/>
    <xf numFmtId="168" fontId="42" fillId="21" borderId="5" xfId="0" applyNumberFormat="1" applyFont="1" applyFill="1" applyBorder="1" applyAlignment="1">
      <alignment horizontal="center" vertical="top" wrapText="1"/>
    </xf>
    <xf numFmtId="0" fontId="48" fillId="0" borderId="5" xfId="0" applyFont="1" applyBorder="1" applyAlignment="1">
      <alignment horizontal="left" vertical="top" wrapText="1"/>
    </xf>
    <xf numFmtId="169" fontId="49" fillId="0" borderId="5" xfId="0" applyNumberFormat="1" applyFont="1" applyBorder="1" applyAlignment="1">
      <alignment horizontal="center" vertical="top" wrapText="1"/>
    </xf>
    <xf numFmtId="0" fontId="49" fillId="0" borderId="5" xfId="0" applyFont="1" applyBorder="1" applyAlignment="1">
      <alignment horizontal="left" vertical="top"/>
    </xf>
    <xf numFmtId="0" fontId="51" fillId="0" borderId="0" xfId="0" applyFont="1"/>
    <xf numFmtId="0" fontId="0" fillId="0" borderId="5" xfId="0" applyBorder="1" applyAlignment="1">
      <alignment horizontal="left"/>
    </xf>
    <xf numFmtId="168" fontId="42" fillId="0" borderId="0" xfId="0" applyNumberFormat="1" applyFont="1" applyAlignment="1">
      <alignment horizontal="center" vertical="top" wrapText="1"/>
    </xf>
    <xf numFmtId="0" fontId="42" fillId="0" borderId="0" xfId="0" applyFont="1" applyAlignment="1">
      <alignment horizontal="center" vertical="top" wrapText="1"/>
    </xf>
    <xf numFmtId="0" fontId="42" fillId="0" borderId="0" xfId="0" applyFont="1" applyAlignment="1">
      <alignment horizontal="left" vertical="top" wrapText="1"/>
    </xf>
    <xf numFmtId="11" fontId="0" fillId="0" borderId="5" xfId="0" applyNumberFormat="1" applyBorder="1" applyAlignment="1">
      <alignment horizontal="center"/>
    </xf>
    <xf numFmtId="10" fontId="0" fillId="0" borderId="5" xfId="0" applyNumberFormat="1" applyBorder="1" applyAlignment="1">
      <alignment horizontal="center"/>
    </xf>
    <xf numFmtId="0" fontId="0" fillId="0" borderId="5" xfId="0" applyBorder="1" applyAlignment="1">
      <alignment horizontal="left" wrapText="1"/>
    </xf>
    <xf numFmtId="0" fontId="52" fillId="0" borderId="0" xfId="0" applyFont="1"/>
    <xf numFmtId="0" fontId="0" fillId="22" borderId="15" xfId="0" applyFill="1" applyBorder="1"/>
    <xf numFmtId="0" fontId="0" fillId="22" borderId="2" xfId="0" applyFill="1" applyBorder="1"/>
    <xf numFmtId="0" fontId="0" fillId="22" borderId="16" xfId="0" applyFill="1" applyBorder="1"/>
    <xf numFmtId="0" fontId="0" fillId="22" borderId="17" xfId="0" applyFill="1" applyBorder="1"/>
    <xf numFmtId="0" fontId="0" fillId="22" borderId="0" xfId="0" applyFill="1"/>
    <xf numFmtId="0" fontId="0" fillId="22" borderId="18" xfId="0" applyFill="1" applyBorder="1"/>
    <xf numFmtId="0" fontId="0" fillId="22" borderId="19" xfId="0" applyFill="1" applyBorder="1"/>
    <xf numFmtId="0" fontId="0" fillId="22" borderId="20" xfId="0" applyFill="1" applyBorder="1"/>
    <xf numFmtId="0" fontId="0" fillId="22" borderId="21" xfId="0" applyFill="1" applyBorder="1"/>
    <xf numFmtId="2" fontId="0" fillId="22" borderId="2" xfId="0" applyNumberFormat="1" applyFill="1" applyBorder="1"/>
    <xf numFmtId="0" fontId="0" fillId="23" borderId="2" xfId="0" applyFill="1" applyBorder="1"/>
    <xf numFmtId="0" fontId="0" fillId="23" borderId="16" xfId="0" applyFill="1" applyBorder="1"/>
    <xf numFmtId="169" fontId="42" fillId="0" borderId="5" xfId="0" applyNumberFormat="1" applyFont="1" applyBorder="1" applyAlignment="1">
      <alignment horizontal="center" vertical="top" wrapText="1"/>
    </xf>
    <xf numFmtId="169" fontId="42" fillId="0" borderId="5" xfId="0" applyNumberFormat="1" applyFont="1" applyBorder="1" applyAlignment="1">
      <alignment horizontal="left" vertical="top" wrapText="1"/>
    </xf>
    <xf numFmtId="164" fontId="0" fillId="22" borderId="0" xfId="0" applyNumberFormat="1" applyFill="1"/>
    <xf numFmtId="0" fontId="0" fillId="23" borderId="0" xfId="0" applyFill="1"/>
    <xf numFmtId="0" fontId="0" fillId="23" borderId="18" xfId="0" applyFill="1" applyBorder="1" applyAlignment="1">
      <alignment wrapText="1"/>
    </xf>
    <xf numFmtId="0" fontId="53" fillId="23" borderId="18" xfId="0" applyFont="1" applyFill="1" applyBorder="1" applyAlignment="1">
      <alignment wrapText="1"/>
    </xf>
    <xf numFmtId="174" fontId="0" fillId="22" borderId="20" xfId="0" applyNumberFormat="1" applyFill="1" applyBorder="1"/>
    <xf numFmtId="0" fontId="0" fillId="23" borderId="20" xfId="0" applyFill="1" applyBorder="1"/>
    <xf numFmtId="0" fontId="0" fillId="23" borderId="21" xfId="0" applyFill="1" applyBorder="1" applyAlignment="1">
      <alignment wrapText="1"/>
    </xf>
    <xf numFmtId="0" fontId="53" fillId="0" borderId="0" xfId="0" applyFont="1"/>
    <xf numFmtId="0" fontId="0" fillId="0" borderId="5" xfId="0" applyBorder="1" applyAlignment="1">
      <alignment horizontal="center" vertical="center"/>
    </xf>
    <xf numFmtId="11" fontId="0" fillId="0" borderId="5" xfId="0" applyNumberFormat="1" applyBorder="1" applyAlignment="1">
      <alignment horizontal="center" vertical="center"/>
    </xf>
    <xf numFmtId="10" fontId="0" fillId="0" borderId="5" xfId="0" applyNumberFormat="1" applyBorder="1" applyAlignment="1">
      <alignment horizontal="center" vertical="center"/>
    </xf>
    <xf numFmtId="169" fontId="42" fillId="24" borderId="5" xfId="0" applyNumberFormat="1" applyFont="1" applyFill="1" applyBorder="1" applyAlignment="1">
      <alignment horizontal="center" vertical="top" wrapText="1"/>
    </xf>
    <xf numFmtId="169" fontId="42" fillId="21" borderId="5" xfId="0" applyNumberFormat="1" applyFont="1" applyFill="1" applyBorder="1" applyAlignment="1">
      <alignment horizontal="center" vertical="top" wrapText="1"/>
    </xf>
    <xf numFmtId="0" fontId="42" fillId="21" borderId="5" xfId="0" applyFont="1" applyFill="1" applyBorder="1" applyAlignment="1">
      <alignment horizontal="center" vertical="top" wrapText="1"/>
    </xf>
    <xf numFmtId="169" fontId="49" fillId="0" borderId="5" xfId="0" applyNumberFormat="1" applyFont="1" applyBorder="1" applyAlignment="1">
      <alignment horizontal="left" vertical="top" wrapText="1"/>
    </xf>
    <xf numFmtId="0" fontId="50" fillId="0" borderId="5" xfId="0" applyFont="1" applyBorder="1" applyAlignment="1">
      <alignment horizontal="left" vertical="top"/>
    </xf>
    <xf numFmtId="178" fontId="19" fillId="24" borderId="0" xfId="6" applyNumberFormat="1" applyFont="1" applyFill="1" applyBorder="1" applyAlignment="1">
      <alignment horizontal="left" vertical="top"/>
    </xf>
    <xf numFmtId="0" fontId="19" fillId="0" borderId="0" xfId="0" applyFont="1" applyAlignment="1">
      <alignment horizontal="left" vertical="top"/>
    </xf>
    <xf numFmtId="0" fontId="54" fillId="0" borderId="0" xfId="0" applyFont="1" applyAlignment="1">
      <alignment horizontal="left" vertical="top"/>
    </xf>
    <xf numFmtId="43" fontId="0" fillId="0" borderId="0" xfId="0" applyNumberFormat="1" applyAlignment="1">
      <alignment horizontal="left" vertical="top"/>
    </xf>
    <xf numFmtId="0" fontId="55" fillId="0" borderId="0" xfId="0" applyFont="1" applyAlignment="1">
      <alignment horizontal="left" vertical="top"/>
    </xf>
    <xf numFmtId="0" fontId="0" fillId="0" borderId="5" xfId="0" applyBorder="1" applyAlignment="1">
      <alignment horizontal="center" vertical="top" wrapText="1"/>
    </xf>
    <xf numFmtId="169" fontId="32" fillId="0" borderId="5" xfId="0" applyNumberFormat="1" applyFont="1" applyBorder="1" applyAlignment="1">
      <alignment horizontal="center" vertical="top" wrapText="1"/>
    </xf>
    <xf numFmtId="169" fontId="32" fillId="0" borderId="5" xfId="0" applyNumberFormat="1" applyFont="1" applyBorder="1" applyAlignment="1">
      <alignment horizontal="left" vertical="top" wrapText="1"/>
    </xf>
    <xf numFmtId="0" fontId="0" fillId="0" borderId="5" xfId="0" applyBorder="1" applyAlignment="1">
      <alignment horizontal="left" vertical="top" wrapText="1"/>
    </xf>
    <xf numFmtId="0" fontId="56" fillId="14" borderId="0" xfId="0" applyFont="1" applyFill="1"/>
    <xf numFmtId="0" fontId="40" fillId="0" borderId="5" xfId="0" applyFont="1" applyBorder="1" applyAlignment="1">
      <alignment horizontal="left" vertical="top" wrapText="1"/>
    </xf>
    <xf numFmtId="176" fontId="0" fillId="0" borderId="5" xfId="0" applyNumberFormat="1" applyBorder="1" applyAlignment="1">
      <alignment horizontal="center"/>
    </xf>
    <xf numFmtId="0" fontId="0" fillId="0" borderId="5" xfId="0" applyBorder="1" applyAlignment="1">
      <alignment wrapText="1"/>
    </xf>
    <xf numFmtId="169" fontId="37" fillId="0" borderId="5" xfId="0" applyNumberFormat="1" applyFont="1" applyBorder="1" applyAlignment="1">
      <alignment horizontal="center" vertical="top" wrapText="1"/>
    </xf>
    <xf numFmtId="0" fontId="20" fillId="0" borderId="5" xfId="0" applyFont="1" applyBorder="1" applyAlignment="1">
      <alignment horizontal="left" vertical="top"/>
    </xf>
    <xf numFmtId="0" fontId="33" fillId="0" borderId="5" xfId="0" applyFont="1" applyBorder="1" applyAlignment="1">
      <alignment horizontal="left" vertical="top"/>
    </xf>
    <xf numFmtId="0" fontId="25" fillId="0" borderId="0" xfId="8" applyFill="1" applyAlignment="1" applyProtection="1"/>
    <xf numFmtId="0" fontId="0" fillId="0" borderId="0" xfId="0" applyAlignment="1">
      <alignment horizontal="center"/>
    </xf>
    <xf numFmtId="1" fontId="0" fillId="0" borderId="0" xfId="0" applyNumberFormat="1" applyAlignment="1">
      <alignment horizontal="center"/>
    </xf>
    <xf numFmtId="11" fontId="0" fillId="0" borderId="0" xfId="0" applyNumberFormat="1"/>
    <xf numFmtId="0" fontId="4" fillId="25" borderId="5" xfId="0" applyFont="1" applyFill="1" applyBorder="1" applyAlignment="1">
      <alignment horizontal="center"/>
    </xf>
    <xf numFmtId="2" fontId="0" fillId="0" borderId="0" xfId="0" applyNumberFormat="1" applyAlignment="1">
      <alignment horizontal="center"/>
    </xf>
    <xf numFmtId="17" fontId="0" fillId="0" borderId="0" xfId="0" applyNumberFormat="1"/>
    <xf numFmtId="0" fontId="0" fillId="0" borderId="0" xfId="0" applyAlignment="1">
      <alignment horizontal="right"/>
    </xf>
    <xf numFmtId="11" fontId="0" fillId="0" borderId="0" xfId="0" applyNumberFormat="1" applyAlignment="1">
      <alignment horizontal="center"/>
    </xf>
    <xf numFmtId="170" fontId="0" fillId="17" borderId="5" xfId="6" applyNumberFormat="1" applyFont="1" applyFill="1" applyBorder="1" applyAlignment="1">
      <alignment horizontal="center"/>
    </xf>
    <xf numFmtId="0" fontId="0" fillId="17" borderId="5" xfId="0" applyFill="1" applyBorder="1" applyAlignment="1">
      <alignment horizontal="center"/>
    </xf>
    <xf numFmtId="0" fontId="0" fillId="16" borderId="5" xfId="0" applyFill="1" applyBorder="1" applyAlignment="1">
      <alignment horizontal="center"/>
    </xf>
    <xf numFmtId="0" fontId="27" fillId="4" borderId="5" xfId="0" applyFont="1" applyFill="1" applyBorder="1" applyAlignment="1">
      <alignment horizontal="center"/>
    </xf>
    <xf numFmtId="176" fontId="27" fillId="0" borderId="5" xfId="0" applyNumberFormat="1" applyFont="1" applyBorder="1" applyAlignment="1">
      <alignment horizontal="center"/>
    </xf>
    <xf numFmtId="0" fontId="0" fillId="25" borderId="5" xfId="0" applyFill="1" applyBorder="1" applyAlignment="1">
      <alignment horizontal="center"/>
    </xf>
    <xf numFmtId="0" fontId="0" fillId="15" borderId="0" xfId="0" applyFill="1" applyAlignment="1">
      <alignment horizontal="center"/>
    </xf>
    <xf numFmtId="0" fontId="58" fillId="0" borderId="0" xfId="3" applyFont="1"/>
    <xf numFmtId="2" fontId="0" fillId="15" borderId="0" xfId="0" applyNumberFormat="1" applyFill="1" applyAlignment="1">
      <alignment horizontal="center"/>
    </xf>
    <xf numFmtId="2" fontId="0" fillId="26" borderId="0" xfId="0" applyNumberFormat="1" applyFill="1" applyAlignment="1">
      <alignment horizontal="center"/>
    </xf>
    <xf numFmtId="2" fontId="0" fillId="27" borderId="0" xfId="0" applyNumberFormat="1" applyFill="1" applyAlignment="1">
      <alignment horizontal="center"/>
    </xf>
    <xf numFmtId="0" fontId="59" fillId="0" borderId="0" xfId="3" applyFont="1" applyAlignment="1">
      <alignment horizontal="center"/>
    </xf>
    <xf numFmtId="1" fontId="0" fillId="26" borderId="0" xfId="0" applyNumberFormat="1" applyFill="1" applyAlignment="1">
      <alignment horizontal="center"/>
    </xf>
    <xf numFmtId="1" fontId="0" fillId="27" borderId="0" xfId="0" applyNumberFormat="1" applyFill="1" applyAlignment="1">
      <alignment horizontal="center"/>
    </xf>
    <xf numFmtId="173" fontId="0" fillId="16" borderId="0" xfId="0" applyNumberFormat="1" applyFill="1"/>
    <xf numFmtId="0" fontId="0" fillId="26" borderId="0" xfId="0" applyFill="1" applyAlignment="1">
      <alignment horizontal="center"/>
    </xf>
    <xf numFmtId="0" fontId="0" fillId="26" borderId="6" xfId="0" applyFill="1" applyBorder="1"/>
    <xf numFmtId="0" fontId="60" fillId="28" borderId="22" xfId="0" applyFont="1" applyFill="1" applyBorder="1" applyAlignment="1">
      <alignment vertical="top" wrapText="1"/>
    </xf>
    <xf numFmtId="9" fontId="61" fillId="28" borderId="22" xfId="0" applyNumberFormat="1" applyFont="1" applyFill="1" applyBorder="1" applyAlignment="1">
      <alignment vertical="top" shrinkToFit="1"/>
    </xf>
    <xf numFmtId="9" fontId="61" fillId="28" borderId="22" xfId="0" applyNumberFormat="1" applyFont="1" applyFill="1" applyBorder="1" applyAlignment="1">
      <alignment horizontal="center" vertical="top" shrinkToFit="1"/>
    </xf>
    <xf numFmtId="0" fontId="60" fillId="0" borderId="0" xfId="0" applyFont="1" applyAlignment="1">
      <alignment vertical="top" wrapText="1"/>
    </xf>
    <xf numFmtId="0" fontId="62" fillId="0" borderId="0" xfId="0" applyFont="1" applyAlignment="1">
      <alignment vertical="top" wrapText="1"/>
    </xf>
    <xf numFmtId="0" fontId="62" fillId="0" borderId="0" xfId="0" applyFont="1" applyAlignment="1">
      <alignment horizontal="center" vertical="top" wrapText="1"/>
    </xf>
    <xf numFmtId="0" fontId="60" fillId="28" borderId="0" xfId="0" applyFont="1" applyFill="1" applyAlignment="1">
      <alignment vertical="top" wrapText="1"/>
    </xf>
    <xf numFmtId="1" fontId="61" fillId="28" borderId="0" xfId="0" applyNumberFormat="1" applyFont="1" applyFill="1" applyAlignment="1">
      <alignment horizontal="center" vertical="top" shrinkToFit="1"/>
    </xf>
    <xf numFmtId="0" fontId="60" fillId="12" borderId="0" xfId="0" applyFont="1" applyFill="1" applyAlignment="1">
      <alignment vertical="top" wrapText="1"/>
    </xf>
    <xf numFmtId="1" fontId="61" fillId="0" borderId="0" xfId="0" applyNumberFormat="1" applyFont="1" applyAlignment="1">
      <alignment horizontal="center" vertical="top" shrinkToFit="1"/>
    </xf>
    <xf numFmtId="0" fontId="60" fillId="28" borderId="0" xfId="0" applyFont="1" applyFill="1" applyAlignment="1">
      <alignment horizontal="center" vertical="top" wrapText="1"/>
    </xf>
    <xf numFmtId="0" fontId="60" fillId="0" borderId="0" xfId="0" applyFont="1" applyAlignment="1">
      <alignment horizontal="center" vertical="top" wrapText="1"/>
    </xf>
    <xf numFmtId="1" fontId="61" fillId="0" borderId="0" xfId="0" applyNumberFormat="1" applyFont="1" applyAlignment="1">
      <alignment vertical="top" shrinkToFit="1"/>
    </xf>
    <xf numFmtId="1" fontId="61" fillId="28" borderId="0" xfId="0" applyNumberFormat="1" applyFont="1" applyFill="1" applyAlignment="1">
      <alignment vertical="top" shrinkToFit="1"/>
    </xf>
    <xf numFmtId="3" fontId="61" fillId="0" borderId="0" xfId="0" applyNumberFormat="1" applyFont="1" applyAlignment="1">
      <alignment vertical="top" shrinkToFit="1"/>
    </xf>
    <xf numFmtId="3" fontId="61" fillId="0" borderId="0" xfId="0" applyNumberFormat="1" applyFont="1" applyAlignment="1">
      <alignment horizontal="center" vertical="top" shrinkToFit="1"/>
    </xf>
    <xf numFmtId="0" fontId="60" fillId="28" borderId="23" xfId="0" applyFont="1" applyFill="1" applyBorder="1" applyAlignment="1">
      <alignment vertical="top" wrapText="1"/>
    </xf>
    <xf numFmtId="0" fontId="60" fillId="28" borderId="23" xfId="0" applyFont="1" applyFill="1" applyBorder="1" applyAlignment="1">
      <alignment horizontal="center" vertical="top" wrapText="1"/>
    </xf>
    <xf numFmtId="0" fontId="33" fillId="29" borderId="24" xfId="0" applyFont="1" applyFill="1" applyBorder="1" applyAlignment="1">
      <alignment vertical="top" wrapText="1"/>
    </xf>
    <xf numFmtId="0" fontId="28" fillId="0" borderId="0" xfId="0" applyFont="1"/>
    <xf numFmtId="179" fontId="0" fillId="0" borderId="0" xfId="0" applyNumberFormat="1"/>
    <xf numFmtId="22" fontId="0" fillId="0" borderId="0" xfId="0" applyNumberFormat="1"/>
    <xf numFmtId="170" fontId="0" fillId="0" borderId="0" xfId="6" applyNumberFormat="1" applyFont="1"/>
    <xf numFmtId="171" fontId="0" fillId="0" borderId="5" xfId="6" applyFont="1" applyFill="1" applyBorder="1"/>
    <xf numFmtId="1" fontId="0" fillId="15" borderId="0" xfId="0" applyNumberFormat="1" applyFill="1" applyAlignment="1">
      <alignment horizontal="center"/>
    </xf>
    <xf numFmtId="0" fontId="0" fillId="27" borderId="0" xfId="0" applyFill="1" applyAlignment="1">
      <alignment horizontal="center"/>
    </xf>
    <xf numFmtId="0" fontId="15" fillId="0" borderId="0" xfId="3"/>
    <xf numFmtId="0" fontId="15" fillId="15" borderId="0" xfId="3" applyFill="1"/>
    <xf numFmtId="0" fontId="15" fillId="16" borderId="0" xfId="3" applyFill="1"/>
    <xf numFmtId="2" fontId="15" fillId="0" borderId="0" xfId="10" applyNumberFormat="1" applyFont="1" applyFill="1" applyAlignment="1">
      <alignment horizontal="right"/>
    </xf>
    <xf numFmtId="2" fontId="15" fillId="15" borderId="0" xfId="10" applyNumberFormat="1" applyFont="1" applyFill="1" applyAlignment="1">
      <alignment horizontal="right"/>
    </xf>
    <xf numFmtId="0" fontId="59" fillId="0" borderId="0" xfId="3" applyFont="1" applyAlignment="1" applyProtection="1">
      <alignment horizontal="left"/>
      <protection locked="0"/>
    </xf>
    <xf numFmtId="2" fontId="15" fillId="0" borderId="0" xfId="3" applyNumberFormat="1"/>
    <xf numFmtId="2" fontId="15" fillId="16" borderId="0" xfId="10" applyNumberFormat="1" applyFont="1" applyFill="1" applyAlignment="1">
      <alignment horizontal="right"/>
    </xf>
    <xf numFmtId="1" fontId="15" fillId="0" borderId="0" xfId="10" applyNumberFormat="1" applyFont="1" applyFill="1" applyAlignment="1">
      <alignment horizontal="right"/>
    </xf>
    <xf numFmtId="180" fontId="59" fillId="0" borderId="0" xfId="3" applyNumberFormat="1" applyFont="1" applyAlignment="1" applyProtection="1">
      <alignment horizontal="left"/>
      <protection locked="0"/>
    </xf>
    <xf numFmtId="1" fontId="66" fillId="0" borderId="0" xfId="10" applyNumberFormat="1" applyFont="1" applyFill="1" applyAlignment="1">
      <alignment horizontal="right"/>
    </xf>
    <xf numFmtId="2" fontId="66" fillId="0" borderId="0" xfId="10" applyNumberFormat="1" applyFont="1" applyFill="1" applyAlignment="1">
      <alignment horizontal="right"/>
    </xf>
    <xf numFmtId="174" fontId="15" fillId="0" borderId="0" xfId="10" applyNumberFormat="1" applyFont="1" applyFill="1" applyAlignment="1">
      <alignment horizontal="right"/>
    </xf>
    <xf numFmtId="2" fontId="67" fillId="15" borderId="2" xfId="3" applyNumberFormat="1" applyFont="1" applyFill="1" applyBorder="1" applyAlignment="1">
      <alignment horizontal="center"/>
    </xf>
    <xf numFmtId="2" fontId="15" fillId="0" borderId="2" xfId="3" applyNumberFormat="1" applyBorder="1" applyAlignment="1">
      <alignment horizontal="center"/>
    </xf>
    <xf numFmtId="2" fontId="15" fillId="15" borderId="2" xfId="3" applyNumberFormat="1" applyFill="1" applyBorder="1" applyAlignment="1">
      <alignment horizontal="center"/>
    </xf>
    <xf numFmtId="2" fontId="15" fillId="16" borderId="2" xfId="3" applyNumberFormat="1" applyFill="1" applyBorder="1" applyAlignment="1">
      <alignment horizontal="center"/>
    </xf>
    <xf numFmtId="0" fontId="15" fillId="0" borderId="2" xfId="3" applyBorder="1" applyAlignment="1">
      <alignment horizontal="center" wrapText="1"/>
    </xf>
    <xf numFmtId="2" fontId="67" fillId="0" borderId="2" xfId="3" applyNumberFormat="1" applyFont="1" applyBorder="1" applyAlignment="1">
      <alignment horizontal="center"/>
    </xf>
    <xf numFmtId="0" fontId="15" fillId="0" borderId="2" xfId="3" applyBorder="1"/>
    <xf numFmtId="0" fontId="68" fillId="0" borderId="0" xfId="3" applyFont="1" applyAlignment="1">
      <alignment horizontal="center" wrapText="1"/>
    </xf>
    <xf numFmtId="0" fontId="68" fillId="15" borderId="3" xfId="3" applyFont="1" applyFill="1" applyBorder="1" applyAlignment="1">
      <alignment horizontal="center" wrapText="1"/>
    </xf>
    <xf numFmtId="0" fontId="68" fillId="0" borderId="3" xfId="3" applyFont="1" applyBorder="1" applyAlignment="1">
      <alignment horizontal="center" wrapText="1"/>
    </xf>
    <xf numFmtId="0" fontId="68" fillId="0" borderId="3" xfId="3" applyFont="1" applyBorder="1" applyAlignment="1">
      <alignment horizontal="center" vertical="center" wrapText="1"/>
    </xf>
    <xf numFmtId="0" fontId="68" fillId="15" borderId="3" xfId="3" applyFont="1" applyFill="1" applyBorder="1" applyAlignment="1">
      <alignment horizontal="center" vertical="center" wrapText="1"/>
    </xf>
    <xf numFmtId="0" fontId="68" fillId="16" borderId="3" xfId="3" applyFont="1" applyFill="1" applyBorder="1" applyAlignment="1">
      <alignment horizontal="center" vertical="center" wrapText="1"/>
    </xf>
    <xf numFmtId="0" fontId="68" fillId="15" borderId="0" xfId="3" applyFont="1" applyFill="1" applyAlignment="1">
      <alignment horizontal="center" wrapText="1"/>
    </xf>
    <xf numFmtId="0" fontId="68" fillId="0" borderId="6" xfId="3" applyFont="1" applyBorder="1" applyAlignment="1">
      <alignment horizontal="center" wrapText="1"/>
    </xf>
    <xf numFmtId="0" fontId="68" fillId="16" borderId="6" xfId="3" applyFont="1" applyFill="1" applyBorder="1" applyAlignment="1">
      <alignment horizontal="center" wrapText="1"/>
    </xf>
    <xf numFmtId="0" fontId="15" fillId="0" borderId="0" xfId="3" applyAlignment="1">
      <alignment horizontal="center"/>
    </xf>
    <xf numFmtId="0" fontId="15" fillId="0" borderId="0" xfId="3" applyAlignment="1" applyProtection="1">
      <alignment horizontal="center"/>
      <protection locked="0"/>
    </xf>
    <xf numFmtId="0" fontId="68" fillId="0" borderId="0" xfId="3" applyFont="1"/>
    <xf numFmtId="0" fontId="15" fillId="16" borderId="0" xfId="3" applyFill="1" applyAlignment="1" applyProtection="1">
      <alignment horizontal="center"/>
      <protection locked="0"/>
    </xf>
    <xf numFmtId="0" fontId="70" fillId="0" borderId="0" xfId="3" applyFont="1" applyAlignment="1">
      <alignment horizontal="center"/>
    </xf>
    <xf numFmtId="0" fontId="70" fillId="16" borderId="0" xfId="3" applyFont="1" applyFill="1" applyAlignment="1">
      <alignment horizontal="center"/>
    </xf>
    <xf numFmtId="0" fontId="70" fillId="0" borderId="0" xfId="3" applyFont="1"/>
    <xf numFmtId="0" fontId="71" fillId="0" borderId="0" xfId="0" applyFont="1"/>
    <xf numFmtId="0" fontId="72" fillId="0" borderId="0" xfId="13" applyFont="1"/>
    <xf numFmtId="0" fontId="73" fillId="0" borderId="0" xfId="0" applyFont="1"/>
    <xf numFmtId="0" fontId="74" fillId="0" borderId="0" xfId="13" applyFont="1"/>
    <xf numFmtId="181" fontId="75" fillId="0" borderId="0" xfId="13" applyNumberFormat="1" applyFont="1"/>
    <xf numFmtId="181" fontId="76" fillId="0" borderId="0" xfId="13" applyNumberFormat="1" applyFont="1"/>
    <xf numFmtId="181" fontId="77" fillId="0" borderId="0" xfId="13" applyNumberFormat="1" applyFont="1"/>
    <xf numFmtId="0" fontId="17" fillId="0" borderId="4" xfId="4" applyAlignment="1">
      <alignment horizontal="left"/>
    </xf>
    <xf numFmtId="2" fontId="15" fillId="21" borderId="27" xfId="3" applyNumberFormat="1" applyFill="1" applyBorder="1"/>
    <xf numFmtId="4" fontId="81" fillId="0" borderId="28" xfId="13" applyNumberFormat="1" applyFont="1" applyBorder="1" applyAlignment="1">
      <alignment horizontal="right" vertical="center" wrapText="1"/>
    </xf>
    <xf numFmtId="4" fontId="81" fillId="0" borderId="28" xfId="3" applyNumberFormat="1" applyFont="1" applyBorder="1" applyAlignment="1">
      <alignment horizontal="right" vertical="center" wrapText="1"/>
    </xf>
    <xf numFmtId="0" fontId="81" fillId="0" borderId="28" xfId="3" applyFont="1" applyBorder="1" applyAlignment="1">
      <alignment horizontal="left" vertical="center" wrapText="1"/>
    </xf>
    <xf numFmtId="0" fontId="82" fillId="34" borderId="28" xfId="13" applyFont="1" applyFill="1" applyBorder="1" applyAlignment="1">
      <alignment horizontal="center" vertical="center" wrapText="1"/>
    </xf>
    <xf numFmtId="0" fontId="82" fillId="34" borderId="28" xfId="3" applyFont="1" applyFill="1" applyBorder="1" applyAlignment="1">
      <alignment horizontal="center" vertical="center" wrapText="1"/>
    </xf>
    <xf numFmtId="0" fontId="15" fillId="0" borderId="0" xfId="13"/>
    <xf numFmtId="0" fontId="81" fillId="0" borderId="0" xfId="3" applyFont="1" applyAlignment="1">
      <alignment horizontal="left" vertical="center"/>
    </xf>
    <xf numFmtId="4" fontId="81" fillId="0" borderId="0" xfId="13" applyNumberFormat="1" applyFont="1" applyAlignment="1">
      <alignment horizontal="left" vertical="center"/>
    </xf>
    <xf numFmtId="4" fontId="81" fillId="0" borderId="0" xfId="3" applyNumberFormat="1" applyFont="1" applyAlignment="1">
      <alignment horizontal="left" vertical="center"/>
    </xf>
    <xf numFmtId="0" fontId="81" fillId="0" borderId="0" xfId="3" applyFont="1" applyAlignment="1">
      <alignment horizontal="left" vertical="center" wrapText="1"/>
    </xf>
    <xf numFmtId="4" fontId="18" fillId="31" borderId="28" xfId="15" applyNumberFormat="1" applyBorder="1" applyAlignment="1" applyProtection="1">
      <alignment horizontal="right" vertical="center" wrapText="1"/>
    </xf>
    <xf numFmtId="4" fontId="81" fillId="0" borderId="28" xfId="0" applyNumberFormat="1" applyFont="1" applyBorder="1" applyAlignment="1">
      <alignment horizontal="right" vertical="center" wrapText="1"/>
    </xf>
    <xf numFmtId="182" fontId="81" fillId="0" borderId="0" xfId="13" applyNumberFormat="1" applyFont="1" applyAlignment="1">
      <alignment horizontal="left" vertical="center"/>
    </xf>
    <xf numFmtId="183" fontId="81" fillId="0" borderId="0" xfId="3" applyNumberFormat="1" applyFont="1" applyAlignment="1">
      <alignment horizontal="left" vertical="center"/>
    </xf>
    <xf numFmtId="4" fontId="15" fillId="0" borderId="0" xfId="3" applyNumberFormat="1"/>
    <xf numFmtId="176" fontId="80" fillId="33" borderId="26" xfId="17" applyNumberFormat="1"/>
    <xf numFmtId="0" fontId="80" fillId="33" borderId="26" xfId="17"/>
    <xf numFmtId="0" fontId="79" fillId="32" borderId="26" xfId="16"/>
    <xf numFmtId="0" fontId="15" fillId="0" borderId="0" xfId="18"/>
    <xf numFmtId="4" fontId="18" fillId="31" borderId="8" xfId="15" applyNumberFormat="1" applyBorder="1" applyAlignment="1">
      <alignment horizontal="left" vertical="center"/>
    </xf>
    <xf numFmtId="4" fontId="81" fillId="14" borderId="8" xfId="18" applyNumberFormat="1" applyFont="1" applyFill="1" applyBorder="1" applyAlignment="1">
      <alignment horizontal="left" vertical="center"/>
    </xf>
    <xf numFmtId="4" fontId="81" fillId="14" borderId="1" xfId="18" applyNumberFormat="1" applyFont="1" applyFill="1" applyBorder="1" applyAlignment="1">
      <alignment horizontal="left" vertical="center"/>
    </xf>
    <xf numFmtId="176" fontId="15" fillId="0" borderId="0" xfId="18" applyNumberFormat="1"/>
    <xf numFmtId="174" fontId="15" fillId="0" borderId="0" xfId="18" applyNumberFormat="1"/>
    <xf numFmtId="4" fontId="18" fillId="31" borderId="0" xfId="15" applyNumberFormat="1" applyAlignment="1">
      <alignment horizontal="left" vertical="center"/>
    </xf>
    <xf numFmtId="4" fontId="81" fillId="0" borderId="0" xfId="18" applyNumberFormat="1" applyFont="1" applyAlignment="1">
      <alignment horizontal="left" vertical="center"/>
    </xf>
    <xf numFmtId="4" fontId="18" fillId="31" borderId="29" xfId="15" applyNumberFormat="1" applyBorder="1" applyAlignment="1">
      <alignment horizontal="right" vertical="center" wrapText="1"/>
    </xf>
    <xf numFmtId="4" fontId="81" fillId="0" borderId="29" xfId="19" applyNumberFormat="1" applyFont="1" applyBorder="1" applyAlignment="1">
      <alignment horizontal="right" vertical="center" wrapText="1"/>
    </xf>
    <xf numFmtId="4" fontId="81" fillId="0" borderId="29" xfId="3" applyNumberFormat="1" applyFont="1" applyBorder="1" applyAlignment="1">
      <alignment horizontal="right" vertical="center" wrapText="1"/>
    </xf>
    <xf numFmtId="0" fontId="81" fillId="0" borderId="29" xfId="3" applyFont="1" applyBorder="1" applyAlignment="1">
      <alignment horizontal="left" vertical="center" wrapText="1"/>
    </xf>
    <xf numFmtId="0" fontId="1" fillId="0" borderId="0" xfId="20"/>
    <xf numFmtId="0" fontId="18" fillId="31" borderId="29" xfId="15" applyBorder="1" applyAlignment="1">
      <alignment horizontal="center" vertical="center" wrapText="1"/>
    </xf>
    <xf numFmtId="0" fontId="82" fillId="35" borderId="29" xfId="19" applyFont="1" applyFill="1" applyBorder="1" applyAlignment="1">
      <alignment horizontal="center" vertical="center" wrapText="1"/>
    </xf>
    <xf numFmtId="0" fontId="82" fillId="34" borderId="29" xfId="13" applyFont="1" applyFill="1" applyBorder="1" applyAlignment="1">
      <alignment horizontal="center" vertical="center" wrapText="1"/>
    </xf>
    <xf numFmtId="0" fontId="82" fillId="34" borderId="29" xfId="3" applyFont="1" applyFill="1" applyBorder="1" applyAlignment="1">
      <alignment horizontal="center" vertical="center" wrapText="1"/>
    </xf>
    <xf numFmtId="181" fontId="83" fillId="0" borderId="25" xfId="21" applyNumberFormat="1"/>
    <xf numFmtId="0" fontId="76" fillId="0" borderId="0" xfId="3" applyFont="1"/>
    <xf numFmtId="165" fontId="78" fillId="0" borderId="0" xfId="14" applyNumberFormat="1" applyFill="1"/>
    <xf numFmtId="0" fontId="78" fillId="0" borderId="0" xfId="14" applyFill="1"/>
    <xf numFmtId="165" fontId="78" fillId="0" borderId="30" xfId="14" applyNumberFormat="1" applyFill="1" applyBorder="1" applyAlignment="1">
      <alignment horizontal="left"/>
    </xf>
    <xf numFmtId="0" fontId="4" fillId="4" borderId="0" xfId="3" applyFont="1" applyFill="1" applyAlignment="1">
      <alignment vertical="center"/>
    </xf>
    <xf numFmtId="0" fontId="10" fillId="4" borderId="0" xfId="3" applyFont="1" applyFill="1" applyAlignment="1">
      <alignment horizontal="center" vertical="center"/>
    </xf>
    <xf numFmtId="0" fontId="9" fillId="4" borderId="0" xfId="2" applyFill="1" applyAlignment="1">
      <alignment vertical="center"/>
    </xf>
    <xf numFmtId="0" fontId="20" fillId="0" borderId="7" xfId="0" applyFont="1" applyBorder="1" applyAlignment="1">
      <alignment horizontal="center" vertical="top"/>
    </xf>
    <xf numFmtId="0" fontId="20" fillId="0" borderId="1" xfId="0" applyFont="1" applyBorder="1" applyAlignment="1">
      <alignment horizontal="center" vertical="top"/>
    </xf>
    <xf numFmtId="0" fontId="20" fillId="0" borderId="8" xfId="0" applyFont="1" applyBorder="1" applyAlignment="1">
      <alignment horizontal="center" vertical="top"/>
    </xf>
    <xf numFmtId="0" fontId="49" fillId="0" borderId="14" xfId="0" applyFont="1" applyBorder="1" applyAlignment="1">
      <alignment horizontal="left" vertical="top"/>
    </xf>
    <xf numFmtId="0" fontId="49" fillId="0" borderId="13" xfId="0" applyFont="1" applyBorder="1" applyAlignment="1">
      <alignment horizontal="left" vertical="top"/>
    </xf>
    <xf numFmtId="0" fontId="49" fillId="0" borderId="14" xfId="0" applyFont="1" applyBorder="1" applyAlignment="1">
      <alignment horizontal="center" vertical="top" wrapText="1"/>
    </xf>
    <xf numFmtId="0" fontId="49" fillId="0" borderId="13" xfId="0" applyFont="1" applyBorder="1" applyAlignment="1">
      <alignment horizontal="center" vertical="top" wrapText="1"/>
    </xf>
    <xf numFmtId="0" fontId="49" fillId="0" borderId="5" xfId="0" applyFont="1" applyBorder="1" applyAlignment="1">
      <alignment horizontal="center" vertical="top"/>
    </xf>
    <xf numFmtId="0" fontId="0" fillId="0" borderId="5" xfId="0" applyBorder="1" applyAlignment="1">
      <alignment horizontal="left" vertical="top" wrapText="1"/>
    </xf>
    <xf numFmtId="0" fontId="0" fillId="0" borderId="0" xfId="0" applyAlignment="1">
      <alignment horizontal="left" vertical="center" wrapText="1"/>
    </xf>
    <xf numFmtId="0" fontId="49" fillId="0" borderId="7" xfId="0" applyFont="1" applyBorder="1" applyAlignment="1">
      <alignment horizontal="center" vertical="top"/>
    </xf>
    <xf numFmtId="0" fontId="49" fillId="0" borderId="1" xfId="0" applyFont="1" applyBorder="1" applyAlignment="1">
      <alignment horizontal="center" vertical="top"/>
    </xf>
    <xf numFmtId="0" fontId="49" fillId="0" borderId="8" xfId="0" applyFont="1" applyBorder="1" applyAlignment="1">
      <alignment horizontal="center" vertical="top"/>
    </xf>
    <xf numFmtId="0" fontId="49" fillId="0" borderId="5" xfId="0" applyFont="1" applyBorder="1" applyAlignment="1">
      <alignment horizontal="left" vertical="top" wrapText="1"/>
    </xf>
    <xf numFmtId="0" fontId="20" fillId="0" borderId="5" xfId="0" applyFont="1" applyBorder="1" applyAlignment="1">
      <alignment horizontal="center" wrapText="1"/>
    </xf>
    <xf numFmtId="0" fontId="0" fillId="0" borderId="5" xfId="0" applyBorder="1" applyAlignment="1">
      <alignment horizontal="center" vertical="center" wrapText="1"/>
    </xf>
    <xf numFmtId="0" fontId="0" fillId="0" borderId="5" xfId="0" applyBorder="1" applyAlignment="1">
      <alignment horizontal="center" vertical="center"/>
    </xf>
    <xf numFmtId="0" fontId="20" fillId="0" borderId="5" xfId="0" applyFont="1" applyBorder="1" applyAlignment="1">
      <alignment horizontal="center"/>
    </xf>
    <xf numFmtId="0" fontId="49" fillId="0" borderId="5" xfId="0" applyFont="1" applyBorder="1" applyAlignment="1">
      <alignment horizontal="left" vertical="top"/>
    </xf>
    <xf numFmtId="0" fontId="49" fillId="0" borderId="5" xfId="0" applyFont="1" applyBorder="1" applyAlignment="1">
      <alignment horizontal="center" vertical="top" wrapText="1"/>
    </xf>
    <xf numFmtId="0" fontId="50" fillId="0" borderId="5" xfId="0" applyFont="1" applyBorder="1" applyAlignment="1">
      <alignment horizontal="center" vertical="top"/>
    </xf>
    <xf numFmtId="0" fontId="0" fillId="12" borderId="7" xfId="0" applyFill="1" applyBorder="1" applyAlignment="1">
      <alignment horizontal="center" vertical="top" wrapText="1"/>
    </xf>
    <xf numFmtId="0" fontId="0" fillId="12" borderId="1" xfId="0" applyFill="1" applyBorder="1" applyAlignment="1">
      <alignment horizontal="center" vertical="top" wrapText="1"/>
    </xf>
    <xf numFmtId="0" fontId="0" fillId="12" borderId="8" xfId="0" applyFill="1" applyBorder="1" applyAlignment="1">
      <alignment horizontal="center" vertical="top" wrapText="1"/>
    </xf>
    <xf numFmtId="0" fontId="42" fillId="12" borderId="5" xfId="0" applyFont="1" applyFill="1" applyBorder="1" applyAlignment="1">
      <alignment horizontal="left" vertical="top" wrapText="1"/>
    </xf>
    <xf numFmtId="0" fontId="20" fillId="0" borderId="0" xfId="0" applyFont="1" applyAlignment="1">
      <alignment horizontal="center" vertical="center"/>
    </xf>
  </cellXfs>
  <cellStyles count="22">
    <cellStyle name="Accent1" xfId="1" builtinId="29"/>
    <cellStyle name="Bad" xfId="15" builtinId="27"/>
    <cellStyle name="Bad 2" xfId="11" xr:uid="{2B7E82F1-E1CA-4302-B431-84D2548D82A7}"/>
    <cellStyle name="Calculation" xfId="17" builtinId="22"/>
    <cellStyle name="Comma 2" xfId="6" xr:uid="{58576C0A-0C51-4ED4-840E-32BF71D6E341}"/>
    <cellStyle name="Comma 2 3 3" xfId="7" xr:uid="{D0C87327-DF77-46D9-858C-6AC6F26EE903}"/>
    <cellStyle name="External" xfId="12" xr:uid="{61D4E690-4B03-4BE6-B587-F5BCC7DB9A68}"/>
    <cellStyle name="Heading 1" xfId="4" builtinId="16"/>
    <cellStyle name="Heading 2 2 2" xfId="21" xr:uid="{2A544DCC-E3F9-4989-9F1B-D417E388C522}"/>
    <cellStyle name="Heading 4" xfId="14" builtinId="19"/>
    <cellStyle name="Hyperlink" xfId="2" builtinId="8"/>
    <cellStyle name="Hyperlink 2" xfId="8" xr:uid="{95700465-0011-4282-BD10-6B0072F5725C}"/>
    <cellStyle name="Input" xfId="16" builtinId="20"/>
    <cellStyle name="Normal" xfId="0" builtinId="0"/>
    <cellStyle name="Normal 13" xfId="20" xr:uid="{A6D5C517-DF70-4B90-BE27-87A6E792C544}"/>
    <cellStyle name="Normal 2" xfId="3" xr:uid="{7087FE7C-195B-45A9-A3C0-D540E83C550D}"/>
    <cellStyle name="Normal 2 2" xfId="13" xr:uid="{D62F4AFB-78C5-40B1-A976-0BE57D75CB17}"/>
    <cellStyle name="Normal 2 2 2" xfId="18" xr:uid="{9A7F23E3-ACAE-451A-BD17-948057160186}"/>
    <cellStyle name="Normal 2 3 2" xfId="19" xr:uid="{623A7E24-7559-445C-A0ED-F85091FA2923}"/>
    <cellStyle name="Normal 7 4 2" xfId="5" xr:uid="{291E1FAD-22B5-40BE-A770-6F8D1B1BEAC4}"/>
    <cellStyle name="Percent 2" xfId="9" xr:uid="{6DB0C260-086B-4273-A468-7A2D277710EB}"/>
    <cellStyle name="Percent 2 2" xfId="10" xr:uid="{F0427A31-2038-4062-A6A7-2D8014DAEBC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'Aviation Synfuel Data'!$G$3:$K$3</c:f>
              <c:numCache>
                <c:formatCode>General</c:formatCode>
                <c:ptCount val="5"/>
                <c:pt idx="0">
                  <c:v>2020</c:v>
                </c:pt>
                <c:pt idx="1">
                  <c:v>2030</c:v>
                </c:pt>
                <c:pt idx="2">
                  <c:v>2035</c:v>
                </c:pt>
                <c:pt idx="3">
                  <c:v>2040</c:v>
                </c:pt>
                <c:pt idx="4">
                  <c:v>2050</c:v>
                </c:pt>
              </c:numCache>
            </c:numRef>
          </c:xVal>
          <c:yVal>
            <c:numRef>
              <c:f>'Aviation Synfuel Data'!$G$15:$K$15</c:f>
              <c:numCache>
                <c:formatCode>_-* #,##0_-;\-* #,##0_-;_-* "-"??_-;_-@_-</c:formatCode>
                <c:ptCount val="5"/>
                <c:pt idx="0">
                  <c:v>477.77194211017741</c:v>
                </c:pt>
                <c:pt idx="1">
                  <c:v>409.54154566812338</c:v>
                </c:pt>
                <c:pt idx="2">
                  <c:v>370.42417059229018</c:v>
                </c:pt>
                <c:pt idx="3" formatCode="_(* #,##0.00_);_(* \(#,##0.00\);_(* &quot;-&quot;??_);_(@_)">
                  <c:v>331.30679551645699</c:v>
                </c:pt>
                <c:pt idx="4" formatCode="_(* #,##0.00_);_(* \(#,##0.00\);_(* &quot;-&quot;??_);_(@_)">
                  <c:v>284.83453783282306</c:v>
                </c:pt>
              </c:numCache>
            </c:numRef>
          </c:yVal>
          <c:smooth val="0"/>
          <c:extLst>
            <c:ext xmlns:c16="http://schemas.microsoft.com/office/drawing/2014/chart" uri="{C3380CC4-5D6E-409C-BE32-E72D297353CC}">
              <c16:uniqueId val="{00000000-1BC0-48A6-8E58-B499178CD71D}"/>
            </c:ext>
          </c:extLst>
        </c:ser>
        <c:dLbls>
          <c:showLegendKey val="0"/>
          <c:showVal val="0"/>
          <c:showCatName val="0"/>
          <c:showSerName val="0"/>
          <c:showPercent val="0"/>
          <c:showBubbleSize val="0"/>
        </c:dLbls>
        <c:axId val="594088336"/>
        <c:axId val="594091248"/>
      </c:scatterChart>
      <c:valAx>
        <c:axId val="594088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91248"/>
        <c:crosses val="autoZero"/>
        <c:crossBetween val="midCat"/>
      </c:valAx>
      <c:valAx>
        <c:axId val="59409124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08833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'Hydrogen-ELT'!$F$14:$H$14</c:f>
              <c:numCache>
                <c:formatCode>0.00</c:formatCode>
                <c:ptCount val="3"/>
                <c:pt idx="0">
                  <c:v>0.57999999999999996</c:v>
                </c:pt>
                <c:pt idx="1">
                  <c:v>0.65500000000000003</c:v>
                </c:pt>
                <c:pt idx="2">
                  <c:v>0.70499999999999996</c:v>
                </c:pt>
              </c:numCache>
            </c:numRef>
          </c:yVal>
          <c:smooth val="0"/>
          <c:extLst>
            <c:ext xmlns:c16="http://schemas.microsoft.com/office/drawing/2014/chart" uri="{C3380CC4-5D6E-409C-BE32-E72D297353CC}">
              <c16:uniqueId val="{00000001-D2EC-4D12-BA08-C5678137DE93}"/>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'Hydrogen-ELT'!$C$10</c:f>
          <c:strCache>
            <c:ptCount val="1"/>
            <c:pt idx="0">
              <c:v>Tlife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power"/>
            <c:forward val="15"/>
            <c:dispRSqr val="1"/>
            <c:dispEq val="1"/>
            <c:trendlineLbl>
              <c:layout>
                <c:manualLayout>
                  <c:x val="8.2934437882764653E-2"/>
                  <c:y val="0.17576190476190476"/>
                </c:manualLayout>
              </c:layout>
              <c:numFmt formatCode="General" sourceLinked="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'Hydrogen-ELT'!$F$10:$H$10</c:f>
              <c:numCache>
                <c:formatCode>0</c:formatCode>
                <c:ptCount val="3"/>
                <c:pt idx="0">
                  <c:v>7.6103500761035017</c:v>
                </c:pt>
                <c:pt idx="1">
                  <c:v>9.512937595129376</c:v>
                </c:pt>
                <c:pt idx="2">
                  <c:v>15.854895991882291</c:v>
                </c:pt>
              </c:numCache>
            </c:numRef>
          </c:yVal>
          <c:smooth val="0"/>
          <c:extLst>
            <c:ext xmlns:c16="http://schemas.microsoft.com/office/drawing/2014/chart" uri="{C3380CC4-5D6E-409C-BE32-E72D297353CC}">
              <c16:uniqueId val="{00000001-0302-400B-AB95-02713BB2B056}"/>
            </c:ext>
          </c:extLst>
        </c:ser>
        <c:dLbls>
          <c:showLegendKey val="0"/>
          <c:showVal val="0"/>
          <c:showCatName val="0"/>
          <c:showSerName val="0"/>
          <c:showPercent val="0"/>
          <c:showBubbleSize val="0"/>
        </c:dLbls>
        <c:axId val="622201984"/>
        <c:axId val="622202376"/>
      </c:scatterChart>
      <c:valAx>
        <c:axId val="6222019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2376"/>
        <c:crosses val="autoZero"/>
        <c:crossBetween val="midCat"/>
      </c:valAx>
      <c:valAx>
        <c:axId val="622202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19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'Hydrogen-ELT'!$C$14</c:f>
          <c:strCache>
            <c:ptCount val="1"/>
            <c:pt idx="0">
              <c:v>Electrical Efficiency (LHV)</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5272965879265091"/>
                  <c:y val="-0.24289576302962129"/>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'Hydrogen-ELT'!$F$5:$H$5</c:f>
              <c:numCache>
                <c:formatCode>General</c:formatCode>
                <c:ptCount val="3"/>
                <c:pt idx="0">
                  <c:v>2020</c:v>
                </c:pt>
                <c:pt idx="1">
                  <c:v>2030</c:v>
                </c:pt>
                <c:pt idx="2">
                  <c:v>2035</c:v>
                </c:pt>
              </c:numCache>
            </c:numRef>
          </c:xVal>
          <c:yVal>
            <c:numRef>
              <c:f>'Hydrogen-ELT'!$F$15:$H$15</c:f>
              <c:numCache>
                <c:formatCode>0.00</c:formatCode>
                <c:ptCount val="3"/>
                <c:pt idx="0">
                  <c:v>0.66500000000000004</c:v>
                </c:pt>
                <c:pt idx="1">
                  <c:v>0.68</c:v>
                </c:pt>
                <c:pt idx="2">
                  <c:v>0.75</c:v>
                </c:pt>
              </c:numCache>
            </c:numRef>
          </c:yVal>
          <c:smooth val="0"/>
          <c:extLst>
            <c:ext xmlns:c16="http://schemas.microsoft.com/office/drawing/2014/chart" uri="{C3380CC4-5D6E-409C-BE32-E72D297353CC}">
              <c16:uniqueId val="{00000001-7C88-4AE5-B767-565D161912AB}"/>
            </c:ext>
          </c:extLst>
        </c:ser>
        <c:dLbls>
          <c:showLegendKey val="0"/>
          <c:showVal val="0"/>
          <c:showCatName val="0"/>
          <c:showSerName val="0"/>
          <c:showPercent val="0"/>
          <c:showBubbleSize val="0"/>
        </c:dLbls>
        <c:axId val="622199632"/>
        <c:axId val="622200024"/>
      </c:scatterChart>
      <c:valAx>
        <c:axId val="6221996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00024"/>
        <c:crosses val="autoZero"/>
        <c:crossBetween val="midCat"/>
      </c:valAx>
      <c:valAx>
        <c:axId val="622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19963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'Hydrogen-ELT'!$B$6</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'Hydrogen-ELT'!$A$6</c:f>
              <c:strCache>
                <c:ptCount val="1"/>
                <c:pt idx="0">
                  <c:v>UELEP1HGN</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'Hydrogen-ELT'!$F$6:$J$6</c:f>
              <c:numCache>
                <c:formatCode>0</c:formatCode>
                <c:ptCount val="5"/>
                <c:pt idx="0">
                  <c:v>19642.016806722688</c:v>
                </c:pt>
                <c:pt idx="1">
                  <c:v>13546.218487394957</c:v>
                </c:pt>
                <c:pt idx="2">
                  <c:v>7450.4201680672268</c:v>
                </c:pt>
                <c:pt idx="3">
                  <c:v>6271.0466004583659</c:v>
                </c:pt>
                <c:pt idx="4">
                  <c:v>5091.6730328495041</c:v>
                </c:pt>
              </c:numCache>
            </c:numRef>
          </c:yVal>
          <c:smooth val="0"/>
          <c:extLst>
            <c:ext xmlns:c16="http://schemas.microsoft.com/office/drawing/2014/chart" uri="{C3380CC4-5D6E-409C-BE32-E72D297353CC}">
              <c16:uniqueId val="{00000000-40CF-4135-B9F3-271D7B542C3E}"/>
            </c:ext>
          </c:extLst>
        </c:ser>
        <c:ser>
          <c:idx val="1"/>
          <c:order val="1"/>
          <c:tx>
            <c:strRef>
              <c:f>'Hydrogen-ELT'!$A$7</c:f>
              <c:strCache>
                <c:ptCount val="1"/>
                <c:pt idx="0">
                  <c:v>UELEA1HGN</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'Hydrogen-ELT'!$F$5:$J$5</c:f>
              <c:numCache>
                <c:formatCode>General</c:formatCode>
                <c:ptCount val="5"/>
                <c:pt idx="0">
                  <c:v>2020</c:v>
                </c:pt>
                <c:pt idx="1">
                  <c:v>2030</c:v>
                </c:pt>
                <c:pt idx="2">
                  <c:v>2035</c:v>
                </c:pt>
                <c:pt idx="3">
                  <c:v>2040</c:v>
                </c:pt>
                <c:pt idx="4">
                  <c:v>2050</c:v>
                </c:pt>
              </c:numCache>
            </c:numRef>
          </c:xVal>
          <c:yVal>
            <c:numRef>
              <c:f>'Hydrogen-ELT'!$F$7:$J$7</c:f>
              <c:numCache>
                <c:formatCode>0</c:formatCode>
                <c:ptCount val="5"/>
                <c:pt idx="0">
                  <c:v>12868.90756302521</c:v>
                </c:pt>
                <c:pt idx="1">
                  <c:v>9482.3529411764703</c:v>
                </c:pt>
                <c:pt idx="2">
                  <c:v>6095.7983193277314</c:v>
                </c:pt>
                <c:pt idx="3">
                  <c:v>4856.9561157796461</c:v>
                </c:pt>
                <c:pt idx="4">
                  <c:v>3618.1139122315594</c:v>
                </c:pt>
              </c:numCache>
            </c:numRef>
          </c:yVal>
          <c:smooth val="0"/>
          <c:extLst>
            <c:ext xmlns:c16="http://schemas.microsoft.com/office/drawing/2014/chart" uri="{C3380CC4-5D6E-409C-BE32-E72D297353CC}">
              <c16:uniqueId val="{00000001-40CF-4135-B9F3-271D7B542C3E}"/>
            </c:ext>
          </c:extLst>
        </c:ser>
        <c:dLbls>
          <c:showLegendKey val="0"/>
          <c:showVal val="0"/>
          <c:showCatName val="0"/>
          <c:showSerName val="0"/>
          <c:showPercent val="0"/>
          <c:showBubbleSize val="0"/>
        </c:dLbls>
        <c:axId val="1785890144"/>
        <c:axId val="1785888896"/>
      </c:scatterChart>
      <c:valAx>
        <c:axId val="178589014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88896"/>
        <c:crosses val="autoZero"/>
        <c:crossBetween val="midCat"/>
      </c:valAx>
      <c:valAx>
        <c:axId val="1785888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8901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forward val="1000"/>
            <c:intercept val="0"/>
            <c:dispRSqr val="1"/>
            <c:dispEq val="1"/>
            <c:trendlineLbl>
              <c:layout>
                <c:manualLayout>
                  <c:x val="-0.31718873144435961"/>
                  <c:y val="-9.815190953617825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trendline>
            <c:spPr>
              <a:ln w="19050" cap="rnd">
                <a:solidFill>
                  <a:schemeClr val="accent1"/>
                </a:solidFill>
                <a:prstDash val="sysDot"/>
              </a:ln>
              <a:effectLst/>
            </c:spPr>
            <c:trendlineType val="log"/>
            <c:forward val="1000"/>
            <c:dispRSqr val="1"/>
            <c:dispEq val="1"/>
            <c:trendlineLbl>
              <c:layout>
                <c:manualLayout>
                  <c:x val="-0.48806133663755202"/>
                  <c:y val="-0.2355862117783078"/>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H2Storage!$C$118:$G$118</c:f>
              <c:numCache>
                <c:formatCode>General</c:formatCode>
                <c:ptCount val="5"/>
                <c:pt idx="0">
                  <c:v>20</c:v>
                </c:pt>
                <c:pt idx="1">
                  <c:v>350</c:v>
                </c:pt>
                <c:pt idx="2">
                  <c:v>350</c:v>
                </c:pt>
                <c:pt idx="3">
                  <c:v>700</c:v>
                </c:pt>
                <c:pt idx="4">
                  <c:v>700</c:v>
                </c:pt>
              </c:numCache>
            </c:numRef>
          </c:xVal>
          <c:yVal>
            <c:numRef>
              <c:f>H2Storage!$C$119:$G$119</c:f>
              <c:numCache>
                <c:formatCode>General</c:formatCode>
                <c:ptCount val="5"/>
                <c:pt idx="0">
                  <c:v>1.02</c:v>
                </c:pt>
                <c:pt idx="1">
                  <c:v>2</c:v>
                </c:pt>
                <c:pt idx="2">
                  <c:v>2.2000000000000002</c:v>
                </c:pt>
                <c:pt idx="3">
                  <c:v>2.9</c:v>
                </c:pt>
                <c:pt idx="4">
                  <c:v>3.2</c:v>
                </c:pt>
              </c:numCache>
            </c:numRef>
          </c:yVal>
          <c:smooth val="0"/>
          <c:extLst>
            <c:ext xmlns:c16="http://schemas.microsoft.com/office/drawing/2014/chart" uri="{C3380CC4-5D6E-409C-BE32-E72D297353CC}">
              <c16:uniqueId val="{00000002-8B2B-4A6A-84D7-23E72A05EC43}"/>
            </c:ext>
          </c:extLst>
        </c:ser>
        <c:dLbls>
          <c:showLegendKey val="0"/>
          <c:showVal val="0"/>
          <c:showCatName val="0"/>
          <c:showSerName val="0"/>
          <c:showPercent val="0"/>
          <c:showBubbleSize val="0"/>
        </c:dLbls>
        <c:axId val="191170799"/>
        <c:axId val="191169135"/>
      </c:scatterChart>
      <c:valAx>
        <c:axId val="1911707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69135"/>
        <c:crosses val="autoZero"/>
        <c:crossBetween val="midCat"/>
      </c:valAx>
      <c:valAx>
        <c:axId val="19116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kWh/kg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170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H2Storage!$B$3</c:f>
          <c:strCache>
            <c:ptCount val="1"/>
            <c:pt idx="0">
              <c:v>NCAP_COST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H2Storage!$F$2:$J$2</c:f>
              <c:numCache>
                <c:formatCode>General</c:formatCode>
                <c:ptCount val="5"/>
                <c:pt idx="0">
                  <c:v>2020</c:v>
                </c:pt>
                <c:pt idx="1">
                  <c:v>2030</c:v>
                </c:pt>
                <c:pt idx="2">
                  <c:v>2035</c:v>
                </c:pt>
                <c:pt idx="3">
                  <c:v>2040</c:v>
                </c:pt>
                <c:pt idx="4">
                  <c:v>2050</c:v>
                </c:pt>
              </c:numCache>
            </c:numRef>
          </c:xVal>
          <c:yVal>
            <c:numRef>
              <c:f>H2Storage!$F$3:$J$3</c:f>
              <c:numCache>
                <c:formatCode>0.00</c:formatCode>
                <c:ptCount val="5"/>
                <c:pt idx="0" formatCode="0">
                  <c:v>46896.125174280474</c:v>
                </c:pt>
                <c:pt idx="1">
                  <c:v>43674.479600333063</c:v>
                </c:pt>
                <c:pt idx="2">
                  <c:v>32512.019553597809</c:v>
                </c:pt>
                <c:pt idx="3" formatCode="0">
                  <c:v>28141.935483870966</c:v>
                </c:pt>
                <c:pt idx="4">
                  <c:v>28141.935483870966</c:v>
                </c:pt>
              </c:numCache>
            </c:numRef>
          </c:yVal>
          <c:smooth val="0"/>
          <c:extLst>
            <c:ext xmlns:c16="http://schemas.microsoft.com/office/drawing/2014/chart" uri="{C3380CC4-5D6E-409C-BE32-E72D297353CC}">
              <c16:uniqueId val="{00000000-3E15-4E47-99B2-18E7C47A031E}"/>
            </c:ext>
          </c:extLst>
        </c:ser>
        <c:dLbls>
          <c:showLegendKey val="0"/>
          <c:showVal val="0"/>
          <c:showCatName val="0"/>
          <c:showSerName val="0"/>
          <c:showPercent val="0"/>
          <c:showBubbleSize val="0"/>
        </c:dLbls>
        <c:axId val="413325935"/>
        <c:axId val="413331759"/>
      </c:scatterChart>
      <c:valAx>
        <c:axId val="413325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31759"/>
        <c:crosses val="autoZero"/>
        <c:crossBetween val="midCat"/>
      </c:valAx>
      <c:valAx>
        <c:axId val="413331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33259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9.png"/><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10" Type="http://schemas.openxmlformats.org/officeDocument/2006/relationships/image" Target="../media/image17.png"/><Relationship Id="rId4" Type="http://schemas.openxmlformats.org/officeDocument/2006/relationships/image" Target="../media/image13.pn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oneCellAnchor>
    <xdr:from>
      <xdr:col>1</xdr:col>
      <xdr:colOff>1199029</xdr:colOff>
      <xdr:row>153</xdr:row>
      <xdr:rowOff>56029</xdr:rowOff>
    </xdr:from>
    <xdr:ext cx="4714314" cy="3492270"/>
    <xdr:pic>
      <xdr:nvPicPr>
        <xdr:cNvPr id="2" name="Picture 1">
          <a:extLst>
            <a:ext uri="{FF2B5EF4-FFF2-40B4-BE49-F238E27FC236}">
              <a16:creationId xmlns:a16="http://schemas.microsoft.com/office/drawing/2014/main" id="{A65F091E-13C0-4E29-8535-32CBE659F3EC}"/>
            </a:ext>
          </a:extLst>
        </xdr:cNvPr>
        <xdr:cNvPicPr>
          <a:picLocks noChangeAspect="1"/>
        </xdr:cNvPicPr>
      </xdr:nvPicPr>
      <xdr:blipFill>
        <a:blip xmlns:r="http://schemas.openxmlformats.org/officeDocument/2006/relationships" r:embed="rId1"/>
        <a:stretch>
          <a:fillRect/>
        </a:stretch>
      </xdr:blipFill>
      <xdr:spPr>
        <a:xfrm>
          <a:off x="1218079" y="29202529"/>
          <a:ext cx="4714314" cy="3492270"/>
        </a:xfrm>
        <a:prstGeom prst="rect">
          <a:avLst/>
        </a:prstGeom>
      </xdr:spPr>
    </xdr:pic>
    <xdr:clientData/>
  </xdr:oneCellAnchor>
  <xdr:twoCellAnchor>
    <xdr:from>
      <xdr:col>6</xdr:col>
      <xdr:colOff>414618</xdr:colOff>
      <xdr:row>114</xdr:row>
      <xdr:rowOff>89646</xdr:rowOff>
    </xdr:from>
    <xdr:to>
      <xdr:col>10</xdr:col>
      <xdr:colOff>179294</xdr:colOff>
      <xdr:row>120</xdr:row>
      <xdr:rowOff>134471</xdr:rowOff>
    </xdr:to>
    <xdr:graphicFrame macro="">
      <xdr:nvGraphicFramePr>
        <xdr:cNvPr id="3" name="Chart 2">
          <a:extLst>
            <a:ext uri="{FF2B5EF4-FFF2-40B4-BE49-F238E27FC236}">
              <a16:creationId xmlns:a16="http://schemas.microsoft.com/office/drawing/2014/main" id="{E5641AD4-90E0-4FE7-B8FE-0331A0608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10</xdr:col>
      <xdr:colOff>717176</xdr:colOff>
      <xdr:row>105</xdr:row>
      <xdr:rowOff>112059</xdr:rowOff>
    </xdr:from>
    <xdr:ext cx="8099613" cy="4753638"/>
    <xdr:pic>
      <xdr:nvPicPr>
        <xdr:cNvPr id="4" name="Picture 3">
          <a:extLst>
            <a:ext uri="{FF2B5EF4-FFF2-40B4-BE49-F238E27FC236}">
              <a16:creationId xmlns:a16="http://schemas.microsoft.com/office/drawing/2014/main" id="{9E8AD3D9-4B0C-45E5-ABA1-6227933CB278}"/>
            </a:ext>
          </a:extLst>
        </xdr:cNvPr>
        <xdr:cNvPicPr>
          <a:picLocks noChangeAspect="1"/>
        </xdr:cNvPicPr>
      </xdr:nvPicPr>
      <xdr:blipFill>
        <a:blip xmlns:r="http://schemas.openxmlformats.org/officeDocument/2006/relationships" r:embed="rId3"/>
        <a:stretch>
          <a:fillRect/>
        </a:stretch>
      </xdr:blipFill>
      <xdr:spPr>
        <a:xfrm>
          <a:off x="6708401" y="20114559"/>
          <a:ext cx="8099613" cy="4753638"/>
        </a:xfrm>
        <a:prstGeom prst="rect">
          <a:avLst/>
        </a:prstGeom>
      </xdr:spPr>
    </xdr:pic>
    <xdr:clientData/>
  </xdr:oneCellAnchor>
  <xdr:twoCellAnchor>
    <xdr:from>
      <xdr:col>19</xdr:col>
      <xdr:colOff>2</xdr:colOff>
      <xdr:row>140</xdr:row>
      <xdr:rowOff>22414</xdr:rowOff>
    </xdr:from>
    <xdr:to>
      <xdr:col>31</xdr:col>
      <xdr:colOff>504267</xdr:colOff>
      <xdr:row>148</xdr:row>
      <xdr:rowOff>302560</xdr:rowOff>
    </xdr:to>
    <xdr:sp macro="" textlink="">
      <xdr:nvSpPr>
        <xdr:cNvPr id="5" name="TextBox 4">
          <a:extLst>
            <a:ext uri="{FF2B5EF4-FFF2-40B4-BE49-F238E27FC236}">
              <a16:creationId xmlns:a16="http://schemas.microsoft.com/office/drawing/2014/main" id="{FED6AC29-7BC0-417E-A589-B28D94607E98}"/>
            </a:ext>
          </a:extLst>
        </xdr:cNvPr>
        <xdr:cNvSpPr txBox="1"/>
      </xdr:nvSpPr>
      <xdr:spPr>
        <a:xfrm>
          <a:off x="11582402" y="26692414"/>
          <a:ext cx="7819465" cy="16898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b="0" i="0" u="none" strike="noStrike">
              <a:solidFill>
                <a:schemeClr val="dk1"/>
              </a:solidFill>
              <a:effectLst/>
              <a:latin typeface="+mn-lt"/>
              <a:ea typeface="+mn-ea"/>
              <a:cs typeface="+mn-cs"/>
              <a:hlinkClick xmlns:r="http://schemas.openxmlformats.org/officeDocument/2006/relationships" r:id=""/>
            </a:rPr>
            <a:t>Hydrogen, Fuel Cells and Fuel Cell Vehicles</a:t>
          </a:r>
          <a:endParaRPr lang="en-ZA" sz="1100" b="0" i="0">
            <a:solidFill>
              <a:schemeClr val="dk1"/>
            </a:solidFill>
            <a:effectLst/>
            <a:latin typeface="+mn-lt"/>
            <a:ea typeface="+mn-ea"/>
            <a:cs typeface="+mn-cs"/>
          </a:endParaRPr>
        </a:p>
        <a:p>
          <a:r>
            <a:rPr lang="en-ZA" sz="1100" b="0" i="0">
              <a:solidFill>
                <a:schemeClr val="dk1"/>
              </a:solidFill>
              <a:effectLst/>
              <a:latin typeface="+mn-lt"/>
              <a:ea typeface="+mn-ea"/>
              <a:cs typeface="+mn-cs"/>
            </a:rPr>
            <a:t>Ronald M. Dell, ... David A.J. Rand, in </a:t>
          </a:r>
          <a:r>
            <a:rPr lang="en-ZA" sz="1100" b="0" i="0" u="none" strike="noStrike">
              <a:solidFill>
                <a:schemeClr val="dk1"/>
              </a:solidFill>
              <a:effectLst/>
              <a:latin typeface="+mn-lt"/>
              <a:ea typeface="+mn-ea"/>
              <a:cs typeface="+mn-cs"/>
              <a:hlinkClick xmlns:r="http://schemas.openxmlformats.org/officeDocument/2006/relationships" r:id=""/>
            </a:rPr>
            <a:t>Towards Sustainable Road Transport</a:t>
          </a:r>
          <a:r>
            <a:rPr lang="en-ZA" sz="1100" b="0" i="0">
              <a:solidFill>
                <a:schemeClr val="dk1"/>
              </a:solidFill>
              <a:effectLst/>
              <a:latin typeface="+mn-lt"/>
              <a:ea typeface="+mn-ea"/>
              <a:cs typeface="+mn-cs"/>
            </a:rPr>
            <a:t>, 2014</a:t>
          </a:r>
        </a:p>
        <a:p>
          <a:r>
            <a:rPr lang="en-ZA" sz="1100" b="0" i="0">
              <a:solidFill>
                <a:schemeClr val="dk1"/>
              </a:solidFill>
              <a:effectLst/>
              <a:latin typeface="+mn-lt"/>
              <a:ea typeface="+mn-ea"/>
              <a:cs typeface="+mn-cs"/>
            </a:rPr>
            <a:t>Fuel cell efficiency is a topic that has given rise to much confusion in the literature. One measure of efficiency is simply the practical cell-output voltage divided by the thermodynamically reversible voltage at the stated temperature and pressure of operation. This indicates how much free energy is lost by inefficiencies in operating the fuel cell stack, without regard to how much of the enthalpy of the reaction is liberated as heat (the </a:t>
          </a:r>
          <a:r>
            <a:rPr lang="en-ZA" sz="1100" b="0" i="1">
              <a:solidFill>
                <a:schemeClr val="dk1"/>
              </a:solidFill>
              <a:effectLst/>
              <a:latin typeface="+mn-lt"/>
              <a:ea typeface="+mn-ea"/>
              <a:cs typeface="+mn-cs"/>
            </a:rPr>
            <a:t>T</a:t>
          </a:r>
          <a:r>
            <a:rPr lang="el-GR" sz="1100" b="0" i="0">
              <a:solidFill>
                <a:schemeClr val="dk1"/>
              </a:solidFill>
              <a:effectLst/>
              <a:latin typeface="+mn-lt"/>
              <a:ea typeface="+mn-ea"/>
              <a:cs typeface="+mn-cs"/>
            </a:rPr>
            <a:t>Δ</a:t>
          </a:r>
          <a:r>
            <a:rPr lang="en-ZA" sz="1100" b="0" i="1">
              <a:solidFill>
                <a:schemeClr val="dk1"/>
              </a:solidFill>
              <a:effectLst/>
              <a:latin typeface="+mn-lt"/>
              <a:ea typeface="+mn-ea"/>
              <a:cs typeface="+mn-cs"/>
            </a:rPr>
            <a:t>S</a:t>
          </a:r>
          <a:r>
            <a:rPr lang="en-ZA" sz="1100" b="0" i="0">
              <a:solidFill>
                <a:schemeClr val="dk1"/>
              </a:solidFill>
              <a:effectLst/>
              <a:latin typeface="+mn-lt"/>
              <a:ea typeface="+mn-ea"/>
              <a:cs typeface="+mn-cs"/>
            </a:rPr>
            <a:t> term). For purposes of calculating overall energy efficiencies, it is necessary to compare the electrical output of the cell stack (in joules) with the enthalpy of the cell reaction, which for hydrogen fuel equates to the heat of formation of water. There are two values of this function: (i) a higher heating value (HHV), which corresponds to the product water being present as liquid; (ii) a lower heating value (LHV), which applies when the product water is present as uncondensed vapour or steam. The difference between the two values represents the latent heat of evaporation of water. For hydrogen, the HHV is approximately 18% greater than the LHV. In a low-temperature fuel cell, where the product is liquid water, the HHV should be employed in efficiency calculations, while for high-temperature fuel cells it may be permissible to use the LHV if the product steam is put to good use. Alternatively, the work done by the steam, for instance in driving a turbine, might be added to the electrical output and the combined figure compared with the HHV to calculate the overall efficiency. The resulting value will be 18% lower than that obtained when using the LHV for hydrogen.</a:t>
          </a:r>
        </a:p>
        <a:p>
          <a:endParaRPr lang="en-ZA" sz="1100"/>
        </a:p>
      </xdr:txBody>
    </xdr:sp>
    <xdr:clientData/>
  </xdr:twoCellAnchor>
  <xdr:twoCellAnchor>
    <xdr:from>
      <xdr:col>1</xdr:col>
      <xdr:colOff>1277470</xdr:colOff>
      <xdr:row>135</xdr:row>
      <xdr:rowOff>156882</xdr:rowOff>
    </xdr:from>
    <xdr:to>
      <xdr:col>8</xdr:col>
      <xdr:colOff>459441</xdr:colOff>
      <xdr:row>147</xdr:row>
      <xdr:rowOff>67236</xdr:rowOff>
    </xdr:to>
    <xdr:sp macro="" textlink="">
      <xdr:nvSpPr>
        <xdr:cNvPr id="6" name="TextBox 5">
          <a:extLst>
            <a:ext uri="{FF2B5EF4-FFF2-40B4-BE49-F238E27FC236}">
              <a16:creationId xmlns:a16="http://schemas.microsoft.com/office/drawing/2014/main" id="{DA1E91CF-0451-4947-B84E-50332D6106F5}"/>
            </a:ext>
          </a:extLst>
        </xdr:cNvPr>
        <xdr:cNvSpPr txBox="1"/>
      </xdr:nvSpPr>
      <xdr:spPr>
        <a:xfrm>
          <a:off x="1220320" y="25874382"/>
          <a:ext cx="4115921" cy="2196354"/>
        </a:xfrm>
        <a:prstGeom prst="rect">
          <a:avLst/>
        </a:prstGeom>
        <a:solidFill>
          <a:schemeClr val="accent6">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ZA" sz="1100"/>
            <a:t>Marchese (2021)</a:t>
          </a:r>
        </a:p>
        <a:p>
          <a:endParaRPr lang="en-ZA" sz="1100"/>
        </a:p>
        <a:p>
          <a:r>
            <a:rPr lang="en-ZA" sz="1100"/>
            <a:t>Decker et al. [63] provided a linear cost function for the FT system, with a specific capital cost of </a:t>
          </a:r>
          <a:r>
            <a:rPr lang="en-ZA" sz="1100" b="1" u="sng">
              <a:solidFill>
                <a:schemeClr val="accent2">
                  <a:lumMod val="75000"/>
                </a:schemeClr>
              </a:solidFill>
            </a:rPr>
            <a:t>530 €/kW </a:t>
          </a:r>
          <a:r>
            <a:rPr lang="en-ZA" sz="1100"/>
            <a:t>and an installation factor equal to 2.		</a:t>
          </a:r>
        </a:p>
        <a:p>
          <a:r>
            <a:rPr lang="en-ZA" sz="1100"/>
            <a:t>				</a:t>
          </a:r>
        </a:p>
        <a:p>
          <a:r>
            <a:rPr lang="en-ZA" sz="1100"/>
            <a:t>The sum of the capital costs after contingencies and installation		</a:t>
          </a:r>
        </a:p>
        <a:p>
          <a:r>
            <a:rPr lang="en-ZA" sz="1100"/>
            <a:t>factors of the different sections represented the plant CAPEX, assuming a	</a:t>
          </a:r>
        </a:p>
        <a:p>
          <a:r>
            <a:rPr lang="en-ZA" sz="1100"/>
            <a:t>confidence range of the investment costs as ± 30 % [64].		</a:t>
          </a:r>
        </a:p>
        <a:p>
          <a:r>
            <a:rPr lang="en-ZA" sz="1100"/>
            <a:t>				</a:t>
          </a:r>
        </a:p>
        <a:p>
          <a:r>
            <a:rPr lang="en-ZA" sz="1100"/>
            <a:t>8,000 operating hours per year;				</a:t>
          </a:r>
        </a:p>
        <a:p>
          <a:r>
            <a:rPr lang="en-ZA" sz="1100"/>
            <a:t>• plant lifetime of 25 years;				</a:t>
          </a:r>
        </a:p>
        <a:p>
          <a:r>
            <a:rPr lang="en-ZA" sz="1100"/>
            <a:t>• 2019 as the year for cost estimations (Chemical Engineering Plant				</a:t>
          </a:r>
        </a:p>
        <a:p>
          <a:r>
            <a:rPr lang="en-ZA" sz="1100"/>
            <a:t>Cost Index, CEPCI: 619 [55]);				</a:t>
          </a:r>
        </a:p>
        <a:p>
          <a:r>
            <a:rPr lang="en-ZA" sz="1100"/>
            <a:t>• Costs in euros, at an exchange rate $/€ of 1.145 when applied;		</a:t>
          </a:r>
        </a:p>
        <a:p>
          <a:r>
            <a:rPr lang="en-ZA" sz="1100"/>
            <a:t>• no remuneration of invested capital;			</a:t>
          </a:r>
        </a:p>
        <a:p>
          <a:r>
            <a:rPr lang="en-ZA" sz="1100"/>
            <a:t>• nor depreciation nor taxes, to be as more site-independent as	possible.				</a:t>
          </a:r>
        </a:p>
        <a:p>
          <a:r>
            <a:rPr lang="en-ZA" sz="1100"/>
            <a:t>		</a:t>
          </a:r>
        </a:p>
      </xdr:txBody>
    </xdr:sp>
    <xdr:clientData/>
  </xdr:twoCellAnchor>
  <xdr:oneCellAnchor>
    <xdr:from>
      <xdr:col>5</xdr:col>
      <xdr:colOff>78439</xdr:colOff>
      <xdr:row>128</xdr:row>
      <xdr:rowOff>33618</xdr:rowOff>
    </xdr:from>
    <xdr:ext cx="4451475" cy="1434353"/>
    <xdr:pic>
      <xdr:nvPicPr>
        <xdr:cNvPr id="7" name="Picture 6">
          <a:extLst>
            <a:ext uri="{FF2B5EF4-FFF2-40B4-BE49-F238E27FC236}">
              <a16:creationId xmlns:a16="http://schemas.microsoft.com/office/drawing/2014/main" id="{5BC44A8B-C263-4836-B9E1-D78D92495F5D}"/>
            </a:ext>
          </a:extLst>
        </xdr:cNvPr>
        <xdr:cNvPicPr>
          <a:picLocks noChangeAspect="1"/>
        </xdr:cNvPicPr>
      </xdr:nvPicPr>
      <xdr:blipFill>
        <a:blip xmlns:r="http://schemas.openxmlformats.org/officeDocument/2006/relationships" r:embed="rId4"/>
        <a:stretch>
          <a:fillRect/>
        </a:stretch>
      </xdr:blipFill>
      <xdr:spPr>
        <a:xfrm>
          <a:off x="3126439" y="24417618"/>
          <a:ext cx="4451475" cy="1434353"/>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xdr:col>
      <xdr:colOff>678180</xdr:colOff>
      <xdr:row>26</xdr:row>
      <xdr:rowOff>76200</xdr:rowOff>
    </xdr:from>
    <xdr:to>
      <xdr:col>3</xdr:col>
      <xdr:colOff>967740</xdr:colOff>
      <xdr:row>28</xdr:row>
      <xdr:rowOff>304800</xdr:rowOff>
    </xdr:to>
    <xdr:pic>
      <xdr:nvPicPr>
        <xdr:cNvPr id="2" name="Picture 2">
          <a:extLst>
            <a:ext uri="{FF2B5EF4-FFF2-40B4-BE49-F238E27FC236}">
              <a16:creationId xmlns:a16="http://schemas.microsoft.com/office/drawing/2014/main" id="{0B29474D-4EC2-42CC-903F-0C211162F204}"/>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897380" y="5029200"/>
          <a:ext cx="272796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17</xdr:col>
      <xdr:colOff>123264</xdr:colOff>
      <xdr:row>4</xdr:row>
      <xdr:rowOff>168087</xdr:rowOff>
    </xdr:from>
    <xdr:ext cx="5218580" cy="3950074"/>
    <xdr:pic>
      <xdr:nvPicPr>
        <xdr:cNvPr id="3" name="Picture 2">
          <a:extLst>
            <a:ext uri="{FF2B5EF4-FFF2-40B4-BE49-F238E27FC236}">
              <a16:creationId xmlns:a16="http://schemas.microsoft.com/office/drawing/2014/main" id="{F50F8B6A-0301-46D7-9084-CD467F779B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0849664" y="930087"/>
          <a:ext cx="5218580" cy="39500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23</xdr:col>
      <xdr:colOff>0</xdr:colOff>
      <xdr:row>25</xdr:row>
      <xdr:rowOff>0</xdr:rowOff>
    </xdr:from>
    <xdr:ext cx="5853448" cy="5206980"/>
    <xdr:pic>
      <xdr:nvPicPr>
        <xdr:cNvPr id="4" name="Picture 3">
          <a:extLst>
            <a:ext uri="{FF2B5EF4-FFF2-40B4-BE49-F238E27FC236}">
              <a16:creationId xmlns:a16="http://schemas.microsoft.com/office/drawing/2014/main" id="{3D770BF2-BC03-4701-873B-CE462FFFBE81}"/>
            </a:ext>
          </a:extLst>
        </xdr:cNvPr>
        <xdr:cNvPicPr>
          <a:picLocks noChangeAspect="1"/>
        </xdr:cNvPicPr>
      </xdr:nvPicPr>
      <xdr:blipFill>
        <a:blip xmlns:r="http://schemas.openxmlformats.org/officeDocument/2006/relationships" r:embed="rId3"/>
        <a:stretch>
          <a:fillRect/>
        </a:stretch>
      </xdr:blipFill>
      <xdr:spPr>
        <a:xfrm>
          <a:off x="28041600" y="4762500"/>
          <a:ext cx="5853448" cy="520698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0</xdr:col>
      <xdr:colOff>314325</xdr:colOff>
      <xdr:row>73</xdr:row>
      <xdr:rowOff>122959</xdr:rowOff>
    </xdr:from>
    <xdr:ext cx="5892331" cy="4487141"/>
    <xdr:pic>
      <xdr:nvPicPr>
        <xdr:cNvPr id="2" name="Picture 1">
          <a:extLst>
            <a:ext uri="{FF2B5EF4-FFF2-40B4-BE49-F238E27FC236}">
              <a16:creationId xmlns:a16="http://schemas.microsoft.com/office/drawing/2014/main" id="{11364323-642E-4A71-B868-EC9D0C8CCD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325" y="14029459"/>
          <a:ext cx="5892331" cy="448714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1009651</xdr:colOff>
      <xdr:row>19</xdr:row>
      <xdr:rowOff>95250</xdr:rowOff>
    </xdr:from>
    <xdr:ext cx="5867399" cy="3210035"/>
    <xdr:pic>
      <xdr:nvPicPr>
        <xdr:cNvPr id="3" name="Picture 2">
          <a:extLst>
            <a:ext uri="{FF2B5EF4-FFF2-40B4-BE49-F238E27FC236}">
              <a16:creationId xmlns:a16="http://schemas.microsoft.com/office/drawing/2014/main" id="{59C23524-FB56-4D76-9ACF-E5CA18D9F48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1" y="3714750"/>
          <a:ext cx="5867399" cy="32100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771525</xdr:colOff>
      <xdr:row>73</xdr:row>
      <xdr:rowOff>133350</xdr:rowOff>
    </xdr:from>
    <xdr:to>
      <xdr:col>12</xdr:col>
      <xdr:colOff>558512</xdr:colOff>
      <xdr:row>92</xdr:row>
      <xdr:rowOff>57150</xdr:rowOff>
    </xdr:to>
    <xdr:sp macro="" textlink="">
      <xdr:nvSpPr>
        <xdr:cNvPr id="4" name="TextBox 3">
          <a:extLst>
            <a:ext uri="{FF2B5EF4-FFF2-40B4-BE49-F238E27FC236}">
              <a16:creationId xmlns:a16="http://schemas.microsoft.com/office/drawing/2014/main" id="{5E891333-A636-4016-B8FC-70D716937A62}"/>
            </a:ext>
          </a:extLst>
        </xdr:cNvPr>
        <xdr:cNvSpPr txBox="1"/>
      </xdr:nvSpPr>
      <xdr:spPr>
        <a:xfrm>
          <a:off x="3657600" y="14039850"/>
          <a:ext cx="4216112" cy="354330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2019 </a:t>
          </a:r>
        </a:p>
        <a:p>
          <a:endParaRPr lang="en-GB" sz="1100"/>
        </a:p>
        <a:p>
          <a:r>
            <a:rPr lang="en-GB" sz="1100"/>
            <a:t>h2_storage (include elec for compression: e.g. a further 15 kilowatt-hours (54 MJ) if the hydrogen is compressed)</a:t>
          </a:r>
        </a:p>
        <a:p>
          <a:endParaRPr lang="en-GB" sz="1100"/>
        </a:p>
        <a:p>
          <a:r>
            <a:rPr lang="en-GB" sz="1100"/>
            <a:t>Efficiency of modern hydrogen generators is measured by energy consumed per standard volume of hydrogen (MJ/m3), assuming standard temperature and pressure of the H2. The lower the energy used by a generator, the higher would be its efficiency; a 100%-efficient electrolyser would consume 39.4 kilowatt-hours per kilogram (142 MJ/kg) of hydrogen,[35] 12,749 joules per litre (12.75 MJ/m3). Practical electrolysis (using a rotating electrolyser at 15 bar pressure) may consume 50 kilowatt-hours per kilogram (180 MJ/kg), and a further 15 kilowatt-hours (54 MJ) if the hydrogen is compressed for use in hydrogen cars.[36]</a:t>
          </a:r>
        </a:p>
        <a:p>
          <a:r>
            <a:rPr lang="en-GB" sz="1100"/>
            <a:t>https://en.wikipedia.org/wiki/Hydrogen_production</a:t>
          </a:r>
        </a:p>
        <a:p>
          <a:endParaRPr lang="en-GB" sz="1100"/>
        </a:p>
        <a:p>
          <a:r>
            <a:rPr lang="en-GB" sz="1100"/>
            <a:t>?check units in supply chain: mass or energy units for H2 in supply chain?</a:t>
          </a:r>
        </a:p>
        <a:p>
          <a:endParaRPr lang="en-GB" sz="1100"/>
        </a:p>
        <a:p>
          <a:r>
            <a:rPr lang="en-GB" sz="1100"/>
            <a:t>Presently available storage options typically require large-volume systems that store hydrogen in gaseous form. ... On a mass basis, hydrogen has nearly three times the energy content of gasoline—120 MJ/kg for hydrogen versus 44 MJ/kg for gasoline</a:t>
          </a:r>
        </a:p>
        <a:p>
          <a:r>
            <a:rPr lang="en-GB" sz="1100"/>
            <a:t>https://www.energy.gov/eere/fuelcells/hydrogen-storage</a:t>
          </a:r>
        </a:p>
        <a:p>
          <a:endParaRPr lang="en-GB" sz="1100"/>
        </a:p>
      </xdr:txBody>
    </xdr:sp>
    <xdr:clientData/>
  </xdr:twoCellAnchor>
  <xdr:twoCellAnchor>
    <xdr:from>
      <xdr:col>17</xdr:col>
      <xdr:colOff>0</xdr:colOff>
      <xdr:row>40</xdr:row>
      <xdr:rowOff>0</xdr:rowOff>
    </xdr:from>
    <xdr:to>
      <xdr:col>23</xdr:col>
      <xdr:colOff>0</xdr:colOff>
      <xdr:row>57</xdr:row>
      <xdr:rowOff>0</xdr:rowOff>
    </xdr:to>
    <xdr:graphicFrame macro="">
      <xdr:nvGraphicFramePr>
        <xdr:cNvPr id="5" name="Chart 4">
          <a:extLst>
            <a:ext uri="{FF2B5EF4-FFF2-40B4-BE49-F238E27FC236}">
              <a16:creationId xmlns:a16="http://schemas.microsoft.com/office/drawing/2014/main" id="{BEBE018D-D2AF-4E25-A217-AC3E194334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0</xdr:colOff>
      <xdr:row>40</xdr:row>
      <xdr:rowOff>0</xdr:rowOff>
    </xdr:from>
    <xdr:to>
      <xdr:col>29</xdr:col>
      <xdr:colOff>0</xdr:colOff>
      <xdr:row>57</xdr:row>
      <xdr:rowOff>0</xdr:rowOff>
    </xdr:to>
    <xdr:graphicFrame macro="">
      <xdr:nvGraphicFramePr>
        <xdr:cNvPr id="6" name="Chart 5">
          <a:extLst>
            <a:ext uri="{FF2B5EF4-FFF2-40B4-BE49-F238E27FC236}">
              <a16:creationId xmlns:a16="http://schemas.microsoft.com/office/drawing/2014/main" id="{1928094A-D1F8-4398-AA26-9E0D8CC76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0</xdr:colOff>
      <xdr:row>59</xdr:row>
      <xdr:rowOff>0</xdr:rowOff>
    </xdr:from>
    <xdr:to>
      <xdr:col>23</xdr:col>
      <xdr:colOff>0</xdr:colOff>
      <xdr:row>73</xdr:row>
      <xdr:rowOff>0</xdr:rowOff>
    </xdr:to>
    <xdr:graphicFrame macro="">
      <xdr:nvGraphicFramePr>
        <xdr:cNvPr id="7" name="Chart 6">
          <a:extLst>
            <a:ext uri="{FF2B5EF4-FFF2-40B4-BE49-F238E27FC236}">
              <a16:creationId xmlns:a16="http://schemas.microsoft.com/office/drawing/2014/main" id="{B81B208F-9FE3-479D-A9E7-B2B3399505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11</xdr:col>
      <xdr:colOff>295275</xdr:colOff>
      <xdr:row>18</xdr:row>
      <xdr:rowOff>81327</xdr:rowOff>
    </xdr:from>
    <xdr:ext cx="5144626" cy="3310297"/>
    <xdr:pic>
      <xdr:nvPicPr>
        <xdr:cNvPr id="8" name="Picture 7">
          <a:extLst>
            <a:ext uri="{FF2B5EF4-FFF2-40B4-BE49-F238E27FC236}">
              <a16:creationId xmlns:a16="http://schemas.microsoft.com/office/drawing/2014/main" id="{40E8A5CF-DE46-405E-9EBF-A872B642FE65}"/>
            </a:ext>
          </a:extLst>
        </xdr:cNvPr>
        <xdr:cNvPicPr>
          <a:picLocks noChangeAspect="1"/>
        </xdr:cNvPicPr>
      </xdr:nvPicPr>
      <xdr:blipFill>
        <a:blip xmlns:r="http://schemas.openxmlformats.org/officeDocument/2006/relationships" r:embed="rId6"/>
        <a:stretch>
          <a:fillRect/>
        </a:stretch>
      </xdr:blipFill>
      <xdr:spPr>
        <a:xfrm>
          <a:off x="7000875" y="3510327"/>
          <a:ext cx="5144626" cy="3310297"/>
        </a:xfrm>
        <a:prstGeom prst="rect">
          <a:avLst/>
        </a:prstGeom>
      </xdr:spPr>
    </xdr:pic>
    <xdr:clientData/>
  </xdr:oneCellAnchor>
  <xdr:twoCellAnchor>
    <xdr:from>
      <xdr:col>11</xdr:col>
      <xdr:colOff>190500</xdr:colOff>
      <xdr:row>1</xdr:row>
      <xdr:rowOff>90487</xdr:rowOff>
    </xdr:from>
    <xdr:to>
      <xdr:col>18</xdr:col>
      <xdr:colOff>466725</xdr:colOff>
      <xdr:row>15</xdr:row>
      <xdr:rowOff>166687</xdr:rowOff>
    </xdr:to>
    <xdr:graphicFrame macro="">
      <xdr:nvGraphicFramePr>
        <xdr:cNvPr id="9" name="Chart 8">
          <a:extLst>
            <a:ext uri="{FF2B5EF4-FFF2-40B4-BE49-F238E27FC236}">
              <a16:creationId xmlns:a16="http://schemas.microsoft.com/office/drawing/2014/main" id="{36FAC0EB-2086-452F-AEBF-E4C52821BB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47625</xdr:colOff>
      <xdr:row>95</xdr:row>
      <xdr:rowOff>28575</xdr:rowOff>
    </xdr:from>
    <xdr:ext cx="6355184" cy="4829849"/>
    <xdr:pic>
      <xdr:nvPicPr>
        <xdr:cNvPr id="2" name="Picture 1">
          <a:extLst>
            <a:ext uri="{FF2B5EF4-FFF2-40B4-BE49-F238E27FC236}">
              <a16:creationId xmlns:a16="http://schemas.microsoft.com/office/drawing/2014/main" id="{3BA64866-6F77-4E83-8289-3D0684225D8E}"/>
            </a:ext>
          </a:extLst>
        </xdr:cNvPr>
        <xdr:cNvPicPr>
          <a:picLocks noChangeAspect="1"/>
        </xdr:cNvPicPr>
      </xdr:nvPicPr>
      <xdr:blipFill>
        <a:blip xmlns:r="http://schemas.openxmlformats.org/officeDocument/2006/relationships" r:embed="rId1"/>
        <a:stretch>
          <a:fillRect/>
        </a:stretch>
      </xdr:blipFill>
      <xdr:spPr>
        <a:xfrm>
          <a:off x="657225" y="18126075"/>
          <a:ext cx="6355184" cy="4829849"/>
        </a:xfrm>
        <a:prstGeom prst="rect">
          <a:avLst/>
        </a:prstGeom>
      </xdr:spPr>
    </xdr:pic>
    <xdr:clientData/>
  </xdr:oneCellAnchor>
  <xdr:oneCellAnchor>
    <xdr:from>
      <xdr:col>10</xdr:col>
      <xdr:colOff>498662</xdr:colOff>
      <xdr:row>93</xdr:row>
      <xdr:rowOff>30256</xdr:rowOff>
    </xdr:from>
    <xdr:ext cx="4734586" cy="4377630"/>
    <xdr:pic>
      <xdr:nvPicPr>
        <xdr:cNvPr id="3" name="Picture 2">
          <a:extLst>
            <a:ext uri="{FF2B5EF4-FFF2-40B4-BE49-F238E27FC236}">
              <a16:creationId xmlns:a16="http://schemas.microsoft.com/office/drawing/2014/main" id="{4EA1C85A-BBC4-4E21-927E-7D2D9CAA8778}"/>
            </a:ext>
          </a:extLst>
        </xdr:cNvPr>
        <xdr:cNvPicPr>
          <a:picLocks noChangeAspect="1"/>
        </xdr:cNvPicPr>
      </xdr:nvPicPr>
      <xdr:blipFill>
        <a:blip xmlns:r="http://schemas.openxmlformats.org/officeDocument/2006/relationships" r:embed="rId2"/>
        <a:stretch>
          <a:fillRect/>
        </a:stretch>
      </xdr:blipFill>
      <xdr:spPr>
        <a:xfrm>
          <a:off x="6594662" y="17746756"/>
          <a:ext cx="4734586" cy="4377630"/>
        </a:xfrm>
        <a:prstGeom prst="rect">
          <a:avLst/>
        </a:prstGeom>
      </xdr:spPr>
    </xdr:pic>
    <xdr:clientData/>
  </xdr:oneCellAnchor>
  <xdr:oneCellAnchor>
    <xdr:from>
      <xdr:col>27</xdr:col>
      <xdr:colOff>66676</xdr:colOff>
      <xdr:row>88</xdr:row>
      <xdr:rowOff>161926</xdr:rowOff>
    </xdr:from>
    <xdr:ext cx="5362574" cy="4285272"/>
    <xdr:pic>
      <xdr:nvPicPr>
        <xdr:cNvPr id="4" name="Picture 3">
          <a:extLst>
            <a:ext uri="{FF2B5EF4-FFF2-40B4-BE49-F238E27FC236}">
              <a16:creationId xmlns:a16="http://schemas.microsoft.com/office/drawing/2014/main" id="{B56730EF-6EC8-4FDA-A83C-2AEC3F9FC0B2}"/>
            </a:ext>
          </a:extLst>
        </xdr:cNvPr>
        <xdr:cNvPicPr>
          <a:picLocks noChangeAspect="1"/>
        </xdr:cNvPicPr>
      </xdr:nvPicPr>
      <xdr:blipFill>
        <a:blip xmlns:r="http://schemas.openxmlformats.org/officeDocument/2006/relationships" r:embed="rId3"/>
        <a:stretch>
          <a:fillRect/>
        </a:stretch>
      </xdr:blipFill>
      <xdr:spPr>
        <a:xfrm>
          <a:off x="16525876" y="16925926"/>
          <a:ext cx="5362574" cy="4285272"/>
        </a:xfrm>
        <a:prstGeom prst="rect">
          <a:avLst/>
        </a:prstGeom>
      </xdr:spPr>
    </xdr:pic>
    <xdr:clientData/>
  </xdr:oneCellAnchor>
  <xdr:oneCellAnchor>
    <xdr:from>
      <xdr:col>36</xdr:col>
      <xdr:colOff>9525</xdr:colOff>
      <xdr:row>88</xdr:row>
      <xdr:rowOff>123825</xdr:rowOff>
    </xdr:from>
    <xdr:ext cx="5801535" cy="2924583"/>
    <xdr:pic>
      <xdr:nvPicPr>
        <xdr:cNvPr id="5" name="Picture 4">
          <a:extLst>
            <a:ext uri="{FF2B5EF4-FFF2-40B4-BE49-F238E27FC236}">
              <a16:creationId xmlns:a16="http://schemas.microsoft.com/office/drawing/2014/main" id="{C7094526-D7B5-478F-8212-83FECF7F64BC}"/>
            </a:ext>
          </a:extLst>
        </xdr:cNvPr>
        <xdr:cNvPicPr>
          <a:picLocks noChangeAspect="1"/>
        </xdr:cNvPicPr>
      </xdr:nvPicPr>
      <xdr:blipFill>
        <a:blip xmlns:r="http://schemas.openxmlformats.org/officeDocument/2006/relationships" r:embed="rId4"/>
        <a:stretch>
          <a:fillRect/>
        </a:stretch>
      </xdr:blipFill>
      <xdr:spPr>
        <a:xfrm>
          <a:off x="21955125" y="16887825"/>
          <a:ext cx="5801535" cy="2924583"/>
        </a:xfrm>
        <a:prstGeom prst="rect">
          <a:avLst/>
        </a:prstGeom>
      </xdr:spPr>
    </xdr:pic>
    <xdr:clientData/>
  </xdr:oneCellAnchor>
  <xdr:oneCellAnchor>
    <xdr:from>
      <xdr:col>1</xdr:col>
      <xdr:colOff>9526</xdr:colOff>
      <xdr:row>71</xdr:row>
      <xdr:rowOff>171450</xdr:rowOff>
    </xdr:from>
    <xdr:ext cx="10724030" cy="2340163"/>
    <xdr:pic>
      <xdr:nvPicPr>
        <xdr:cNvPr id="6" name="Picture 5">
          <a:extLst>
            <a:ext uri="{FF2B5EF4-FFF2-40B4-BE49-F238E27FC236}">
              <a16:creationId xmlns:a16="http://schemas.microsoft.com/office/drawing/2014/main" id="{60291549-A295-4FAE-8E69-5C26E352FA91}"/>
            </a:ext>
          </a:extLst>
        </xdr:cNvPr>
        <xdr:cNvPicPr>
          <a:picLocks noChangeAspect="1"/>
        </xdr:cNvPicPr>
      </xdr:nvPicPr>
      <xdr:blipFill>
        <a:blip xmlns:r="http://schemas.openxmlformats.org/officeDocument/2006/relationships" r:embed="rId5"/>
        <a:stretch>
          <a:fillRect/>
        </a:stretch>
      </xdr:blipFill>
      <xdr:spPr>
        <a:xfrm>
          <a:off x="619126" y="13696950"/>
          <a:ext cx="10724030" cy="2340163"/>
        </a:xfrm>
        <a:prstGeom prst="rect">
          <a:avLst/>
        </a:prstGeom>
      </xdr:spPr>
    </xdr:pic>
    <xdr:clientData/>
  </xdr:oneCellAnchor>
  <xdr:oneCellAnchor>
    <xdr:from>
      <xdr:col>15</xdr:col>
      <xdr:colOff>352425</xdr:colOff>
      <xdr:row>72</xdr:row>
      <xdr:rowOff>38101</xdr:rowOff>
    </xdr:from>
    <xdr:ext cx="10717530" cy="2288600"/>
    <xdr:pic>
      <xdr:nvPicPr>
        <xdr:cNvPr id="7" name="Picture 6">
          <a:extLst>
            <a:ext uri="{FF2B5EF4-FFF2-40B4-BE49-F238E27FC236}">
              <a16:creationId xmlns:a16="http://schemas.microsoft.com/office/drawing/2014/main" id="{4B5FAB7B-22DA-48A5-A3DA-CB95F0D1C878}"/>
            </a:ext>
          </a:extLst>
        </xdr:cNvPr>
        <xdr:cNvPicPr>
          <a:picLocks noChangeAspect="1"/>
        </xdr:cNvPicPr>
      </xdr:nvPicPr>
      <xdr:blipFill>
        <a:blip xmlns:r="http://schemas.openxmlformats.org/officeDocument/2006/relationships" r:embed="rId6"/>
        <a:stretch>
          <a:fillRect/>
        </a:stretch>
      </xdr:blipFill>
      <xdr:spPr>
        <a:xfrm>
          <a:off x="9496425" y="13754101"/>
          <a:ext cx="10717530" cy="2288600"/>
        </a:xfrm>
        <a:prstGeom prst="rect">
          <a:avLst/>
        </a:prstGeom>
      </xdr:spPr>
    </xdr:pic>
    <xdr:clientData/>
  </xdr:oneCellAnchor>
  <xdr:oneCellAnchor>
    <xdr:from>
      <xdr:col>22</xdr:col>
      <xdr:colOff>57150</xdr:colOff>
      <xdr:row>118</xdr:row>
      <xdr:rowOff>28575</xdr:rowOff>
    </xdr:from>
    <xdr:ext cx="5620534" cy="4029637"/>
    <xdr:pic>
      <xdr:nvPicPr>
        <xdr:cNvPr id="8" name="Picture 7">
          <a:extLst>
            <a:ext uri="{FF2B5EF4-FFF2-40B4-BE49-F238E27FC236}">
              <a16:creationId xmlns:a16="http://schemas.microsoft.com/office/drawing/2014/main" id="{4AB84E39-D5BA-48C6-90EE-9C3CE07F25F1}"/>
            </a:ext>
          </a:extLst>
        </xdr:cNvPr>
        <xdr:cNvPicPr>
          <a:picLocks noChangeAspect="1"/>
        </xdr:cNvPicPr>
      </xdr:nvPicPr>
      <xdr:blipFill>
        <a:blip xmlns:r="http://schemas.openxmlformats.org/officeDocument/2006/relationships" r:embed="rId7"/>
        <a:stretch>
          <a:fillRect/>
        </a:stretch>
      </xdr:blipFill>
      <xdr:spPr>
        <a:xfrm>
          <a:off x="13468350" y="22507575"/>
          <a:ext cx="5620534" cy="4029637"/>
        </a:xfrm>
        <a:prstGeom prst="rect">
          <a:avLst/>
        </a:prstGeom>
      </xdr:spPr>
    </xdr:pic>
    <xdr:clientData/>
  </xdr:oneCellAnchor>
  <xdr:twoCellAnchor>
    <xdr:from>
      <xdr:col>7</xdr:col>
      <xdr:colOff>201708</xdr:colOff>
      <xdr:row>39</xdr:row>
      <xdr:rowOff>100853</xdr:rowOff>
    </xdr:from>
    <xdr:to>
      <xdr:col>14</xdr:col>
      <xdr:colOff>401732</xdr:colOff>
      <xdr:row>52</xdr:row>
      <xdr:rowOff>10366</xdr:rowOff>
    </xdr:to>
    <xdr:graphicFrame macro="">
      <xdr:nvGraphicFramePr>
        <xdr:cNvPr id="9" name="Chart 8">
          <a:extLst>
            <a:ext uri="{FF2B5EF4-FFF2-40B4-BE49-F238E27FC236}">
              <a16:creationId xmlns:a16="http://schemas.microsoft.com/office/drawing/2014/main" id="{039F2508-B3FD-46D2-8ED4-A57EEA95D5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106456</xdr:colOff>
      <xdr:row>25</xdr:row>
      <xdr:rowOff>68355</xdr:rowOff>
    </xdr:from>
    <xdr:to>
      <xdr:col>14</xdr:col>
      <xdr:colOff>442632</xdr:colOff>
      <xdr:row>38</xdr:row>
      <xdr:rowOff>122144</xdr:rowOff>
    </xdr:to>
    <xdr:graphicFrame macro="">
      <xdr:nvGraphicFramePr>
        <xdr:cNvPr id="10" name="Chart 9">
          <a:extLst>
            <a:ext uri="{FF2B5EF4-FFF2-40B4-BE49-F238E27FC236}">
              <a16:creationId xmlns:a16="http://schemas.microsoft.com/office/drawing/2014/main" id="{BEB56439-D002-4F74-B2BD-2B5278FCE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10</xdr:col>
      <xdr:colOff>593912</xdr:colOff>
      <xdr:row>1</xdr:row>
      <xdr:rowOff>224118</xdr:rowOff>
    </xdr:from>
    <xdr:ext cx="7814378" cy="3153775"/>
    <xdr:pic>
      <xdr:nvPicPr>
        <xdr:cNvPr id="11" name="Picture 10">
          <a:extLst>
            <a:ext uri="{FF2B5EF4-FFF2-40B4-BE49-F238E27FC236}">
              <a16:creationId xmlns:a16="http://schemas.microsoft.com/office/drawing/2014/main" id="{2AAFFCE4-C1D8-41C7-B84E-94DA1A72EA9F}"/>
            </a:ext>
          </a:extLst>
        </xdr:cNvPr>
        <xdr:cNvPicPr>
          <a:picLocks noChangeAspect="1"/>
        </xdr:cNvPicPr>
      </xdr:nvPicPr>
      <xdr:blipFill>
        <a:blip xmlns:r="http://schemas.openxmlformats.org/officeDocument/2006/relationships" r:embed="rId10"/>
        <a:stretch>
          <a:fillRect/>
        </a:stretch>
      </xdr:blipFill>
      <xdr:spPr>
        <a:xfrm>
          <a:off x="6689912" y="376518"/>
          <a:ext cx="7814378" cy="315377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01433536/Google%20Drive/SATIM/Model%20Files/DMD_PRJ%20-%20Copy.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B888E3125F2D\Mydata\D\Modelling%20Group\_03_SECTORS\+FUELS\Oil%20&amp;%20Gas\SASOL\SASOL%202018%20NIR%202017%20v1.03.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Models\SATIMGE_Veda\Archive\OldSUP_v01.xlsx" TargetMode="External"/><Relationship Id="rId1" Type="http://schemas.openxmlformats.org/officeDocument/2006/relationships/externalLinkPath" Target="/Models/SATIMGE_Veda/Archive/OldSUP_v0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ydata/D/GoogleDrive-ERC/1.Projects/DEFF-DEA/NDC-2020/A.3_NDC_2020%20%5bmodel%20calibration%5d/satim%20petrol-diesel%20%20check%20v02.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Modelling%20Group\_02_PROJECTS\WB\water-energy\task2\Costing%20options%20v6.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AnswerTIMESv6/Answer_Databases/WB/SATIM_20140819runs-copy/TCH_PWR-WAT.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Defla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
      <sheetName val="FromCGE"/>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1</v>
          </cell>
        </row>
        <row r="8">
          <cell r="C8">
            <v>1</v>
          </cell>
        </row>
        <row r="9">
          <cell r="C9">
            <v>1</v>
          </cell>
        </row>
        <row r="10">
          <cell r="C10">
            <v>1</v>
          </cell>
        </row>
        <row r="11">
          <cell r="C11">
            <v>1</v>
          </cell>
        </row>
      </sheetData>
      <sheetData sheetId="3">
        <row r="5">
          <cell r="J5" t="str">
            <v>Greenshoots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SOL NIR 2017"/>
      <sheetName val="SASOL Commodities"/>
      <sheetName val="NERSA2017"/>
      <sheetName val="GAS 2000-2029 CY"/>
      <sheetName val="SASOL CC 2019 report"/>
      <sheetName val="FTS-Unallocated"/>
      <sheetName val="Secunda Emissions 2019 etc"/>
      <sheetName val="Calorific values"/>
    </sheetNames>
    <sheetDataSet>
      <sheetData sheetId="0">
        <row r="11">
          <cell r="U11">
            <v>30.761111</v>
          </cell>
        </row>
      </sheetData>
      <sheetData sheetId="1">
        <row r="10">
          <cell r="D10">
            <v>3809</v>
          </cell>
        </row>
      </sheetData>
      <sheetData sheetId="2"/>
      <sheetData sheetId="3"/>
      <sheetData sheetId="4">
        <row r="97">
          <cell r="E97">
            <v>296</v>
          </cell>
        </row>
        <row r="98">
          <cell r="E98">
            <v>23</v>
          </cell>
        </row>
      </sheetData>
      <sheetData sheetId="5"/>
      <sheetData sheetId="6"/>
      <sheetData sheetId="7">
        <row r="8">
          <cell r="B8">
            <v>41</v>
          </cell>
        </row>
        <row r="18">
          <cell r="B18">
            <v>24.3</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dex"/>
      <sheetName val="ChangeLog"/>
      <sheetName val="NameConv"/>
      <sheetName val="EnergyBalance2017"/>
      <sheetName val="PRI"/>
      <sheetName val="CombustionEmissions"/>
      <sheetName val="FugitiveEmissions"/>
      <sheetName val="EmissionsAggregationCO2eq"/>
      <sheetName val="FuelTechs"/>
      <sheetName val="Liq Fuel Prices"/>
      <sheetName val="Coal price"/>
      <sheetName val="Oil price"/>
      <sheetName val="Gas Price"/>
      <sheetName val="Distribution"/>
      <sheetName val="ITEMS_STech"/>
      <sheetName val="ITEMS_Comm"/>
      <sheetName val="TS ZTech"/>
      <sheetName val="TID ZTech"/>
      <sheetName val="Crude refineries"/>
      <sheetName val="Cleaner Fuels Phase-2"/>
      <sheetName val="GTL and CTL"/>
      <sheetName val="SummaryRef"/>
      <sheetName val="RefineriesRES"/>
      <sheetName val="SasolRES2012"/>
      <sheetName val="SasolRES-2017"/>
      <sheetName val="GAS 2000-2029 CY"/>
      <sheetName val="SASOL CC 2019 report"/>
      <sheetName val="Secunda Emissions 2019"/>
      <sheetName val="RefineriesData"/>
      <sheetName val="Aviation Synfuel Data"/>
      <sheetName val="Aviation Synfuel-Items"/>
      <sheetName val="Aviation Synfuel-TSData"/>
      <sheetName val="Aviation Synfuel-TIDData"/>
      <sheetName val="Hydrogen-Other"/>
      <sheetName val="Hydrogen-ELT"/>
      <sheetName val="H2Storage"/>
      <sheetName val="H2Storage-Items"/>
      <sheetName val="H2Storage-TSData"/>
      <sheetName val="H2Storage-TIDData"/>
      <sheetName val="UPS"/>
      <sheetName val="ITEMS_UPS"/>
      <sheetName val="ITEMS_GRP"/>
      <sheetName val="TS_TTech"/>
      <sheetName val="TID_TTech"/>
      <sheetName val="ITEMS_CommX"/>
      <sheetName val="TS_XTech"/>
      <sheetName val="TID_XTech"/>
      <sheetName val="ITEMS_XEmiss"/>
      <sheetName val="TS XEmiss"/>
      <sheetName val="TID XEmiss"/>
      <sheetName val="ExchangeRateDetail"/>
      <sheetName val="Deflator"/>
      <sheetName val="SUPRES"/>
      <sheetName val="ITEMS_XFEmiss"/>
      <sheetName val="TS XFEmiss"/>
      <sheetName val="TID XFEmiss"/>
      <sheetName val="Emission Control_Technologies"/>
      <sheetName val="Items_TEmiss"/>
      <sheetName val="ITEMS UC"/>
      <sheetName val="TS UC"/>
      <sheetName val="TID UC"/>
      <sheetName val="WAT-Items"/>
      <sheetName val="WAT-TSData"/>
      <sheetName val="WAT-TIDData"/>
      <sheetName val="HGN-TSData xtras"/>
      <sheetName val="HGN-TIDData xtras"/>
      <sheetName val="CPI_1960-2013"/>
      <sheetName val="Sheet1"/>
    </sheetNames>
    <sheetDataSet>
      <sheetData sheetId="0">
        <row r="2">
          <cell r="A2">
            <v>1</v>
          </cell>
          <cell r="D2">
            <v>1</v>
          </cell>
          <cell r="E2">
            <v>1</v>
          </cell>
          <cell r="F2">
            <v>1</v>
          </cell>
          <cell r="G2">
            <v>1</v>
          </cell>
          <cell r="H2">
            <v>1</v>
          </cell>
          <cell r="I2">
            <v>1</v>
          </cell>
          <cell r="J2">
            <v>1</v>
          </cell>
        </row>
        <row r="8">
          <cell r="B8">
            <v>0</v>
          </cell>
        </row>
      </sheetData>
      <sheetData sheetId="1"/>
      <sheetData sheetId="2">
        <row r="3">
          <cell r="AX3">
            <v>16</v>
          </cell>
        </row>
        <row r="4">
          <cell r="AY4" t="str">
            <v>CO2S</v>
          </cell>
        </row>
        <row r="5">
          <cell r="B5" t="str">
            <v>Biogas</v>
          </cell>
          <cell r="C5" t="str">
            <v>BIG</v>
          </cell>
        </row>
        <row r="6">
          <cell r="B6" t="str">
            <v>Bioethanol</v>
          </cell>
          <cell r="C6" t="str">
            <v>BIE</v>
          </cell>
        </row>
        <row r="7">
          <cell r="B7" t="str">
            <v>Biodiesel</v>
          </cell>
          <cell r="C7" t="str">
            <v>BID</v>
          </cell>
        </row>
        <row r="8">
          <cell r="B8" t="str">
            <v>Biomass bagasse</v>
          </cell>
          <cell r="C8" t="str">
            <v>BIB</v>
          </cell>
        </row>
        <row r="9">
          <cell r="B9" t="str">
            <v>Biomass Other</v>
          </cell>
          <cell r="C9" t="str">
            <v>BIO</v>
          </cell>
        </row>
        <row r="10">
          <cell r="B10" t="str">
            <v>Biomass Wood</v>
          </cell>
          <cell r="C10" t="str">
            <v>BIW</v>
          </cell>
        </row>
        <row r="11">
          <cell r="B11" t="str">
            <v>Coal</v>
          </cell>
          <cell r="C11" t="str">
            <v>COA</v>
          </cell>
        </row>
        <row r="12">
          <cell r="B12" t="str">
            <v>Coal Coking</v>
          </cell>
          <cell r="C12" t="str">
            <v>COK</v>
          </cell>
        </row>
        <row r="13">
          <cell r="B13" t="str">
            <v>Coal Discard</v>
          </cell>
          <cell r="C13" t="str">
            <v>CLD</v>
          </cell>
        </row>
        <row r="14">
          <cell r="B14" t="str">
            <v>Coal low grade</v>
          </cell>
          <cell r="C14" t="str">
            <v>CLE</v>
          </cell>
        </row>
        <row r="15">
          <cell r="B15" t="str">
            <v>Coal for plants in Botswana</v>
          </cell>
          <cell r="C15" t="str">
            <v>CRB</v>
          </cell>
        </row>
        <row r="16">
          <cell r="B16" t="str">
            <v>Electricity</v>
          </cell>
          <cell r="C16" t="str">
            <v>ELC</v>
          </cell>
        </row>
        <row r="17">
          <cell r="B17" t="str">
            <v>Electricity Upstream Transmission</v>
          </cell>
          <cell r="C17" t="str">
            <v>ELCC</v>
          </cell>
        </row>
        <row r="18">
          <cell r="B18" t="str">
            <v>Gas South Africa</v>
          </cell>
          <cell r="C18" t="str">
            <v>GAS</v>
          </cell>
        </row>
        <row r="19">
          <cell r="B19" t="str">
            <v>Gas Southern Mozambique</v>
          </cell>
          <cell r="C19" t="str">
            <v>GRS</v>
          </cell>
        </row>
        <row r="20">
          <cell r="B20" t="str">
            <v>Gas Namibia</v>
          </cell>
          <cell r="C20" t="str">
            <v>GRN</v>
          </cell>
        </row>
        <row r="21">
          <cell r="B21" t="str">
            <v>Gas Regional LNG</v>
          </cell>
          <cell r="C21" t="str">
            <v>GRL</v>
          </cell>
        </row>
        <row r="22">
          <cell r="B22" t="str">
            <v>Gas International LNG</v>
          </cell>
          <cell r="C22" t="str">
            <v>GWL</v>
          </cell>
        </row>
        <row r="23">
          <cell r="B23" t="str">
            <v>Gas Northern Mozambique</v>
          </cell>
          <cell r="C23" t="str">
            <v>GRM</v>
          </cell>
        </row>
        <row r="24">
          <cell r="B24" t="str">
            <v>Gas Indigenous Ibhubezi</v>
          </cell>
          <cell r="C24" t="str">
            <v>GIB</v>
          </cell>
        </row>
        <row r="25">
          <cell r="B25" t="str">
            <v>Gas Indigenous Shale</v>
          </cell>
          <cell r="C25" t="str">
            <v>GIH</v>
          </cell>
        </row>
        <row r="26">
          <cell r="B26" t="str">
            <v>Coastal Gas</v>
          </cell>
          <cell r="C26" t="str">
            <v>GIC</v>
          </cell>
        </row>
        <row r="27">
          <cell r="B27" t="str">
            <v>Gas Methane Rich</v>
          </cell>
          <cell r="C27" t="str">
            <v>GIM</v>
          </cell>
        </row>
        <row r="28">
          <cell r="B28" t="str">
            <v>Heat-Steam</v>
          </cell>
          <cell r="C28" t="str">
            <v>HET</v>
          </cell>
        </row>
        <row r="29">
          <cell r="B29" t="str">
            <v>Heat-Steam Existing</v>
          </cell>
          <cell r="C29" t="str">
            <v>HEE</v>
          </cell>
        </row>
        <row r="30">
          <cell r="B30" t="str">
            <v>Heat-Steam New</v>
          </cell>
          <cell r="C30" t="str">
            <v>HEN</v>
          </cell>
        </row>
        <row r="31">
          <cell r="B31" t="str">
            <v>Hydro</v>
          </cell>
          <cell r="C31" t="str">
            <v>HYD</v>
          </cell>
        </row>
        <row r="32">
          <cell r="B32" t="str">
            <v>Hydrogen</v>
          </cell>
          <cell r="C32" t="str">
            <v>HGN</v>
          </cell>
        </row>
        <row r="33">
          <cell r="B33" t="str">
            <v>Nuclear</v>
          </cell>
          <cell r="C33" t="str">
            <v>NUC</v>
          </cell>
        </row>
        <row r="34">
          <cell r="B34" t="str">
            <v>Oil Av Gasoline</v>
          </cell>
          <cell r="C34" t="str">
            <v>OAG</v>
          </cell>
        </row>
        <row r="35">
          <cell r="B35" t="str">
            <v>Oil Crude</v>
          </cell>
          <cell r="C35" t="str">
            <v>OCR</v>
          </cell>
        </row>
        <row r="36">
          <cell r="B36" t="str">
            <v>Oil Diesel</v>
          </cell>
          <cell r="C36" t="str">
            <v>ODS</v>
          </cell>
        </row>
        <row r="37">
          <cell r="B37" t="str">
            <v>Oil Gasoline</v>
          </cell>
          <cell r="C37" t="str">
            <v>OGS</v>
          </cell>
        </row>
        <row r="38">
          <cell r="B38" t="str">
            <v>Oil HFO</v>
          </cell>
          <cell r="C38" t="str">
            <v>OHF</v>
          </cell>
        </row>
        <row r="39">
          <cell r="B39" t="str">
            <v>Oil Kerosene</v>
          </cell>
          <cell r="C39" t="str">
            <v>OKE</v>
          </cell>
        </row>
        <row r="40">
          <cell r="B40" t="str">
            <v>Oil LPG</v>
          </cell>
          <cell r="C40" t="str">
            <v>OLP</v>
          </cell>
        </row>
        <row r="41">
          <cell r="B41" t="str">
            <v>Oil Other</v>
          </cell>
          <cell r="C41" t="str">
            <v>OTH</v>
          </cell>
        </row>
        <row r="42">
          <cell r="B42" t="str">
            <v>Solar</v>
          </cell>
          <cell r="C42" t="str">
            <v>SOL</v>
          </cell>
        </row>
        <row r="43">
          <cell r="B43" t="str">
            <v>Wind</v>
          </cell>
          <cell r="C43" t="str">
            <v>WND</v>
          </cell>
        </row>
        <row r="44">
          <cell r="B44" t="str">
            <v>Waste</v>
          </cell>
          <cell r="C44" t="str">
            <v>WAS</v>
          </cell>
        </row>
        <row r="49">
          <cell r="B49" t="str">
            <v>AGR</v>
          </cell>
          <cell r="C49" t="str">
            <v>Agriculture</v>
          </cell>
        </row>
        <row r="50">
          <cell r="B50" t="str">
            <v>COM</v>
          </cell>
          <cell r="C50" t="str">
            <v>Commerce</v>
          </cell>
        </row>
        <row r="51">
          <cell r="B51" t="str">
            <v>IND</v>
          </cell>
          <cell r="C51" t="str">
            <v>Industry</v>
          </cell>
        </row>
        <row r="52">
          <cell r="B52" t="str">
            <v>PWR</v>
          </cell>
          <cell r="C52" t="str">
            <v>Power</v>
          </cell>
        </row>
        <row r="53">
          <cell r="B53" t="str">
            <v>RES</v>
          </cell>
          <cell r="C53" t="str">
            <v>Residential</v>
          </cell>
        </row>
        <row r="54">
          <cell r="B54" t="str">
            <v>TRA</v>
          </cell>
          <cell r="C54" t="str">
            <v>Transport</v>
          </cell>
        </row>
        <row r="55">
          <cell r="B55" t="str">
            <v>UPS</v>
          </cell>
          <cell r="C55" t="str">
            <v>Upstream</v>
          </cell>
        </row>
        <row r="56">
          <cell r="B56"/>
          <cell r="C56"/>
        </row>
        <row r="57">
          <cell r="B57"/>
          <cell r="C57"/>
        </row>
      </sheetData>
      <sheetData sheetId="3"/>
      <sheetData sheetId="4">
        <row r="51">
          <cell r="E51">
            <v>11.914999999999999</v>
          </cell>
        </row>
      </sheetData>
      <sheetData sheetId="5"/>
      <sheetData sheetId="6"/>
      <sheetData sheetId="7"/>
      <sheetData sheetId="8"/>
      <sheetData sheetId="9"/>
      <sheetData sheetId="10"/>
      <sheetData sheetId="11"/>
      <sheetData sheetId="12"/>
      <sheetData sheetId="13">
        <row r="17">
          <cell r="A17">
            <v>2.54</v>
          </cell>
        </row>
      </sheetData>
      <sheetData sheetId="14"/>
      <sheetData sheetId="15"/>
      <sheetData sheetId="16"/>
      <sheetData sheetId="17"/>
      <sheetData sheetId="18">
        <row r="56">
          <cell r="F56">
            <v>0.34416826003824091</v>
          </cell>
          <cell r="G56">
            <v>0.55066921606118546</v>
          </cell>
          <cell r="H56">
            <v>0.74187380497131927</v>
          </cell>
          <cell r="J56">
            <v>0.74187380497131927</v>
          </cell>
          <cell r="L56">
            <v>0.74187380497131927</v>
          </cell>
        </row>
      </sheetData>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ow r="39">
          <cell r="D39">
            <v>120.1</v>
          </cell>
        </row>
      </sheetData>
      <sheetData sheetId="35"/>
      <sheetData sheetId="36"/>
      <sheetData sheetId="37"/>
      <sheetData sheetId="38"/>
      <sheetData sheetId="39">
        <row r="6">
          <cell r="B6" t="str">
            <v>UPS</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el.comparison"/>
      <sheetName val="FCS2018"/>
      <sheetName val="SATIM"/>
      <sheetName val="SAPIAAR2018"/>
      <sheetName val="NIR2017"/>
      <sheetName val="DoE.Petrol"/>
      <sheetName val="DoE.Diesel"/>
      <sheetName val="units"/>
      <sheetName val="scrap"/>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B2">
            <v>38.6</v>
          </cell>
        </row>
        <row r="3">
          <cell r="B3">
            <v>34.659999999999997</v>
          </cell>
        </row>
      </sheetData>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version"/>
      <sheetName val="units"/>
      <sheetName val="AMD"/>
      <sheetName val="AMD.v2"/>
      <sheetName val="coal mining"/>
      <sheetName val="TDS  vs Capex"/>
      <sheetName val="WTP energy costs"/>
      <sheetName val="Shale gas"/>
      <sheetName val="Shale-AMD wtp"/>
      <sheetName val="Uranium-Gold"/>
      <sheetName val="fgd costs"/>
      <sheetName val="Coal dist"/>
      <sheetName val="steam"/>
      <sheetName val="refineries"/>
      <sheetName val="cooling water"/>
      <sheetName val="seasonal"/>
      <sheetName val="PWR station GIS data"/>
      <sheetName val="Existing Plants by Water Supply"/>
      <sheetName val="Existing Plants by Coal Supply"/>
      <sheetName val="Eskom coal pwr plants"/>
      <sheetName val="charts"/>
      <sheetName val="TechWATv4"/>
      <sheetName val="TechWATv5 (supwat5)"/>
      <sheetName val="FromCGE"/>
      <sheetName val="Non-Energy Water Demand"/>
      <sheetName val="non-power liquid fuels"/>
      <sheetName val="CPI_1960-2013"/>
      <sheetName val="JHB return flows"/>
      <sheetName val="misc calcs"/>
      <sheetName val="WSR-A"/>
      <sheetName val="WSR-B"/>
      <sheetName val="WSR-C"/>
      <sheetName val="WSR-D"/>
      <sheetName val="WSR-R"/>
      <sheetName val="WSR-Z"/>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3">
          <cell r="E3">
            <v>0.08</v>
          </cell>
        </row>
      </sheetData>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isting capacity basic data"/>
      <sheetName val="PWR"/>
      <sheetName val="ITEMS_Teche"/>
      <sheetName val="TS ETech"/>
      <sheetName val="TID ETech"/>
      <sheetName val="ITEMS_Comm"/>
      <sheetName val="New Capacity basic data"/>
      <sheetName val="Inga"/>
      <sheetName val="OtherRegionalProjects"/>
      <sheetName val="NT_PWR"/>
      <sheetName val="ITEMS_Techn"/>
      <sheetName val="TS INVFX"/>
      <sheetName val="TS INVFX_5yr"/>
      <sheetName val="TS INVFX_IRP"/>
      <sheetName val="TS NTech"/>
      <sheetName val="TS NTechICost"/>
      <sheetName val="TID NTech"/>
      <sheetName val="ITEMS GRP"/>
      <sheetName val="TS Othere"/>
      <sheetName val="TID Othere"/>
      <sheetName val="ITEMS UC"/>
      <sheetName val="TS UC"/>
      <sheetName val="TID UC"/>
      <sheetName val="ITEMS UC_BLIPPP"/>
      <sheetName val="TS UC_BLIPPP"/>
      <sheetName val="TID UC_BLIPPP"/>
      <sheetName val="REAvail"/>
      <sheetName val="REAvail (2)"/>
      <sheetName val="TS REAvail"/>
      <sheetName val="REAvail_10TS"/>
      <sheetName val="REAvail_10TS (2)"/>
      <sheetName val="TS REAvail_10TS"/>
      <sheetName val="REGIONS"/>
      <sheetName val="NameConv"/>
      <sheetName val="Deflator"/>
      <sheetName val="EskomCoalEff"/>
      <sheetName val="Analytica_Input"/>
      <sheetName val="LogofChanges"/>
    </sheetNames>
    <sheetDataSet>
      <sheetData sheetId="0"/>
      <sheetData sheetId="1"/>
      <sheetData sheetId="2"/>
      <sheetData sheetId="3"/>
      <sheetData sheetId="4"/>
      <sheetData sheetId="5"/>
      <sheetData sheetId="6">
        <row r="9">
          <cell r="B9">
            <v>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lator"/>
    </sheetNames>
    <sheetDataSet>
      <sheetData sheetId="0" refreshError="1">
        <row r="4">
          <cell r="L4">
            <v>1.7734731669022814</v>
          </cell>
          <cell r="O4">
            <v>1.3925713075799215</v>
          </cell>
          <cell r="P4">
            <v>1.3094103081137336</v>
          </cell>
          <cell r="R4">
            <v>1.1636030437253695</v>
          </cell>
          <cell r="S4">
            <v>1.0978875034592741</v>
          </cell>
          <cell r="T4">
            <v>1.0377447099466544</v>
          </cell>
          <cell r="U4">
            <v>1</v>
          </cell>
        </row>
      </sheetData>
    </sheetDataSet>
  </externalBook>
</externalLink>
</file>

<file path=xl/persons/person.xml><?xml version="1.0" encoding="utf-8"?>
<personList xmlns="http://schemas.microsoft.com/office/spreadsheetml/2018/threadedcomments" xmlns:x="http://schemas.openxmlformats.org/spreadsheetml/2006/main">
  <person displayName="Bruno Merven" id="{E8993A81-73D6-4673-8E9D-F1E1336B6C56}" userId="Bruno Merven"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3" dT="2021-09-09T10:02:37.71" personId="{E8993A81-73D6-4673-8E9D-F1E1336B6C56}" id="{097E2DB2-C7B7-4600-A89B-7CD851423C8C}">
    <text>OAG doesn't go anywhere at the moment</text>
  </threadedComment>
  <threadedComment ref="H14" dT="2021-09-09T10:02:02.83" personId="{E8993A81-73D6-4673-8E9D-F1E1336B6C56}" id="{4C0E7D07-76D7-4545-8866-03734547B9CA}">
    <text>Changed to Zero to allow model more flexibility on jet fuel.</text>
  </threadedComment>
  <threadedComment ref="G23" dT="2021-09-09T11:55:55.85" personId="{E8993A81-73D6-4673-8E9D-F1E1336B6C56}" id="{93FFD154-6D52-4BCF-87AA-86E4085FDB4E}">
    <text>Assumption until we have better data</text>
  </threadedComment>
</ThreadedComments>
</file>

<file path=xl/threadedComments/threadedComment2.xml><?xml version="1.0" encoding="utf-8"?>
<ThreadedComments xmlns="http://schemas.microsoft.com/office/spreadsheetml/2018/threadedcomments" xmlns:x="http://schemas.openxmlformats.org/spreadsheetml/2006/main">
  <threadedComment ref="J19" dT="2021-09-09T10:42:54.01" personId="{E8993A81-73D6-4673-8E9D-F1E1336B6C56}" id="{579E8DC9-49DE-4128-AB78-3D80E253B2F5}">
    <text>This is arbitrary at the moment and set to avoid unbounded solution in case this becomes a very profitable product.</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creativecommons.org/licenses/by-nc-sa/4.0/"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s://www1.oanda.com/currency/converter/" TargetMode="External"/><Relationship Id="rId6" Type="http://schemas.microsoft.com/office/2017/10/relationships/threadedComment" Target="../threadedComments/threadedComment1.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webqc.org/molecular-weight-of-h.html" TargetMode="External"/><Relationship Id="rId2" Type="http://schemas.openxmlformats.org/officeDocument/2006/relationships/hyperlink" Target="http://www.psi.org.uk/pdf/2008/HydrogenMARKAL_report.pdf" TargetMode="External"/><Relationship Id="rId1" Type="http://schemas.openxmlformats.org/officeDocument/2006/relationships/hyperlink" Target="http://www.wholesem.ac.uk/bartlett/energy/research/themes/energy-systems/hydrogen/" TargetMode="External"/><Relationship Id="rId6" Type="http://schemas.openxmlformats.org/officeDocument/2006/relationships/drawing" Target="../drawings/drawing2.xml"/><Relationship Id="rId5" Type="http://schemas.openxmlformats.org/officeDocument/2006/relationships/printerSettings" Target="../printerSettings/printerSettings8.bin"/><Relationship Id="rId4" Type="http://schemas.openxmlformats.org/officeDocument/2006/relationships/hyperlink" Target="https://www.webqc.org/molecular-weight-of-o.html"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hydrogen.energy.gov/storage.html" TargetMode="External"/><Relationship Id="rId1" Type="http://schemas.openxmlformats.org/officeDocument/2006/relationships/hyperlink" Target="https://www.hydrogen.energy.gov/pdfs/9013_energy_requirements_for_hydrogen_gas_compression.pdf"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earch.worldbank.org/data?qterm=gdp%20deflator%20%22south%20africa%22&amp;languag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8E05A-A755-453F-A2CC-13F04C55B174}">
  <sheetPr codeName="Sheet1"/>
  <dimension ref="A1:Z99"/>
  <sheetViews>
    <sheetView showGridLines="0" topLeftCell="A16" zoomScaleNormal="100" workbookViewId="0">
      <selection activeCell="B41" sqref="B41"/>
    </sheetView>
  </sheetViews>
  <sheetFormatPr defaultColWidth="8.85546875" defaultRowHeight="15" x14ac:dyDescent="0.2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x14ac:dyDescent="0.25">
      <c r="A1" s="16"/>
      <c r="B1" s="16"/>
      <c r="C1" s="16"/>
      <c r="D1" s="16"/>
      <c r="E1" s="17"/>
      <c r="F1" s="17"/>
      <c r="G1" s="17"/>
      <c r="H1" s="17"/>
      <c r="I1" s="17"/>
      <c r="J1" s="17"/>
      <c r="K1" s="17"/>
      <c r="L1" s="17"/>
      <c r="M1" s="17"/>
      <c r="N1" s="17"/>
      <c r="O1" s="17"/>
      <c r="P1" s="17"/>
      <c r="Q1" s="17"/>
      <c r="R1" s="17"/>
      <c r="S1" s="17"/>
      <c r="T1" s="17"/>
      <c r="U1" s="17"/>
      <c r="V1" s="17"/>
      <c r="W1" s="17"/>
      <c r="X1" s="17"/>
      <c r="Y1" s="17"/>
      <c r="Z1" s="17"/>
    </row>
    <row r="2" spans="1:26" x14ac:dyDescent="0.25">
      <c r="A2" s="16"/>
      <c r="B2" s="16"/>
      <c r="C2" s="16"/>
      <c r="D2" s="16"/>
      <c r="E2" s="17"/>
      <c r="F2" s="17"/>
      <c r="G2" s="17"/>
      <c r="H2" s="17"/>
      <c r="I2" s="17"/>
      <c r="J2" s="17"/>
      <c r="K2" s="17"/>
      <c r="L2" s="17"/>
      <c r="M2" s="17"/>
      <c r="N2" s="17"/>
      <c r="O2" s="17"/>
      <c r="P2" s="17"/>
      <c r="Q2" s="17"/>
      <c r="R2" s="17"/>
      <c r="S2" s="17"/>
      <c r="T2" s="17"/>
      <c r="U2" s="17"/>
      <c r="V2" s="17"/>
      <c r="W2" s="17"/>
      <c r="X2" s="17"/>
      <c r="Y2" s="17"/>
      <c r="Z2" s="17"/>
    </row>
    <row r="3" spans="1:26" x14ac:dyDescent="0.25">
      <c r="A3" s="16"/>
      <c r="B3" s="16"/>
      <c r="C3" s="16"/>
      <c r="D3" s="16"/>
      <c r="E3" s="17"/>
      <c r="F3" s="17"/>
      <c r="G3" s="17"/>
      <c r="H3" s="17"/>
      <c r="I3" s="17"/>
      <c r="J3" s="17"/>
      <c r="K3" s="17"/>
      <c r="L3" s="17"/>
      <c r="M3" s="17"/>
      <c r="N3" s="17"/>
      <c r="O3" s="17"/>
      <c r="P3" s="17"/>
      <c r="Q3" s="17"/>
      <c r="R3" s="17"/>
      <c r="S3" s="17"/>
      <c r="T3" s="17"/>
      <c r="U3" s="17"/>
      <c r="V3" s="17"/>
      <c r="W3" s="17"/>
      <c r="X3" s="17"/>
      <c r="Y3" s="17"/>
      <c r="Z3" s="17"/>
    </row>
    <row r="4" spans="1:26" x14ac:dyDescent="0.25">
      <c r="A4" s="16"/>
      <c r="B4" s="16"/>
      <c r="C4" s="16"/>
      <c r="D4" s="16"/>
      <c r="E4" s="17"/>
      <c r="F4" s="17"/>
      <c r="G4" s="17"/>
      <c r="H4" s="17"/>
      <c r="I4" s="17"/>
      <c r="J4" s="17"/>
      <c r="K4" s="17"/>
      <c r="L4" s="17"/>
      <c r="M4" s="17"/>
      <c r="N4" s="17"/>
      <c r="O4" s="17"/>
      <c r="P4" s="17"/>
      <c r="Q4" s="17"/>
      <c r="R4" s="17"/>
      <c r="S4" s="17"/>
      <c r="T4" s="17"/>
      <c r="U4" s="17"/>
      <c r="V4" s="17"/>
      <c r="W4" s="17"/>
      <c r="X4" s="17"/>
      <c r="Y4" s="17"/>
      <c r="Z4" s="17"/>
    </row>
    <row r="5" spans="1:26" x14ac:dyDescent="0.25">
      <c r="A5" s="16"/>
      <c r="B5" s="16"/>
      <c r="C5" s="16"/>
      <c r="D5" s="16"/>
      <c r="E5" s="17"/>
      <c r="F5" s="17"/>
      <c r="G5" s="17"/>
      <c r="H5" s="17"/>
      <c r="I5" s="17"/>
      <c r="J5" s="17"/>
      <c r="K5" s="17"/>
      <c r="L5" s="17"/>
      <c r="M5" s="17"/>
      <c r="N5" s="17"/>
      <c r="O5" s="17"/>
      <c r="P5" s="17"/>
      <c r="Q5" s="17"/>
      <c r="R5" s="17"/>
      <c r="S5" s="17"/>
      <c r="T5" s="17"/>
      <c r="U5" s="17"/>
      <c r="V5" s="17"/>
      <c r="W5" s="17"/>
      <c r="X5" s="17"/>
      <c r="Y5" s="17"/>
      <c r="Z5" s="17"/>
    </row>
    <row r="6" spans="1:26" x14ac:dyDescent="0.25">
      <c r="A6" s="16"/>
      <c r="B6" s="16"/>
      <c r="C6" s="16"/>
      <c r="D6" s="16"/>
      <c r="E6" s="17"/>
      <c r="F6" s="17"/>
      <c r="G6" s="17"/>
      <c r="H6" s="17"/>
      <c r="I6" s="17"/>
      <c r="J6" s="17"/>
      <c r="K6" s="17"/>
      <c r="L6" s="17"/>
      <c r="M6" s="17"/>
      <c r="N6" s="17"/>
      <c r="O6" s="17"/>
      <c r="P6" s="17"/>
      <c r="Q6" s="17"/>
      <c r="R6" s="17"/>
      <c r="S6" s="17"/>
      <c r="T6" s="17"/>
      <c r="U6" s="17"/>
      <c r="V6" s="17"/>
      <c r="W6" s="17"/>
      <c r="X6" s="17"/>
      <c r="Y6" s="17"/>
      <c r="Z6" s="17"/>
    </row>
    <row r="7" spans="1:26" x14ac:dyDescent="0.25">
      <c r="A7" s="16"/>
      <c r="B7" s="16"/>
      <c r="C7" s="16"/>
      <c r="D7" s="16"/>
      <c r="E7" s="17"/>
      <c r="F7" s="17"/>
      <c r="G7" s="17"/>
      <c r="H7" s="17"/>
      <c r="I7" s="17"/>
      <c r="J7" s="17"/>
      <c r="K7" s="17"/>
      <c r="L7" s="17"/>
      <c r="M7" s="17"/>
      <c r="N7" s="17"/>
      <c r="O7" s="17"/>
      <c r="P7" s="17"/>
      <c r="Q7" s="17"/>
      <c r="R7" s="17"/>
      <c r="S7" s="17"/>
      <c r="T7" s="17"/>
      <c r="U7" s="17"/>
      <c r="V7" s="17"/>
      <c r="W7" s="17"/>
      <c r="X7" s="17"/>
      <c r="Y7" s="17"/>
      <c r="Z7" s="17"/>
    </row>
    <row r="8" spans="1:26" x14ac:dyDescent="0.25">
      <c r="A8" s="16"/>
      <c r="B8" s="16"/>
      <c r="C8" s="16"/>
      <c r="D8" s="16"/>
      <c r="E8" s="17"/>
      <c r="F8" s="17"/>
      <c r="G8" s="17"/>
      <c r="H8" s="17"/>
      <c r="I8" s="17"/>
      <c r="J8" s="17"/>
      <c r="K8" s="17"/>
      <c r="L8" s="17"/>
      <c r="M8" s="17"/>
      <c r="N8" s="17"/>
      <c r="O8" s="17"/>
      <c r="P8" s="17"/>
      <c r="Q8" s="17"/>
      <c r="R8" s="17"/>
      <c r="S8" s="17"/>
      <c r="T8" s="17"/>
      <c r="U8" s="17"/>
      <c r="V8" s="17"/>
      <c r="W8" s="17"/>
      <c r="X8" s="17"/>
      <c r="Y8" s="17"/>
      <c r="Z8" s="17"/>
    </row>
    <row r="9" spans="1:26" x14ac:dyDescent="0.25">
      <c r="A9" s="16"/>
      <c r="B9" s="16"/>
      <c r="C9" s="16"/>
      <c r="D9" s="16"/>
      <c r="E9" s="17"/>
      <c r="F9" s="17"/>
      <c r="G9" s="17"/>
      <c r="H9" s="17"/>
      <c r="I9" s="17"/>
      <c r="J9" s="17"/>
      <c r="K9" s="17"/>
      <c r="L9" s="17"/>
      <c r="M9" s="17"/>
      <c r="N9" s="17"/>
      <c r="O9" s="17"/>
      <c r="P9" s="17"/>
      <c r="Q9" s="17"/>
      <c r="R9" s="17"/>
      <c r="S9" s="17"/>
      <c r="T9" s="17"/>
      <c r="U9" s="17"/>
      <c r="V9" s="17"/>
      <c r="W9" s="17"/>
      <c r="X9" s="17"/>
      <c r="Y9" s="17"/>
      <c r="Z9" s="17"/>
    </row>
    <row r="10" spans="1:26" x14ac:dyDescent="0.25">
      <c r="A10" s="16"/>
      <c r="B10" s="16"/>
      <c r="C10" s="16"/>
      <c r="D10" s="16"/>
      <c r="E10" s="17"/>
      <c r="F10" s="17"/>
      <c r="G10" s="17"/>
      <c r="H10" s="17"/>
      <c r="I10" s="17"/>
      <c r="J10" s="17"/>
      <c r="K10" s="17"/>
      <c r="L10" s="17"/>
      <c r="M10" s="17"/>
      <c r="N10" s="17"/>
      <c r="O10" s="17"/>
      <c r="P10" s="17"/>
      <c r="Q10" s="17"/>
      <c r="R10" s="17"/>
      <c r="S10" s="17"/>
      <c r="T10" s="17"/>
      <c r="U10" s="17"/>
      <c r="V10" s="17"/>
      <c r="W10" s="17"/>
      <c r="X10" s="17"/>
      <c r="Y10" s="17"/>
      <c r="Z10" s="17"/>
    </row>
    <row r="11" spans="1:26" x14ac:dyDescent="0.25">
      <c r="A11" s="16"/>
      <c r="B11" s="16"/>
      <c r="C11" s="16"/>
      <c r="D11" s="16"/>
      <c r="E11" s="17"/>
      <c r="F11" s="17"/>
      <c r="G11" s="17"/>
      <c r="H11" s="17"/>
      <c r="I11" s="17"/>
      <c r="J11" s="17"/>
      <c r="K11" s="17"/>
      <c r="L11" s="17"/>
      <c r="M11" s="17"/>
      <c r="N11" s="17"/>
      <c r="O11" s="17"/>
      <c r="P11" s="17"/>
      <c r="Q11" s="17"/>
      <c r="R11" s="17"/>
      <c r="S11" s="17"/>
      <c r="T11" s="17"/>
      <c r="U11" s="17"/>
      <c r="V11" s="17"/>
      <c r="W11" s="17"/>
      <c r="X11" s="17"/>
      <c r="Y11" s="17"/>
      <c r="Z11" s="17"/>
    </row>
    <row r="12" spans="1:26" x14ac:dyDescent="0.25">
      <c r="A12" s="16"/>
      <c r="B12" s="16"/>
      <c r="C12" s="16"/>
      <c r="D12" s="16"/>
      <c r="E12" s="17"/>
      <c r="F12" s="17"/>
      <c r="G12" s="17"/>
      <c r="H12" s="17"/>
      <c r="I12" s="17"/>
      <c r="J12" s="17"/>
      <c r="K12" s="17"/>
      <c r="L12" s="17"/>
      <c r="M12" s="17"/>
      <c r="N12" s="17"/>
      <c r="O12" s="17"/>
      <c r="P12" s="17"/>
      <c r="Q12" s="17"/>
      <c r="R12" s="17"/>
      <c r="S12" s="17"/>
      <c r="T12" s="17"/>
      <c r="U12" s="17"/>
      <c r="V12" s="17"/>
      <c r="W12" s="17"/>
      <c r="X12" s="17"/>
      <c r="Y12" s="17"/>
      <c r="Z12" s="17"/>
    </row>
    <row r="13" spans="1:26" x14ac:dyDescent="0.25">
      <c r="A13" s="16"/>
      <c r="B13" s="16"/>
      <c r="C13" s="16"/>
      <c r="D13" s="16"/>
      <c r="E13" s="17"/>
      <c r="F13" s="17"/>
      <c r="G13" s="17"/>
      <c r="H13" s="17"/>
      <c r="I13" s="17"/>
      <c r="J13" s="17"/>
      <c r="K13" s="17"/>
      <c r="L13" s="17"/>
      <c r="M13" s="17"/>
      <c r="N13" s="17"/>
      <c r="O13" s="17"/>
      <c r="P13" s="17"/>
      <c r="Q13" s="17"/>
      <c r="R13" s="17"/>
      <c r="S13" s="17"/>
      <c r="T13" s="17"/>
      <c r="U13" s="17"/>
      <c r="V13" s="17"/>
      <c r="W13" s="17"/>
      <c r="X13" s="17"/>
      <c r="Y13" s="17"/>
      <c r="Z13" s="17"/>
    </row>
    <row r="14" spans="1:26" x14ac:dyDescent="0.25">
      <c r="A14" s="16"/>
      <c r="B14" s="16"/>
      <c r="C14" s="16"/>
      <c r="D14" s="16"/>
      <c r="E14" s="17"/>
      <c r="F14" s="17"/>
      <c r="G14" s="17"/>
      <c r="H14" s="17"/>
      <c r="I14" s="17"/>
      <c r="J14" s="17"/>
      <c r="K14" s="17"/>
      <c r="L14" s="17"/>
      <c r="M14" s="17"/>
      <c r="N14" s="17"/>
      <c r="O14" s="17"/>
      <c r="P14" s="17"/>
      <c r="Q14" s="17"/>
      <c r="R14" s="17"/>
      <c r="S14" s="17"/>
      <c r="T14" s="17"/>
      <c r="U14" s="17"/>
      <c r="V14" s="17"/>
      <c r="W14" s="17"/>
      <c r="X14" s="17"/>
      <c r="Y14" s="17"/>
      <c r="Z14" s="17"/>
    </row>
    <row r="15" spans="1:26" x14ac:dyDescent="0.25">
      <c r="A15" s="16"/>
      <c r="B15" s="16"/>
      <c r="C15" s="16"/>
      <c r="D15" s="16"/>
      <c r="E15" s="17"/>
      <c r="F15" s="17"/>
      <c r="G15" s="17"/>
      <c r="H15" s="17"/>
      <c r="I15" s="17"/>
      <c r="J15" s="17"/>
      <c r="K15" s="17"/>
      <c r="L15" s="17"/>
      <c r="M15" s="17"/>
      <c r="N15" s="17"/>
      <c r="O15" s="17"/>
      <c r="P15" s="17"/>
      <c r="Q15" s="17"/>
      <c r="R15" s="17"/>
      <c r="S15" s="17"/>
      <c r="T15" s="17"/>
      <c r="U15" s="17"/>
      <c r="V15" s="17"/>
      <c r="W15" s="17"/>
      <c r="X15" s="17"/>
      <c r="Y15" s="17"/>
      <c r="Z15" s="17"/>
    </row>
    <row r="16" spans="1:26" ht="102.75" customHeight="1" x14ac:dyDescent="0.25">
      <c r="A16" s="344" t="s">
        <v>108</v>
      </c>
      <c r="B16" s="344"/>
      <c r="C16" s="344"/>
      <c r="D16" s="344"/>
      <c r="E16" s="18"/>
      <c r="F16" s="18"/>
      <c r="G16" s="19"/>
      <c r="H16" s="19"/>
      <c r="I16" s="19"/>
      <c r="J16" s="19"/>
      <c r="K16" s="19"/>
      <c r="L16" s="19"/>
      <c r="M16" s="17"/>
      <c r="N16" s="17"/>
      <c r="O16" s="17"/>
      <c r="P16" s="17"/>
      <c r="Q16" s="17"/>
      <c r="R16" s="17"/>
      <c r="S16" s="17"/>
      <c r="T16" s="17"/>
      <c r="U16" s="17"/>
      <c r="V16" s="17"/>
      <c r="W16" s="17"/>
      <c r="X16" s="17"/>
      <c r="Y16" s="17"/>
      <c r="Z16" s="17"/>
    </row>
    <row r="17" spans="1:26" ht="17.25" customHeight="1" x14ac:dyDescent="0.25">
      <c r="A17" s="20"/>
      <c r="B17" s="20"/>
      <c r="C17" s="20"/>
      <c r="D17" s="20"/>
      <c r="E17" s="17"/>
      <c r="F17" s="17"/>
      <c r="G17" s="17"/>
      <c r="H17" s="17"/>
      <c r="I17" s="17"/>
      <c r="J17" s="17"/>
      <c r="K17" s="17"/>
      <c r="L17" s="17"/>
      <c r="M17" s="17"/>
      <c r="N17" s="17"/>
      <c r="O17" s="17"/>
      <c r="P17" s="17"/>
      <c r="Q17" s="17"/>
      <c r="R17" s="17"/>
      <c r="S17" s="17"/>
      <c r="T17" s="17"/>
      <c r="U17" s="17"/>
      <c r="V17" s="17"/>
      <c r="W17" s="17"/>
      <c r="X17" s="17"/>
      <c r="Y17" s="17"/>
      <c r="Z17" s="17"/>
    </row>
    <row r="18" spans="1:26" ht="17.25" customHeight="1" x14ac:dyDescent="0.25">
      <c r="A18" s="20"/>
      <c r="B18" s="20"/>
      <c r="C18" s="20"/>
      <c r="D18" s="20"/>
      <c r="E18" s="21"/>
      <c r="F18" s="21"/>
      <c r="G18" s="22"/>
      <c r="H18" s="22"/>
      <c r="I18" s="22"/>
      <c r="J18" s="22"/>
      <c r="K18" s="22"/>
      <c r="L18" s="22"/>
      <c r="M18" s="17"/>
      <c r="N18" s="17"/>
      <c r="O18" s="17"/>
      <c r="P18" s="17"/>
      <c r="Q18" s="17"/>
      <c r="R18" s="17"/>
      <c r="S18" s="17"/>
      <c r="T18" s="17"/>
      <c r="U18" s="17"/>
      <c r="V18" s="17"/>
      <c r="W18" s="17"/>
      <c r="X18" s="17"/>
      <c r="Y18" s="17"/>
      <c r="Z18" s="17"/>
    </row>
    <row r="19" spans="1:26" ht="17.25" customHeight="1" x14ac:dyDescent="0.25">
      <c r="A19" s="23" t="s">
        <v>0</v>
      </c>
      <c r="B19" s="343" t="s">
        <v>105</v>
      </c>
      <c r="C19" s="343"/>
      <c r="D19" s="343"/>
      <c r="E19" s="24"/>
      <c r="F19" s="24"/>
      <c r="G19" s="25"/>
      <c r="H19" s="25"/>
      <c r="I19" s="25"/>
      <c r="J19" s="25"/>
      <c r="K19" s="25"/>
      <c r="L19" s="25"/>
      <c r="M19" s="17"/>
      <c r="N19" s="17"/>
      <c r="O19" s="17"/>
      <c r="P19" s="17"/>
      <c r="Q19" s="17"/>
      <c r="R19" s="17"/>
      <c r="S19" s="17"/>
      <c r="T19" s="17"/>
      <c r="U19" s="17"/>
      <c r="V19" s="17"/>
      <c r="W19" s="17"/>
      <c r="X19" s="17"/>
      <c r="Y19" s="17"/>
      <c r="Z19" s="17"/>
    </row>
    <row r="20" spans="1:26" ht="17.25" customHeight="1" x14ac:dyDescent="0.25">
      <c r="A20" s="23" t="s">
        <v>96</v>
      </c>
      <c r="B20" s="343" t="s">
        <v>106</v>
      </c>
      <c r="C20" s="343"/>
      <c r="D20" s="343"/>
      <c r="E20" s="24"/>
      <c r="F20" s="24"/>
      <c r="G20" s="25"/>
      <c r="H20" s="25"/>
      <c r="I20" s="25"/>
      <c r="J20" s="25"/>
      <c r="K20" s="25"/>
      <c r="L20" s="25"/>
      <c r="M20" s="17"/>
      <c r="N20" s="17"/>
      <c r="O20" s="17"/>
      <c r="P20" s="17"/>
      <c r="Q20" s="17"/>
      <c r="R20" s="17"/>
      <c r="S20" s="17"/>
      <c r="T20" s="17"/>
      <c r="U20" s="17"/>
      <c r="V20" s="17"/>
      <c r="W20" s="17"/>
      <c r="X20" s="17"/>
      <c r="Y20" s="17"/>
      <c r="Z20" s="17"/>
    </row>
    <row r="21" spans="1:26" ht="17.25" customHeight="1" x14ac:dyDescent="0.25">
      <c r="A21" s="23" t="s">
        <v>97</v>
      </c>
      <c r="B21" s="26" t="s">
        <v>107</v>
      </c>
      <c r="C21" s="26"/>
      <c r="D21" s="26"/>
      <c r="E21" s="24"/>
      <c r="F21" s="24"/>
      <c r="G21" s="25"/>
      <c r="H21" s="25"/>
      <c r="I21" s="25"/>
      <c r="J21" s="25"/>
      <c r="K21" s="25"/>
      <c r="L21" s="25"/>
      <c r="M21" s="17"/>
      <c r="N21" s="17"/>
      <c r="O21" s="17"/>
      <c r="P21" s="17"/>
      <c r="Q21" s="17"/>
      <c r="R21" s="17"/>
      <c r="S21" s="17"/>
      <c r="T21" s="17"/>
      <c r="U21" s="17"/>
      <c r="V21" s="17"/>
      <c r="W21" s="17"/>
      <c r="X21" s="17"/>
      <c r="Y21" s="17"/>
      <c r="Z21" s="17"/>
    </row>
    <row r="22" spans="1:26" ht="17.25" customHeight="1" x14ac:dyDescent="0.25">
      <c r="A22" s="23"/>
      <c r="B22" s="26"/>
      <c r="C22" s="26"/>
      <c r="D22" s="26"/>
      <c r="E22" s="24"/>
      <c r="F22" s="24"/>
      <c r="G22" s="25"/>
      <c r="H22" s="25"/>
      <c r="I22" s="25"/>
      <c r="J22" s="25"/>
      <c r="K22" s="25"/>
      <c r="L22" s="25"/>
      <c r="M22" s="17"/>
      <c r="N22" s="17"/>
      <c r="O22" s="17"/>
      <c r="P22" s="17"/>
      <c r="Q22" s="17"/>
      <c r="R22" s="17"/>
      <c r="S22" s="17"/>
      <c r="T22" s="17"/>
      <c r="U22" s="17"/>
      <c r="V22" s="17"/>
      <c r="W22" s="17"/>
      <c r="X22" s="17"/>
      <c r="Y22" s="17"/>
      <c r="Z22" s="17"/>
    </row>
    <row r="23" spans="1:26" ht="17.25" customHeight="1" x14ac:dyDescent="0.25">
      <c r="A23" s="23" t="s">
        <v>98</v>
      </c>
      <c r="B23" s="343" t="s">
        <v>109</v>
      </c>
      <c r="C23" s="343"/>
      <c r="D23" s="343"/>
      <c r="E23" s="17"/>
      <c r="F23" s="17"/>
      <c r="G23" s="17"/>
      <c r="H23" s="17"/>
      <c r="I23" s="17"/>
      <c r="J23" s="17"/>
      <c r="K23" s="17"/>
      <c r="L23" s="17"/>
      <c r="M23" s="17"/>
      <c r="N23" s="17"/>
      <c r="O23" s="17"/>
      <c r="P23" s="17"/>
      <c r="Q23" s="17"/>
      <c r="R23" s="17"/>
      <c r="S23" s="17"/>
      <c r="T23" s="17"/>
      <c r="U23" s="17"/>
      <c r="V23" s="17"/>
      <c r="W23" s="17"/>
      <c r="X23" s="17"/>
      <c r="Y23" s="17"/>
      <c r="Z23" s="17"/>
    </row>
    <row r="24" spans="1:26" ht="17.25" customHeight="1" x14ac:dyDescent="0.25">
      <c r="A24" s="23"/>
      <c r="B24" s="26"/>
      <c r="C24" s="26"/>
      <c r="D24" s="26"/>
      <c r="E24" s="17"/>
      <c r="F24" s="17"/>
      <c r="G24" s="17"/>
      <c r="H24" s="17"/>
      <c r="I24" s="17"/>
      <c r="J24" s="17"/>
      <c r="K24" s="17"/>
      <c r="L24" s="17"/>
      <c r="M24" s="17"/>
      <c r="N24" s="17"/>
      <c r="O24" s="17"/>
      <c r="P24" s="17"/>
      <c r="Q24" s="17"/>
      <c r="R24" s="17"/>
      <c r="S24" s="17"/>
      <c r="T24" s="17"/>
      <c r="U24" s="17"/>
      <c r="V24" s="17"/>
      <c r="W24" s="17"/>
      <c r="X24" s="17"/>
      <c r="Y24" s="17"/>
      <c r="Z24" s="17"/>
    </row>
    <row r="25" spans="1:26" ht="17.25" customHeight="1" x14ac:dyDescent="0.25">
      <c r="A25" s="23"/>
      <c r="B25" s="26"/>
      <c r="C25" s="26"/>
      <c r="D25" s="26"/>
      <c r="E25" s="17"/>
      <c r="F25" s="17"/>
      <c r="G25" s="17"/>
      <c r="H25" s="17"/>
      <c r="I25" s="17"/>
      <c r="J25" s="17"/>
      <c r="K25" s="17"/>
      <c r="L25" s="17"/>
      <c r="M25" s="17"/>
      <c r="N25" s="17"/>
      <c r="O25" s="17"/>
      <c r="P25" s="17"/>
      <c r="Q25" s="17"/>
      <c r="R25" s="17"/>
      <c r="S25" s="17"/>
      <c r="T25" s="17"/>
      <c r="U25" s="17"/>
      <c r="V25" s="17"/>
      <c r="W25" s="17"/>
      <c r="X25" s="17"/>
      <c r="Y25" s="17"/>
      <c r="Z25" s="17"/>
    </row>
    <row r="26" spans="1:26" ht="17.25" customHeight="1" x14ac:dyDescent="0.25">
      <c r="A26" s="23" t="s">
        <v>99</v>
      </c>
      <c r="B26" s="343"/>
      <c r="C26" s="343"/>
      <c r="D26" s="343"/>
      <c r="E26" s="17"/>
      <c r="F26" s="17"/>
      <c r="G26" s="17"/>
      <c r="H26" s="17"/>
      <c r="I26" s="17"/>
      <c r="J26" s="17"/>
      <c r="K26" s="17"/>
      <c r="L26" s="17"/>
      <c r="M26" s="17"/>
      <c r="N26" s="17"/>
      <c r="O26" s="17"/>
      <c r="P26" s="17"/>
      <c r="Q26" s="17"/>
      <c r="R26" s="17"/>
      <c r="S26" s="17"/>
      <c r="T26" s="17"/>
      <c r="U26" s="17"/>
      <c r="V26" s="17"/>
      <c r="W26" s="17"/>
      <c r="X26" s="17"/>
      <c r="Y26" s="17"/>
      <c r="Z26" s="17"/>
    </row>
    <row r="27" spans="1:26" ht="17.25" customHeight="1" x14ac:dyDescent="0.25">
      <c r="A27" s="23"/>
      <c r="B27" s="26"/>
      <c r="C27" s="26"/>
      <c r="D27" s="26"/>
      <c r="E27" s="17"/>
      <c r="F27" s="17"/>
      <c r="G27" s="17"/>
      <c r="H27" s="17"/>
      <c r="I27" s="17"/>
      <c r="J27" s="17"/>
      <c r="K27" s="17"/>
      <c r="L27" s="17"/>
      <c r="M27" s="17"/>
      <c r="N27" s="17"/>
      <c r="O27" s="17"/>
      <c r="P27" s="17"/>
      <c r="Q27" s="17"/>
      <c r="R27" s="17"/>
      <c r="S27" s="17"/>
      <c r="T27" s="17"/>
      <c r="U27" s="17"/>
      <c r="V27" s="17"/>
      <c r="W27" s="17"/>
      <c r="X27" s="17"/>
      <c r="Y27" s="17"/>
      <c r="Z27" s="17"/>
    </row>
    <row r="28" spans="1:26" ht="17.25" customHeight="1" x14ac:dyDescent="0.25">
      <c r="A28" s="23"/>
      <c r="B28" s="26"/>
      <c r="C28" s="26"/>
      <c r="D28" s="26"/>
      <c r="E28" s="17"/>
      <c r="F28" s="17"/>
      <c r="G28" s="17"/>
      <c r="H28" s="17"/>
      <c r="I28" s="17"/>
      <c r="J28" s="17"/>
      <c r="K28" s="17"/>
      <c r="L28" s="17"/>
      <c r="M28" s="17"/>
      <c r="N28" s="17"/>
      <c r="O28" s="17"/>
      <c r="P28" s="17"/>
      <c r="Q28" s="17"/>
      <c r="R28" s="17"/>
      <c r="S28" s="17"/>
      <c r="T28" s="17"/>
      <c r="U28" s="17"/>
      <c r="V28" s="17"/>
      <c r="W28" s="17"/>
      <c r="X28" s="17"/>
      <c r="Y28" s="17"/>
      <c r="Z28" s="17"/>
    </row>
    <row r="29" spans="1:26" ht="17.25" customHeight="1" x14ac:dyDescent="0.25">
      <c r="A29" s="23" t="s">
        <v>100</v>
      </c>
      <c r="B29" s="27">
        <v>1</v>
      </c>
      <c r="C29" s="26"/>
      <c r="D29" s="26"/>
      <c r="E29" s="17"/>
      <c r="F29" s="17"/>
      <c r="G29" s="17"/>
      <c r="H29" s="17"/>
      <c r="I29" s="17"/>
      <c r="J29" s="17"/>
      <c r="K29" s="17"/>
      <c r="L29" s="17"/>
      <c r="M29" s="17"/>
      <c r="N29" s="17"/>
      <c r="O29" s="17"/>
      <c r="P29" s="17"/>
      <c r="Q29" s="17"/>
      <c r="R29" s="17"/>
      <c r="S29" s="17"/>
      <c r="T29" s="17"/>
      <c r="U29" s="17"/>
      <c r="V29" s="17"/>
      <c r="W29" s="17"/>
      <c r="X29" s="17"/>
      <c r="Y29" s="17"/>
      <c r="Z29" s="17"/>
    </row>
    <row r="30" spans="1:26" ht="17.25" customHeight="1" x14ac:dyDescent="0.25">
      <c r="A30" s="23" t="s">
        <v>101</v>
      </c>
      <c r="B30" s="345"/>
      <c r="C30" s="343"/>
      <c r="D30" s="343"/>
      <c r="E30" s="28"/>
      <c r="F30" s="28"/>
      <c r="G30" s="17"/>
      <c r="H30" s="17"/>
      <c r="I30" s="17"/>
      <c r="J30" s="17"/>
      <c r="K30" s="17"/>
      <c r="L30" s="17"/>
      <c r="M30" s="17"/>
      <c r="N30" s="17"/>
      <c r="O30" s="17"/>
      <c r="P30" s="17"/>
      <c r="Q30" s="17"/>
      <c r="R30" s="17"/>
      <c r="S30" s="17"/>
      <c r="T30" s="17"/>
      <c r="U30" s="17"/>
      <c r="V30" s="17"/>
      <c r="W30" s="17"/>
      <c r="X30" s="17"/>
      <c r="Y30" s="17"/>
      <c r="Z30" s="17"/>
    </row>
    <row r="31" spans="1:26" ht="17.25" customHeight="1" x14ac:dyDescent="0.25">
      <c r="A31" s="23" t="s">
        <v>102</v>
      </c>
      <c r="B31" s="343" t="s">
        <v>103</v>
      </c>
      <c r="C31" s="343"/>
      <c r="D31" s="343"/>
      <c r="E31" s="28"/>
      <c r="F31" s="28"/>
      <c r="G31" s="17"/>
      <c r="H31" s="17"/>
      <c r="I31" s="17"/>
      <c r="J31" s="17"/>
      <c r="K31" s="17"/>
      <c r="L31" s="17"/>
      <c r="M31" s="17"/>
      <c r="N31" s="17"/>
      <c r="O31" s="17"/>
      <c r="P31" s="17"/>
      <c r="Q31" s="17"/>
      <c r="R31" s="17"/>
      <c r="S31" s="17"/>
      <c r="T31" s="17"/>
      <c r="U31" s="17"/>
      <c r="V31" s="17"/>
      <c r="W31" s="17"/>
      <c r="X31" s="17"/>
      <c r="Y31" s="17"/>
      <c r="Z31" s="17"/>
    </row>
    <row r="32" spans="1:26" ht="17.25" customHeight="1" x14ac:dyDescent="0.25">
      <c r="A32" s="29"/>
      <c r="B32" s="30" t="s">
        <v>104</v>
      </c>
      <c r="C32" s="29"/>
      <c r="D32" s="29"/>
      <c r="E32" s="17"/>
      <c r="F32" s="17"/>
      <c r="G32" s="17"/>
      <c r="H32" s="17"/>
      <c r="I32" s="17"/>
      <c r="J32" s="17"/>
      <c r="K32" s="17"/>
      <c r="L32" s="17"/>
      <c r="M32" s="17"/>
      <c r="N32" s="17"/>
      <c r="O32" s="17"/>
      <c r="P32" s="17"/>
      <c r="Q32" s="17"/>
      <c r="R32" s="17"/>
      <c r="S32" s="17"/>
      <c r="T32" s="17"/>
      <c r="U32" s="17"/>
      <c r="V32" s="17"/>
      <c r="W32" s="17"/>
      <c r="X32" s="17"/>
      <c r="Y32" s="17"/>
      <c r="Z32" s="17"/>
    </row>
    <row r="33" spans="1:26" x14ac:dyDescent="0.25">
      <c r="A33" s="16"/>
      <c r="B33" s="16"/>
      <c r="C33" s="16"/>
      <c r="D33" s="16"/>
      <c r="E33" s="17"/>
      <c r="F33" s="17"/>
      <c r="G33" s="17"/>
      <c r="H33" s="17"/>
      <c r="I33" s="17"/>
      <c r="J33" s="17"/>
      <c r="K33" s="17"/>
      <c r="L33" s="17"/>
      <c r="M33" s="17"/>
      <c r="N33" s="17"/>
      <c r="O33" s="17"/>
      <c r="P33" s="17"/>
      <c r="Q33" s="17"/>
      <c r="R33" s="17"/>
      <c r="S33" s="17"/>
      <c r="T33" s="17"/>
      <c r="U33" s="17"/>
      <c r="V33" s="17"/>
      <c r="W33" s="17"/>
      <c r="X33" s="17"/>
      <c r="Y33" s="17"/>
      <c r="Z33" s="17"/>
    </row>
    <row r="34" spans="1:26" x14ac:dyDescent="0.25">
      <c r="A34" s="16"/>
      <c r="B34" s="16"/>
      <c r="C34" s="16"/>
      <c r="D34" s="16"/>
      <c r="E34" s="17"/>
      <c r="F34" s="17"/>
      <c r="G34" s="17"/>
      <c r="H34" s="17"/>
      <c r="I34" s="17"/>
      <c r="J34" s="17"/>
      <c r="K34" s="17"/>
      <c r="L34" s="17"/>
      <c r="M34" s="17"/>
      <c r="N34" s="17"/>
      <c r="O34" s="17"/>
      <c r="P34" s="17"/>
      <c r="Q34" s="17"/>
      <c r="R34" s="17"/>
      <c r="S34" s="17"/>
      <c r="T34" s="17"/>
      <c r="U34" s="17"/>
      <c r="V34" s="17"/>
      <c r="W34" s="17"/>
      <c r="X34" s="17"/>
      <c r="Y34" s="17"/>
      <c r="Z34" s="17"/>
    </row>
    <row r="35" spans="1:26" x14ac:dyDescent="0.25">
      <c r="A35" s="16"/>
      <c r="B35" s="16"/>
      <c r="C35" s="16"/>
      <c r="D35" s="16"/>
      <c r="E35" s="17"/>
      <c r="F35" s="17"/>
      <c r="G35" s="17"/>
      <c r="H35" s="17"/>
      <c r="I35" s="17"/>
      <c r="J35" s="17"/>
      <c r="K35" s="17"/>
      <c r="L35" s="17"/>
      <c r="M35" s="17"/>
      <c r="N35" s="17"/>
      <c r="O35" s="17"/>
      <c r="P35" s="17"/>
      <c r="Q35" s="17"/>
      <c r="R35" s="17"/>
      <c r="S35" s="17"/>
      <c r="T35" s="17"/>
      <c r="U35" s="17"/>
      <c r="V35" s="17"/>
      <c r="W35" s="17"/>
      <c r="X35" s="17"/>
      <c r="Y35" s="17"/>
      <c r="Z35" s="17"/>
    </row>
    <row r="36" spans="1:26" x14ac:dyDescent="0.25">
      <c r="A36" s="16"/>
      <c r="B36" s="16"/>
      <c r="C36" s="16"/>
      <c r="D36" s="16"/>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5">
      <c r="A37" s="16"/>
      <c r="B37" s="16"/>
      <c r="C37" s="16"/>
      <c r="D37" s="16"/>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5">
      <c r="A38" s="16"/>
      <c r="B38" s="16"/>
      <c r="C38" s="16"/>
      <c r="D38" s="16"/>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5">
      <c r="A39" s="16"/>
      <c r="B39" s="16"/>
      <c r="C39" s="16"/>
      <c r="D39" s="16"/>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5">
      <c r="A40" s="16"/>
      <c r="B40" s="16"/>
      <c r="C40" s="16"/>
      <c r="D40" s="16"/>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5">
      <c r="A41" s="16"/>
      <c r="B41" s="16"/>
      <c r="C41" s="16"/>
      <c r="D41" s="16"/>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5">
      <c r="A42" s="16"/>
      <c r="B42" s="16"/>
      <c r="C42" s="16"/>
      <c r="D42" s="16"/>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5">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5">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5">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5">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5">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5">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5">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5">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5">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5">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5">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5">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5">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5">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5">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5">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5">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5">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5">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5">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5">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5">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5">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5">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5">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5">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5">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5">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5">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5">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5">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5">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5">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5">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5">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5">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5">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5">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5">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5">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5">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5">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5">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5">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5">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5">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5">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5">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5">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5">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5">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5">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5">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5">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5">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5">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5">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sheetData>
  <mergeCells count="7">
    <mergeCell ref="B31:D31"/>
    <mergeCell ref="A16:D16"/>
    <mergeCell ref="B19:D19"/>
    <mergeCell ref="B20:D20"/>
    <mergeCell ref="B23:D23"/>
    <mergeCell ref="B26:D26"/>
    <mergeCell ref="B30:D30"/>
  </mergeCells>
  <hyperlinks>
    <hyperlink ref="B32" r:id="rId1" xr:uid="{6C29BCCF-90E3-407F-A4B5-78C29728C24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B1213-6C31-48A8-83C3-BAB34D61794D}">
  <sheetPr>
    <tabColor theme="4"/>
  </sheetPr>
  <dimension ref="B1:G11"/>
  <sheetViews>
    <sheetView workbookViewId="0">
      <selection activeCell="B6" sqref="B6"/>
    </sheetView>
  </sheetViews>
  <sheetFormatPr defaultRowHeight="15" x14ac:dyDescent="0.25"/>
  <cols>
    <col min="2" max="2" width="21.5703125" bestFit="1" customWidth="1"/>
    <col min="3" max="3" width="69" bestFit="1" customWidth="1"/>
  </cols>
  <sheetData>
    <row r="1" spans="2:7" ht="18" thickBot="1" x14ac:dyDescent="0.35">
      <c r="B1" s="338" t="s">
        <v>833</v>
      </c>
      <c r="C1" s="338"/>
      <c r="D1" s="338"/>
      <c r="E1" s="338"/>
      <c r="F1" s="339"/>
      <c r="G1" s="339"/>
    </row>
    <row r="2" spans="2:7" ht="15.75" thickTop="1" x14ac:dyDescent="0.25">
      <c r="B2" s="339"/>
      <c r="C2" s="339"/>
      <c r="D2" s="339"/>
      <c r="E2" s="339"/>
      <c r="F2" s="339"/>
      <c r="G2" s="339"/>
    </row>
    <row r="3" spans="2:7" x14ac:dyDescent="0.25">
      <c r="B3" s="340" t="s">
        <v>33</v>
      </c>
      <c r="C3" s="341"/>
      <c r="D3" s="341"/>
      <c r="E3" s="341"/>
      <c r="F3" s="341"/>
      <c r="G3" s="341"/>
    </row>
    <row r="4" spans="2:7" x14ac:dyDescent="0.25">
      <c r="B4" s="342" t="s">
        <v>19</v>
      </c>
      <c r="C4" s="342" t="s">
        <v>18</v>
      </c>
      <c r="D4" s="342" t="s">
        <v>17</v>
      </c>
      <c r="E4" s="342" t="s">
        <v>16</v>
      </c>
      <c r="F4" s="342" t="s">
        <v>15</v>
      </c>
      <c r="G4" s="342" t="s">
        <v>20</v>
      </c>
    </row>
    <row r="5" spans="2:7" x14ac:dyDescent="0.25">
      <c r="B5" t="s">
        <v>834</v>
      </c>
    </row>
    <row r="6" spans="2:7" x14ac:dyDescent="0.25">
      <c r="B6" t="str">
        <f>H2_Production!B6</f>
        <v>USMRGASHGN</v>
      </c>
      <c r="C6" t="str">
        <f>H2_Production!A6</f>
        <v>Production Plant Hydrogen - Large SMR - Inland</v>
      </c>
      <c r="D6" t="s">
        <v>4</v>
      </c>
      <c r="E6" t="s">
        <v>831</v>
      </c>
      <c r="F6" t="s">
        <v>832</v>
      </c>
      <c r="G6" t="s">
        <v>5</v>
      </c>
    </row>
    <row r="7" spans="2:7" x14ac:dyDescent="0.25">
      <c r="B7" t="str">
        <f>H2_Production!B10</f>
        <v>USMRGICHGN</v>
      </c>
      <c r="C7" t="str">
        <f>H2_Production!A10</f>
        <v>Production Plant Hydrogen - Large SMR - Coastal</v>
      </c>
      <c r="D7" t="s">
        <v>4</v>
      </c>
      <c r="E7" t="s">
        <v>831</v>
      </c>
      <c r="F7" t="s">
        <v>832</v>
      </c>
      <c r="G7" t="s">
        <v>5</v>
      </c>
    </row>
    <row r="8" spans="2:7" x14ac:dyDescent="0.25">
      <c r="B8" t="str">
        <f>H2_Production!B14</f>
        <v>UCOGCLEHGN</v>
      </c>
      <c r="C8" t="str">
        <f>H2_Production!A14</f>
        <v>Production Plant Hydrogen - Large Coal Gasification</v>
      </c>
      <c r="D8" t="s">
        <v>4</v>
      </c>
      <c r="E8" t="s">
        <v>831</v>
      </c>
      <c r="F8" t="s">
        <v>832</v>
      </c>
      <c r="G8" t="s">
        <v>5</v>
      </c>
    </row>
    <row r="9" spans="2:7" x14ac:dyDescent="0.25">
      <c r="B9" t="str">
        <f>H2_Production!B18</f>
        <v>UELEP1HGN</v>
      </c>
      <c r="C9" t="str">
        <f>H2_Production!A18</f>
        <v>Production Plant Hydrogen Electrolysis PEM</v>
      </c>
      <c r="D9" t="s">
        <v>4</v>
      </c>
      <c r="E9" t="s">
        <v>835</v>
      </c>
      <c r="F9" t="s">
        <v>36</v>
      </c>
      <c r="G9" t="s">
        <v>5</v>
      </c>
    </row>
    <row r="10" spans="2:7" x14ac:dyDescent="0.25">
      <c r="B10" t="str">
        <f>H2_Production!B21</f>
        <v>UELEA1HGN</v>
      </c>
      <c r="C10" t="str">
        <f>H2_Production!A21</f>
        <v>Production Plant Hydrogen Electrolysis Alkaline</v>
      </c>
      <c r="D10" t="s">
        <v>4</v>
      </c>
      <c r="E10" t="s">
        <v>835</v>
      </c>
      <c r="F10" t="s">
        <v>36</v>
      </c>
      <c r="G10" t="s">
        <v>5</v>
      </c>
    </row>
    <row r="11" spans="2:7" x14ac:dyDescent="0.25">
      <c r="B11" t="s">
        <v>836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A4211-008F-49A8-AEFF-BC627C2CC3AB}">
  <sheetPr>
    <tabColor theme="4"/>
  </sheetPr>
  <dimension ref="A1:AE24"/>
  <sheetViews>
    <sheetView tabSelected="1" topLeftCell="D1" workbookViewId="0">
      <selection activeCell="N11" sqref="N11"/>
    </sheetView>
  </sheetViews>
  <sheetFormatPr defaultColWidth="11.42578125" defaultRowHeight="12.75" x14ac:dyDescent="0.2"/>
  <cols>
    <col min="1" max="1" width="47" style="258" customWidth="1"/>
    <col min="2" max="2" width="17.28515625" style="258" customWidth="1"/>
    <col min="3" max="3" width="14.28515625" style="258" customWidth="1"/>
    <col min="4" max="10" width="10" style="258" customWidth="1"/>
    <col min="11" max="11" width="10" style="260" customWidth="1"/>
    <col min="12" max="14" width="10" style="258" customWidth="1"/>
    <col min="15" max="18" width="10" style="259" customWidth="1"/>
    <col min="19" max="19" width="10" style="258" customWidth="1"/>
    <col min="20" max="20" width="7.28515625" style="258" customWidth="1"/>
    <col min="21" max="22" width="9.7109375" style="258" customWidth="1"/>
    <col min="23" max="24" width="7.28515625" style="259" customWidth="1"/>
    <col min="25" max="16384" width="11.42578125" style="258"/>
  </cols>
  <sheetData>
    <row r="1" spans="1:31" ht="20.25" thickBot="1" x14ac:dyDescent="0.35">
      <c r="A1" s="291" t="s">
        <v>785</v>
      </c>
      <c r="B1" s="301" t="s">
        <v>802</v>
      </c>
      <c r="C1" s="291"/>
      <c r="D1" s="291"/>
      <c r="E1" s="291"/>
      <c r="F1" s="293"/>
      <c r="G1" s="289"/>
      <c r="H1" s="289"/>
      <c r="I1" s="289"/>
      <c r="J1" s="289"/>
      <c r="K1" s="292"/>
      <c r="L1" s="291"/>
      <c r="M1" s="258" t="s">
        <v>830</v>
      </c>
      <c r="O1" s="258">
        <v>1.4059999999999999</v>
      </c>
      <c r="P1" s="258"/>
      <c r="Q1" s="258"/>
      <c r="R1" s="258"/>
      <c r="W1" s="258"/>
      <c r="X1" s="258"/>
    </row>
    <row r="2" spans="1:31" ht="13.5" thickTop="1" x14ac:dyDescent="0.2">
      <c r="A2" s="287"/>
      <c r="B2" s="288"/>
      <c r="C2" s="288"/>
      <c r="D2" s="288"/>
      <c r="E2" s="288" t="s">
        <v>34</v>
      </c>
      <c r="F2" s="288"/>
      <c r="G2" s="287"/>
      <c r="H2" s="287"/>
      <c r="I2" s="287"/>
      <c r="J2" s="287"/>
      <c r="K2" s="290"/>
      <c r="L2" s="288"/>
      <c r="M2" s="288"/>
      <c r="N2" s="287"/>
      <c r="O2" s="288"/>
      <c r="P2" s="288"/>
      <c r="Q2" s="288"/>
      <c r="R2" s="288"/>
      <c r="S2" s="288"/>
      <c r="T2" s="288"/>
      <c r="U2" s="288"/>
      <c r="V2" s="288"/>
      <c r="W2" s="288"/>
      <c r="X2" s="288"/>
    </row>
    <row r="3" spans="1:31" ht="42.75" customHeight="1" x14ac:dyDescent="0.2">
      <c r="A3" s="285" t="s">
        <v>18</v>
      </c>
      <c r="B3" s="278" t="s">
        <v>19</v>
      </c>
      <c r="C3" s="278" t="s">
        <v>783</v>
      </c>
      <c r="D3" s="278" t="s">
        <v>31</v>
      </c>
      <c r="E3" s="278" t="s">
        <v>782</v>
      </c>
      <c r="F3" s="278" t="s">
        <v>781</v>
      </c>
      <c r="G3" s="278" t="s">
        <v>827</v>
      </c>
      <c r="H3" s="278" t="s">
        <v>25</v>
      </c>
      <c r="I3" s="278" t="s">
        <v>828</v>
      </c>
      <c r="J3" s="278" t="s">
        <v>45</v>
      </c>
      <c r="K3" s="286" t="s">
        <v>803</v>
      </c>
      <c r="L3" s="285" t="s">
        <v>804</v>
      </c>
      <c r="M3" s="278" t="s">
        <v>264</v>
      </c>
      <c r="N3" s="278" t="s">
        <v>780</v>
      </c>
      <c r="O3" s="284" t="s">
        <v>824</v>
      </c>
      <c r="P3" s="284" t="s">
        <v>825</v>
      </c>
      <c r="Q3" s="284" t="s">
        <v>829</v>
      </c>
      <c r="R3" s="284" t="s">
        <v>826</v>
      </c>
      <c r="S3" s="278" t="s">
        <v>21</v>
      </c>
      <c r="T3" s="278" t="s">
        <v>22</v>
      </c>
      <c r="U3" s="278" t="s">
        <v>47</v>
      </c>
      <c r="V3" s="278" t="s">
        <v>758</v>
      </c>
      <c r="W3" s="284" t="s">
        <v>806</v>
      </c>
      <c r="X3" s="284" t="s">
        <v>837</v>
      </c>
      <c r="Y3" s="258" t="s">
        <v>161</v>
      </c>
    </row>
    <row r="4" spans="1:31" ht="51" x14ac:dyDescent="0.2">
      <c r="A4" s="280" t="s">
        <v>779</v>
      </c>
      <c r="B4" s="280" t="s">
        <v>778</v>
      </c>
      <c r="C4" s="280" t="s">
        <v>777</v>
      </c>
      <c r="D4" s="280" t="s">
        <v>10</v>
      </c>
      <c r="E4" s="280" t="s">
        <v>776</v>
      </c>
      <c r="F4" s="280" t="s">
        <v>42</v>
      </c>
      <c r="G4" s="280" t="s">
        <v>371</v>
      </c>
      <c r="H4" s="280" t="s">
        <v>371</v>
      </c>
      <c r="I4" s="280" t="s">
        <v>371</v>
      </c>
      <c r="J4" s="280" t="s">
        <v>371</v>
      </c>
      <c r="K4" s="283" t="s">
        <v>775</v>
      </c>
      <c r="L4" s="281" t="s">
        <v>774</v>
      </c>
      <c r="M4" s="281" t="s">
        <v>805</v>
      </c>
      <c r="N4" s="281" t="s">
        <v>773</v>
      </c>
      <c r="O4" s="282" t="s">
        <v>772</v>
      </c>
      <c r="P4" s="282" t="s">
        <v>772</v>
      </c>
      <c r="Q4" s="282" t="s">
        <v>772</v>
      </c>
      <c r="R4" s="282" t="s">
        <v>772</v>
      </c>
      <c r="S4" s="280" t="s">
        <v>771</v>
      </c>
      <c r="T4" s="280" t="s">
        <v>770</v>
      </c>
      <c r="U4" s="280"/>
      <c r="V4" s="280"/>
      <c r="W4" s="279" t="s">
        <v>182</v>
      </c>
      <c r="X4" s="279" t="s">
        <v>451</v>
      </c>
    </row>
    <row r="5" spans="1:31" ht="26.25" thickBot="1" x14ac:dyDescent="0.25">
      <c r="A5" s="277" t="s">
        <v>769</v>
      </c>
      <c r="B5" s="276"/>
      <c r="C5" s="276"/>
      <c r="D5" s="276"/>
      <c r="E5" s="276"/>
      <c r="F5" s="275" t="s">
        <v>75</v>
      </c>
      <c r="G5" s="275" t="s">
        <v>768</v>
      </c>
      <c r="H5" s="275" t="s">
        <v>768</v>
      </c>
      <c r="I5" s="275" t="s">
        <v>768</v>
      </c>
      <c r="J5" s="275" t="s">
        <v>768</v>
      </c>
      <c r="K5" s="274" t="s">
        <v>767</v>
      </c>
      <c r="L5" s="272" t="s">
        <v>767</v>
      </c>
      <c r="M5" s="272"/>
      <c r="N5" s="272"/>
      <c r="O5" s="273" t="s">
        <v>766</v>
      </c>
      <c r="P5" s="273" t="s">
        <v>766</v>
      </c>
      <c r="Q5" s="273" t="s">
        <v>766</v>
      </c>
      <c r="R5" s="273" t="s">
        <v>766</v>
      </c>
      <c r="S5" s="272" t="s">
        <v>766</v>
      </c>
      <c r="T5" s="272" t="s">
        <v>765</v>
      </c>
      <c r="U5" s="272" t="s">
        <v>75</v>
      </c>
      <c r="V5" s="272"/>
      <c r="W5" s="271" t="s">
        <v>764</v>
      </c>
      <c r="X5" s="271"/>
    </row>
    <row r="6" spans="1:31" x14ac:dyDescent="0.2">
      <c r="A6" s="263" t="s">
        <v>763</v>
      </c>
      <c r="B6" s="226" t="s">
        <v>796</v>
      </c>
      <c r="C6" s="226"/>
      <c r="D6" s="258" t="s">
        <v>799</v>
      </c>
      <c r="F6" s="266">
        <v>40</v>
      </c>
      <c r="G6" s="261">
        <v>0.8</v>
      </c>
      <c r="H6" s="261">
        <v>0.8</v>
      </c>
      <c r="I6" s="261">
        <v>0.8</v>
      </c>
      <c r="J6" s="261">
        <v>0.8</v>
      </c>
      <c r="K6" s="265">
        <v>0.9</v>
      </c>
      <c r="L6" s="261" t="str">
        <f>""</f>
        <v/>
      </c>
      <c r="M6" s="270"/>
      <c r="N6" s="268">
        <v>2080</v>
      </c>
      <c r="O6" s="262">
        <f>$O$1*'Hydrogen-Other'!R30</f>
        <v>180.92689199999998</v>
      </c>
      <c r="P6" s="262">
        <f>$O$1*'Hydrogen-Other'!S30</f>
        <v>140.72091599999999</v>
      </c>
      <c r="Q6" s="262"/>
      <c r="R6" s="262">
        <f>$O$1*'Hydrogen-Other'!T30</f>
        <v>100.51493999999998</v>
      </c>
      <c r="S6" s="261">
        <f>zar.2010*'Hydrogen-Other'!O71</f>
        <v>5.6165845756230484</v>
      </c>
      <c r="T6" s="261"/>
      <c r="U6" s="266">
        <v>-4</v>
      </c>
      <c r="V6" s="261" t="str">
        <f>""</f>
        <v/>
      </c>
      <c r="W6" s="262">
        <f>'Hydrogen-Other'!F39</f>
        <v>88.593333333333334</v>
      </c>
      <c r="X6" s="262">
        <f>'Hydrogen-Other'!F41</f>
        <v>1.2177777777777774</v>
      </c>
      <c r="Y6" s="264">
        <v>1</v>
      </c>
      <c r="Z6" s="264"/>
      <c r="AA6" s="264"/>
      <c r="AB6" s="264"/>
      <c r="AC6" s="264"/>
      <c r="AD6" s="264"/>
      <c r="AE6" s="264"/>
    </row>
    <row r="7" spans="1:31" x14ac:dyDescent="0.2">
      <c r="A7" s="263"/>
      <c r="C7" s="226"/>
      <c r="D7" s="258" t="s">
        <v>262</v>
      </c>
      <c r="F7" s="261"/>
      <c r="G7" s="261"/>
      <c r="H7" s="261"/>
      <c r="I7" s="261"/>
      <c r="J7" s="261"/>
      <c r="K7" s="265"/>
      <c r="L7" s="261"/>
      <c r="M7" s="270">
        <f>0.0634046419567962/G6</f>
        <v>7.9255802445995241E-2</v>
      </c>
      <c r="N7" s="261"/>
      <c r="O7" s="262"/>
      <c r="P7" s="262"/>
      <c r="Q7" s="262"/>
      <c r="R7" s="262"/>
      <c r="S7" s="261"/>
      <c r="T7" s="261"/>
      <c r="U7" s="261"/>
      <c r="V7" s="261"/>
      <c r="W7" s="262"/>
      <c r="X7" s="262"/>
      <c r="Y7" s="264"/>
      <c r="Z7" s="264"/>
      <c r="AA7" s="264"/>
      <c r="AB7" s="264"/>
      <c r="AC7" s="264"/>
      <c r="AD7" s="264"/>
      <c r="AE7" s="264"/>
    </row>
    <row r="8" spans="1:31" x14ac:dyDescent="0.2">
      <c r="C8" s="226"/>
      <c r="E8" s="258" t="s">
        <v>260</v>
      </c>
      <c r="F8" s="261"/>
      <c r="G8" s="261"/>
      <c r="H8" s="261"/>
      <c r="I8" s="261"/>
      <c r="J8" s="261"/>
      <c r="K8" s="265"/>
      <c r="L8" s="261"/>
      <c r="M8" s="261"/>
      <c r="N8" s="261"/>
      <c r="O8" s="262"/>
      <c r="P8" s="262"/>
      <c r="Q8" s="262"/>
      <c r="R8" s="262"/>
      <c r="S8" s="261"/>
      <c r="T8" s="261"/>
      <c r="U8" s="261"/>
      <c r="V8" s="261"/>
      <c r="W8" s="262"/>
      <c r="X8" s="262"/>
      <c r="Y8" s="264"/>
      <c r="Z8" s="264"/>
      <c r="AA8" s="264"/>
      <c r="AB8" s="264"/>
      <c r="AC8" s="264"/>
      <c r="AD8" s="264"/>
      <c r="AE8" s="264"/>
    </row>
    <row r="9" spans="1:31" x14ac:dyDescent="0.2">
      <c r="A9" s="263" t="s">
        <v>7</v>
      </c>
      <c r="B9" s="226"/>
      <c r="C9" s="226"/>
      <c r="F9" s="261"/>
      <c r="G9" s="261"/>
      <c r="H9" s="261"/>
      <c r="I9" s="261"/>
      <c r="J9" s="261"/>
      <c r="K9" s="265"/>
      <c r="L9" s="261"/>
      <c r="M9" s="261"/>
      <c r="N9" s="261"/>
      <c r="O9" s="262"/>
      <c r="P9" s="262"/>
      <c r="Q9" s="262"/>
      <c r="R9" s="262"/>
      <c r="S9" s="261"/>
      <c r="T9" s="261"/>
      <c r="U9" s="261"/>
      <c r="V9" s="261"/>
      <c r="W9" s="262"/>
      <c r="X9" s="262"/>
      <c r="Y9" s="264"/>
      <c r="Z9" s="264"/>
      <c r="AA9" s="264"/>
      <c r="AB9" s="264"/>
      <c r="AC9" s="264"/>
      <c r="AD9" s="264"/>
      <c r="AE9" s="264"/>
    </row>
    <row r="10" spans="1:31" x14ac:dyDescent="0.2">
      <c r="A10" s="263" t="s">
        <v>762</v>
      </c>
      <c r="B10" s="226" t="s">
        <v>797</v>
      </c>
      <c r="C10" s="226"/>
      <c r="D10" s="258" t="s">
        <v>800</v>
      </c>
      <c r="F10" s="266">
        <v>40</v>
      </c>
      <c r="G10" s="261">
        <v>0.8</v>
      </c>
      <c r="H10" s="261">
        <v>0.8</v>
      </c>
      <c r="I10" s="261">
        <v>0.8</v>
      </c>
      <c r="J10" s="261">
        <v>0.8</v>
      </c>
      <c r="K10" s="265">
        <v>0.9</v>
      </c>
      <c r="L10" s="261" t="str">
        <f>""</f>
        <v/>
      </c>
      <c r="M10" s="261"/>
      <c r="N10" s="268">
        <v>2080</v>
      </c>
      <c r="O10" s="262">
        <f>O6</f>
        <v>180.92689199999998</v>
      </c>
      <c r="P10" s="262">
        <f t="shared" ref="P10:R10" si="0">P6</f>
        <v>140.72091599999999</v>
      </c>
      <c r="Q10" s="262"/>
      <c r="R10" s="262">
        <f t="shared" si="0"/>
        <v>100.51493999999998</v>
      </c>
      <c r="S10" s="269">
        <f>S6</f>
        <v>5.6165845756230484</v>
      </c>
      <c r="T10" s="261"/>
      <c r="U10" s="266">
        <v>-4</v>
      </c>
      <c r="V10" s="261" t="str">
        <f>""</f>
        <v/>
      </c>
      <c r="W10" s="262">
        <f>W6</f>
        <v>88.593333333333334</v>
      </c>
      <c r="X10" s="262">
        <f>X6</f>
        <v>1.2177777777777774</v>
      </c>
      <c r="Y10" s="264">
        <v>1</v>
      </c>
      <c r="Z10" s="264"/>
      <c r="AA10" s="264"/>
      <c r="AB10" s="264"/>
      <c r="AC10" s="264"/>
      <c r="AD10" s="264"/>
      <c r="AE10" s="264"/>
    </row>
    <row r="11" spans="1:31" x14ac:dyDescent="0.2">
      <c r="A11" s="263"/>
      <c r="B11" s="226"/>
      <c r="C11" s="226"/>
      <c r="D11" s="258" t="s">
        <v>262</v>
      </c>
      <c r="F11" s="261"/>
      <c r="G11" s="261"/>
      <c r="H11" s="261"/>
      <c r="I11" s="261"/>
      <c r="J11" s="261"/>
      <c r="K11" s="265"/>
      <c r="L11" s="261"/>
      <c r="M11" s="261">
        <f>M7</f>
        <v>7.9255802445995241E-2</v>
      </c>
      <c r="N11" s="261"/>
      <c r="O11" s="262"/>
      <c r="P11" s="262"/>
      <c r="Q11" s="262"/>
      <c r="R11" s="262"/>
      <c r="S11" s="261"/>
      <c r="T11" s="261"/>
      <c r="U11" s="261"/>
      <c r="V11" s="261"/>
      <c r="W11" s="262"/>
      <c r="X11" s="262"/>
      <c r="Y11" s="264"/>
      <c r="Z11" s="264"/>
      <c r="AA11" s="264"/>
      <c r="AB11" s="264"/>
      <c r="AC11" s="264"/>
      <c r="AD11" s="264"/>
      <c r="AE11" s="264"/>
    </row>
    <row r="12" spans="1:31" x14ac:dyDescent="0.2">
      <c r="B12" s="226"/>
      <c r="C12" s="226"/>
      <c r="E12" s="258" t="s">
        <v>260</v>
      </c>
      <c r="F12" s="261"/>
      <c r="G12" s="261"/>
      <c r="H12" s="261"/>
      <c r="I12" s="261"/>
      <c r="J12" s="261"/>
      <c r="K12" s="265"/>
      <c r="L12" s="261"/>
      <c r="M12" s="261"/>
      <c r="N12" s="261"/>
      <c r="O12" s="262"/>
      <c r="P12" s="262"/>
      <c r="Q12" s="262"/>
      <c r="R12" s="262"/>
      <c r="S12" s="261"/>
      <c r="T12" s="261"/>
      <c r="U12" s="261"/>
      <c r="V12" s="261"/>
      <c r="W12" s="262"/>
      <c r="X12" s="262"/>
      <c r="Y12" s="264"/>
      <c r="Z12" s="264"/>
      <c r="AA12" s="264"/>
      <c r="AB12" s="264"/>
      <c r="AC12" s="264"/>
      <c r="AD12" s="264"/>
      <c r="AE12" s="264"/>
    </row>
    <row r="13" spans="1:31" x14ac:dyDescent="0.2">
      <c r="A13" s="263" t="s">
        <v>7</v>
      </c>
      <c r="B13" s="226"/>
      <c r="C13" s="226"/>
      <c r="F13" s="261"/>
      <c r="G13" s="261"/>
      <c r="H13" s="261"/>
      <c r="I13" s="261"/>
      <c r="J13" s="261"/>
      <c r="K13" s="265"/>
      <c r="L13" s="261"/>
      <c r="M13" s="261"/>
      <c r="N13" s="261"/>
      <c r="O13" s="262"/>
      <c r="P13" s="262"/>
      <c r="Q13" s="262"/>
      <c r="R13" s="262"/>
      <c r="S13" s="261"/>
      <c r="T13" s="261"/>
      <c r="U13" s="261"/>
      <c r="V13" s="261"/>
      <c r="W13" s="262"/>
      <c r="X13" s="262"/>
      <c r="Y13" s="264"/>
      <c r="Z13" s="264"/>
      <c r="AA13" s="264"/>
      <c r="AB13" s="264"/>
      <c r="AC13" s="264"/>
      <c r="AD13" s="264"/>
      <c r="AE13" s="264"/>
    </row>
    <row r="14" spans="1:31" x14ac:dyDescent="0.2">
      <c r="A14" s="263" t="s">
        <v>761</v>
      </c>
      <c r="B14" s="226" t="s">
        <v>798</v>
      </c>
      <c r="C14" s="226"/>
      <c r="D14" s="258" t="s">
        <v>801</v>
      </c>
      <c r="F14" s="266">
        <v>40</v>
      </c>
      <c r="G14" s="261">
        <v>0.56000000000000005</v>
      </c>
      <c r="H14" s="261">
        <v>0.56000000000000005</v>
      </c>
      <c r="I14" s="261">
        <v>0.56000000000000005</v>
      </c>
      <c r="J14" s="261">
        <v>0.56000000000000005</v>
      </c>
      <c r="K14" s="265">
        <v>0.9</v>
      </c>
      <c r="L14" s="261" t="str">
        <f>""</f>
        <v/>
      </c>
      <c r="M14" s="261"/>
      <c r="N14" s="268">
        <v>2080</v>
      </c>
      <c r="O14" s="262">
        <f>$O$1*'Hydrogen-Other'!R28</f>
        <v>623.1926279999999</v>
      </c>
      <c r="P14" s="262">
        <f>$O$1*'Hydrogen-Other'!S28</f>
        <v>542.78067599999986</v>
      </c>
      <c r="Q14" s="262"/>
      <c r="R14" s="262">
        <f>$O$1*'Hydrogen-Other'!T28</f>
        <v>482.47171199999985</v>
      </c>
      <c r="S14" s="261">
        <f>zar.2010*'Hydrogen-Other'!O69</f>
        <v>28.082922878115237</v>
      </c>
      <c r="T14" s="261"/>
      <c r="U14" s="266">
        <v>-4</v>
      </c>
      <c r="V14" s="261" t="str">
        <f>""</f>
        <v/>
      </c>
      <c r="W14" s="262">
        <f>'Hydrogen-Other'!B93</f>
        <v>180.83333333333331</v>
      </c>
      <c r="X14" s="262">
        <v>0</v>
      </c>
      <c r="Y14" s="264">
        <v>1</v>
      </c>
      <c r="Z14" s="264"/>
      <c r="AA14" s="264"/>
      <c r="AB14" s="264"/>
      <c r="AC14" s="264"/>
      <c r="AD14" s="264"/>
      <c r="AE14" s="264"/>
    </row>
    <row r="15" spans="1:31" x14ac:dyDescent="0.2">
      <c r="A15" s="263"/>
      <c r="B15" s="226"/>
      <c r="C15" s="226"/>
      <c r="D15" s="258" t="s">
        <v>262</v>
      </c>
      <c r="F15" s="261"/>
      <c r="G15" s="261"/>
      <c r="H15" s="261"/>
      <c r="I15" s="261"/>
      <c r="J15" s="261"/>
      <c r="K15" s="265"/>
      <c r="L15" s="261"/>
      <c r="M15" s="261">
        <f>M7</f>
        <v>7.9255802445995241E-2</v>
      </c>
      <c r="N15" s="261"/>
      <c r="O15" s="262"/>
      <c r="P15" s="262"/>
      <c r="Q15" s="262"/>
      <c r="R15" s="262"/>
      <c r="S15" s="261"/>
      <c r="T15" s="261"/>
      <c r="U15" s="261"/>
      <c r="V15" s="261"/>
      <c r="W15" s="262"/>
      <c r="X15" s="262"/>
      <c r="Y15" s="264"/>
      <c r="Z15" s="264"/>
      <c r="AA15" s="264"/>
      <c r="AB15" s="264"/>
      <c r="AC15" s="264"/>
      <c r="AD15" s="264"/>
      <c r="AE15" s="264"/>
    </row>
    <row r="16" spans="1:31" x14ac:dyDescent="0.2">
      <c r="B16" s="226"/>
      <c r="C16" s="226"/>
      <c r="E16" s="258" t="s">
        <v>260</v>
      </c>
      <c r="F16" s="261"/>
      <c r="G16" s="261"/>
      <c r="H16" s="261"/>
      <c r="I16" s="261"/>
      <c r="J16" s="261"/>
      <c r="K16" s="265"/>
      <c r="L16" s="261"/>
      <c r="M16" s="261"/>
      <c r="N16" s="261"/>
      <c r="O16" s="262"/>
      <c r="P16" s="262"/>
      <c r="Q16" s="262"/>
      <c r="R16" s="262"/>
      <c r="S16" s="261"/>
      <c r="T16" s="261"/>
      <c r="U16" s="261"/>
      <c r="V16" s="261"/>
      <c r="W16" s="262"/>
      <c r="X16" s="262"/>
      <c r="Y16" s="264"/>
      <c r="Z16" s="264"/>
      <c r="AA16" s="264"/>
      <c r="AB16" s="264"/>
      <c r="AC16" s="264"/>
      <c r="AD16" s="264"/>
      <c r="AE16" s="264"/>
    </row>
    <row r="17" spans="1:31" x14ac:dyDescent="0.2">
      <c r="A17" s="263" t="s">
        <v>7</v>
      </c>
      <c r="B17" s="226"/>
      <c r="C17" s="226"/>
      <c r="F17" s="261"/>
      <c r="G17" s="261"/>
      <c r="H17" s="261"/>
      <c r="I17" s="261"/>
      <c r="J17" s="261"/>
      <c r="K17" s="265"/>
      <c r="L17" s="261"/>
      <c r="M17" s="261"/>
      <c r="N17" s="261"/>
      <c r="O17" s="262"/>
      <c r="P17" s="262"/>
      <c r="Q17" s="262"/>
      <c r="R17" s="262"/>
      <c r="S17" s="261"/>
      <c r="T17" s="261"/>
      <c r="U17" s="261"/>
      <c r="V17" s="261"/>
      <c r="W17" s="262"/>
      <c r="X17" s="262"/>
      <c r="Y17" s="264"/>
      <c r="Z17" s="264"/>
      <c r="AA17" s="264"/>
      <c r="AB17" s="264"/>
      <c r="AC17" s="264"/>
      <c r="AD17" s="264"/>
      <c r="AE17" s="264"/>
    </row>
    <row r="18" spans="1:31" x14ac:dyDescent="0.2">
      <c r="A18" s="267" t="s">
        <v>592</v>
      </c>
      <c r="B18" s="226" t="s">
        <v>583</v>
      </c>
      <c r="C18" s="226"/>
      <c r="D18" s="258" t="s">
        <v>262</v>
      </c>
      <c r="F18" s="266">
        <f>'Hydrogen-ELT'!F10</f>
        <v>7.6103500761035017</v>
      </c>
      <c r="G18" s="261">
        <f>'Hydrogen-ELT'!F14</f>
        <v>0.57999999999999996</v>
      </c>
      <c r="H18" s="261">
        <f>'Hydrogen-ELT'!G14</f>
        <v>0.65500000000000003</v>
      </c>
      <c r="I18" s="261">
        <f>'Hydrogen-ELT'!H14</f>
        <v>0.70499999999999996</v>
      </c>
      <c r="J18" s="261">
        <f>'Hydrogen-ELT'!J14</f>
        <v>0.79500000000000171</v>
      </c>
      <c r="K18" s="265">
        <f>'Hydrogen-ELT'!F12</f>
        <v>0.9</v>
      </c>
      <c r="L18" s="261" t="str">
        <f>""</f>
        <v/>
      </c>
      <c r="M18" s="261"/>
      <c r="N18" s="266">
        <v>2028</v>
      </c>
      <c r="O18" s="262">
        <f>$O$1*'Hydrogen-ELT'!F6</f>
        <v>27616.675630252099</v>
      </c>
      <c r="P18" s="262">
        <f>$O$1*'Hydrogen-ELT'!G6</f>
        <v>19045.983193277309</v>
      </c>
      <c r="Q18" s="262">
        <f>$O$1*'Hydrogen-ELT'!H6</f>
        <v>10475.29075630252</v>
      </c>
      <c r="R18" s="262">
        <f>$O$1*'Hydrogen-ELT'!I6</f>
        <v>8817.0915202444612</v>
      </c>
      <c r="S18" s="261">
        <f>$O$1*'Hydrogen-ELT'!F8</f>
        <v>414.25013445378147</v>
      </c>
      <c r="T18" s="261"/>
      <c r="U18" s="266">
        <f>'Hydrogen-ELT'!F16</f>
        <v>-2</v>
      </c>
      <c r="V18" s="261" t="str">
        <f>""</f>
        <v/>
      </c>
      <c r="W18" s="262">
        <v>0</v>
      </c>
      <c r="X18" s="262">
        <v>0</v>
      </c>
      <c r="Y18" s="264">
        <v>31.536000000000001</v>
      </c>
      <c r="Z18" s="264"/>
      <c r="AA18" s="264"/>
      <c r="AB18" s="264"/>
      <c r="AC18" s="264"/>
      <c r="AD18" s="264"/>
      <c r="AE18" s="264"/>
    </row>
    <row r="19" spans="1:31" x14ac:dyDescent="0.2">
      <c r="B19" s="226"/>
      <c r="C19" s="226"/>
      <c r="E19" s="258" t="s">
        <v>260</v>
      </c>
      <c r="L19" s="261"/>
      <c r="M19" s="261"/>
      <c r="N19" s="261"/>
      <c r="T19" s="261"/>
      <c r="V19" s="261"/>
      <c r="W19" s="262"/>
      <c r="X19" s="262"/>
      <c r="Y19" s="264"/>
      <c r="Z19" s="264"/>
      <c r="AA19" s="264"/>
      <c r="AB19" s="264"/>
      <c r="AC19" s="264"/>
      <c r="AD19" s="264"/>
      <c r="AE19" s="264"/>
    </row>
    <row r="20" spans="1:31" x14ac:dyDescent="0.2">
      <c r="A20" s="263" t="s">
        <v>7</v>
      </c>
      <c r="B20" s="226"/>
      <c r="C20" s="226"/>
      <c r="F20" s="261"/>
      <c r="G20" s="261"/>
      <c r="H20" s="261"/>
      <c r="I20" s="261"/>
      <c r="J20" s="261"/>
      <c r="K20" s="265"/>
      <c r="L20" s="261"/>
      <c r="M20" s="261"/>
      <c r="N20" s="261"/>
      <c r="O20" s="262"/>
      <c r="P20" s="262"/>
      <c r="Q20" s="262"/>
      <c r="R20" s="262"/>
      <c r="S20" s="261"/>
      <c r="T20" s="261"/>
      <c r="U20" s="261"/>
      <c r="V20" s="261"/>
      <c r="W20" s="262"/>
      <c r="X20" s="262"/>
      <c r="Y20" s="264"/>
      <c r="Z20" s="264"/>
      <c r="AA20" s="264"/>
      <c r="AB20" s="264"/>
      <c r="AC20" s="264"/>
      <c r="AD20" s="264"/>
      <c r="AE20" s="264"/>
    </row>
    <row r="21" spans="1:31" x14ac:dyDescent="0.2">
      <c r="A21" s="267" t="s">
        <v>590</v>
      </c>
      <c r="B21" s="226" t="s">
        <v>582</v>
      </c>
      <c r="C21" s="226"/>
      <c r="D21" s="258" t="s">
        <v>262</v>
      </c>
      <c r="F21" s="266">
        <f>'Hydrogen-ELT'!F11</f>
        <v>9.512937595129376</v>
      </c>
      <c r="G21" s="261">
        <f>'Hydrogen-ELT'!F15</f>
        <v>0.66500000000000004</v>
      </c>
      <c r="H21" s="261">
        <f>'Hydrogen-ELT'!G15</f>
        <v>0.68</v>
      </c>
      <c r="I21" s="261">
        <f>'Hydrogen-ELT'!H15</f>
        <v>0.75</v>
      </c>
      <c r="J21" s="261">
        <f>'Hydrogen-ELT'!I15</f>
        <v>0.81579999999999941</v>
      </c>
      <c r="K21" s="265">
        <f>'Hydrogen-ELT'!F13</f>
        <v>0.9</v>
      </c>
      <c r="L21" s="261" t="str">
        <f>""</f>
        <v/>
      </c>
      <c r="M21" s="261"/>
      <c r="N21" s="266">
        <v>2028</v>
      </c>
      <c r="O21" s="262">
        <f>$O$1*'Hydrogen-ELT'!F7</f>
        <v>18093.684033613445</v>
      </c>
      <c r="P21" s="262">
        <f>$O$1*'Hydrogen-ELT'!G7</f>
        <v>13332.188235294116</v>
      </c>
      <c r="Q21" s="262">
        <f>$O$1*'Hydrogen-ELT'!H7</f>
        <v>8570.6924369747903</v>
      </c>
      <c r="R21" s="262">
        <f>$O$1*'Hydrogen-ELT'!H7</f>
        <v>8570.6924369747903</v>
      </c>
      <c r="S21" s="261">
        <f>$O$1*'Hydrogen-ELT'!F9</f>
        <v>271.40526050420164</v>
      </c>
      <c r="T21" s="261"/>
      <c r="U21" s="266">
        <f>'Hydrogen-ELT'!F17</f>
        <v>-2</v>
      </c>
      <c r="V21" s="261" t="str">
        <f>""</f>
        <v/>
      </c>
      <c r="W21" s="262">
        <v>0</v>
      </c>
      <c r="X21" s="262">
        <v>0</v>
      </c>
      <c r="Y21" s="264">
        <f>Y18</f>
        <v>31.536000000000001</v>
      </c>
      <c r="Z21" s="264"/>
      <c r="AA21" s="264"/>
      <c r="AB21" s="264"/>
      <c r="AC21" s="264"/>
      <c r="AD21" s="264"/>
      <c r="AE21" s="264"/>
    </row>
    <row r="22" spans="1:31" x14ac:dyDescent="0.2">
      <c r="B22" s="226"/>
      <c r="C22" s="226"/>
      <c r="E22" s="258" t="s">
        <v>260</v>
      </c>
      <c r="F22" s="261"/>
      <c r="G22" s="261"/>
      <c r="H22" s="261"/>
      <c r="I22" s="261"/>
      <c r="J22" s="261"/>
      <c r="K22" s="265"/>
      <c r="L22" s="261"/>
      <c r="M22" s="261"/>
      <c r="N22" s="261"/>
      <c r="O22" s="262"/>
      <c r="P22" s="262"/>
      <c r="Q22" s="262"/>
      <c r="R22" s="262"/>
      <c r="S22" s="261"/>
      <c r="T22" s="261"/>
      <c r="V22" s="261"/>
      <c r="W22" s="262"/>
      <c r="X22" s="262"/>
      <c r="Y22" s="264"/>
      <c r="Z22" s="264"/>
      <c r="AA22" s="264"/>
      <c r="AB22" s="264"/>
      <c r="AC22" s="264"/>
      <c r="AD22" s="264"/>
      <c r="AE22" s="264"/>
    </row>
    <row r="23" spans="1:31" x14ac:dyDescent="0.2">
      <c r="B23" s="226"/>
      <c r="C23" s="226"/>
      <c r="F23" s="261"/>
      <c r="G23" s="261"/>
      <c r="H23" s="261"/>
      <c r="I23" s="261"/>
      <c r="J23" s="261"/>
      <c r="K23" s="265"/>
      <c r="L23" s="261"/>
      <c r="M23" s="261"/>
      <c r="N23" s="261"/>
      <c r="O23" s="262"/>
      <c r="P23" s="262"/>
      <c r="Q23" s="262"/>
      <c r="R23" s="262"/>
      <c r="S23" s="261"/>
      <c r="T23" s="261"/>
      <c r="U23" s="261"/>
      <c r="V23" s="261"/>
      <c r="W23" s="262"/>
      <c r="X23" s="262"/>
      <c r="Y23" s="264"/>
      <c r="Z23" s="264"/>
      <c r="AA23" s="264"/>
      <c r="AB23" s="264"/>
      <c r="AC23" s="264"/>
      <c r="AD23" s="264"/>
      <c r="AE23" s="264"/>
    </row>
    <row r="24" spans="1:31" x14ac:dyDescent="0.2">
      <c r="A24" s="263" t="s">
        <v>7</v>
      </c>
      <c r="B24" s="226"/>
      <c r="C24" s="226"/>
      <c r="F24" s="261"/>
      <c r="G24" s="261"/>
      <c r="H24" s="261"/>
      <c r="I24" s="261"/>
      <c r="J24" s="261"/>
      <c r="K24" s="265"/>
      <c r="L24" s="261"/>
      <c r="M24" s="261"/>
      <c r="N24" s="261"/>
      <c r="O24" s="262"/>
      <c r="P24" s="262"/>
      <c r="Q24" s="262"/>
      <c r="R24" s="262"/>
      <c r="S24" s="261"/>
      <c r="T24" s="261"/>
      <c r="U24" s="261"/>
      <c r="V24" s="261"/>
      <c r="W24" s="262"/>
      <c r="X24" s="262"/>
      <c r="Y24" s="264"/>
      <c r="Z24" s="264"/>
      <c r="AA24" s="264"/>
      <c r="AB24" s="264"/>
      <c r="AC24" s="264"/>
      <c r="AD24" s="264"/>
      <c r="AE24" s="264"/>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B7AAA-C1D0-400B-A651-3FAAF8F86FAB}">
  <sheetPr codeName="Sheet4">
    <tabColor theme="7" tint="-0.499984740745262"/>
  </sheetPr>
  <dimension ref="A1:X10"/>
  <sheetViews>
    <sheetView zoomScaleNormal="100" workbookViewId="0">
      <selection activeCell="E3" sqref="E3"/>
    </sheetView>
  </sheetViews>
  <sheetFormatPr defaultColWidth="8.85546875" defaultRowHeight="15" x14ac:dyDescent="0.25"/>
  <cols>
    <col min="1" max="1" width="23.7109375" style="1" customWidth="1"/>
    <col min="2" max="2" width="29.28515625" style="1" customWidth="1"/>
    <col min="3" max="5" width="12.85546875" style="1" customWidth="1"/>
    <col min="6" max="8" width="8.85546875" style="1"/>
    <col min="9" max="15" width="16.7109375" style="1" customWidth="1"/>
    <col min="16" max="16" width="8.85546875" style="1"/>
    <col min="17" max="17" width="11.7109375" style="1" customWidth="1"/>
    <col min="18" max="18" width="11.7109375" style="1" bestFit="1" customWidth="1"/>
    <col min="19" max="19" width="21" style="1" bestFit="1" customWidth="1"/>
    <col min="20" max="16384" width="8.85546875" style="1"/>
  </cols>
  <sheetData>
    <row r="1" spans="1:24" ht="23.25" x14ac:dyDescent="0.25">
      <c r="A1" s="8" t="s">
        <v>66</v>
      </c>
      <c r="B1" s="7"/>
    </row>
    <row r="2" spans="1:24" x14ac:dyDescent="0.25">
      <c r="A2" s="4" t="s">
        <v>35</v>
      </c>
    </row>
    <row r="3" spans="1:24" x14ac:dyDescent="0.25">
      <c r="E3" s="6"/>
      <c r="Q3" s="6" t="s">
        <v>33</v>
      </c>
      <c r="R3" s="5"/>
      <c r="S3" s="5"/>
      <c r="T3" s="5"/>
      <c r="U3" s="5"/>
      <c r="V3" s="5"/>
      <c r="W3" s="5"/>
    </row>
    <row r="4" spans="1:24" x14ac:dyDescent="0.25">
      <c r="A4" s="13" t="s">
        <v>19</v>
      </c>
      <c r="B4" s="13" t="s">
        <v>32</v>
      </c>
      <c r="C4" s="13" t="s">
        <v>31</v>
      </c>
      <c r="D4" s="13" t="s">
        <v>30</v>
      </c>
      <c r="E4" s="13" t="s">
        <v>65</v>
      </c>
      <c r="F4" s="13" t="s">
        <v>28</v>
      </c>
      <c r="G4" s="13" t="s">
        <v>27</v>
      </c>
      <c r="H4" s="13" t="s">
        <v>29</v>
      </c>
      <c r="I4" s="13" t="s">
        <v>26</v>
      </c>
      <c r="J4" s="13" t="s">
        <v>64</v>
      </c>
      <c r="K4" s="13" t="s">
        <v>63</v>
      </c>
      <c r="L4" s="13" t="s">
        <v>24</v>
      </c>
      <c r="M4" s="13" t="s">
        <v>23</v>
      </c>
      <c r="N4" s="13" t="s">
        <v>44</v>
      </c>
      <c r="O4" s="13" t="s">
        <v>43</v>
      </c>
      <c r="Q4" s="3" t="s">
        <v>20</v>
      </c>
      <c r="R4" s="3" t="s">
        <v>19</v>
      </c>
      <c r="S4" s="3" t="s">
        <v>18</v>
      </c>
      <c r="T4" s="3" t="s">
        <v>17</v>
      </c>
      <c r="U4" s="3" t="s">
        <v>16</v>
      </c>
      <c r="V4" s="3" t="s">
        <v>15</v>
      </c>
      <c r="W4" s="3" t="s">
        <v>14</v>
      </c>
      <c r="X4" s="3" t="s">
        <v>13</v>
      </c>
    </row>
    <row r="5" spans="1:24" ht="77.25" thickBot="1" x14ac:dyDescent="0.3">
      <c r="A5" s="12" t="s">
        <v>12</v>
      </c>
      <c r="B5" s="12" t="s">
        <v>11</v>
      </c>
      <c r="C5" s="12" t="s">
        <v>10</v>
      </c>
      <c r="D5" s="12" t="s">
        <v>9</v>
      </c>
      <c r="E5" s="12" t="s">
        <v>62</v>
      </c>
      <c r="F5" s="12"/>
      <c r="G5" s="12" t="s">
        <v>61</v>
      </c>
      <c r="H5" s="12" t="s">
        <v>41</v>
      </c>
      <c r="I5" s="12" t="s">
        <v>40</v>
      </c>
      <c r="J5" s="12" t="s">
        <v>60</v>
      </c>
      <c r="K5" s="12" t="s">
        <v>59</v>
      </c>
      <c r="L5" s="12" t="s">
        <v>58</v>
      </c>
      <c r="M5" s="12" t="s">
        <v>57</v>
      </c>
      <c r="N5" s="12" t="s">
        <v>56</v>
      </c>
      <c r="O5" s="12" t="s">
        <v>55</v>
      </c>
      <c r="Q5" s="11" t="s">
        <v>7</v>
      </c>
      <c r="R5" s="11"/>
      <c r="S5" s="11"/>
      <c r="T5" s="11"/>
      <c r="U5" s="11"/>
      <c r="V5" s="11"/>
      <c r="W5" s="11"/>
      <c r="X5" s="11"/>
    </row>
    <row r="6" spans="1:24" x14ac:dyDescent="0.25">
      <c r="A6" s="10" t="s">
        <v>39</v>
      </c>
      <c r="B6" s="10"/>
      <c r="C6" s="10"/>
      <c r="D6" s="10"/>
      <c r="E6" s="10"/>
      <c r="F6" s="10" t="s">
        <v>8</v>
      </c>
      <c r="G6" s="10" t="s">
        <v>8</v>
      </c>
      <c r="H6" s="10"/>
      <c r="I6" s="10" t="s">
        <v>38</v>
      </c>
      <c r="J6" s="10"/>
      <c r="K6" s="10"/>
      <c r="L6" s="10" t="s">
        <v>54</v>
      </c>
      <c r="M6" s="10" t="s">
        <v>54</v>
      </c>
      <c r="N6" s="10" t="s">
        <v>54</v>
      </c>
      <c r="O6" s="10" t="s">
        <v>54</v>
      </c>
      <c r="Q6" s="10" t="s">
        <v>7</v>
      </c>
      <c r="R6" s="10"/>
      <c r="S6" s="10"/>
      <c r="T6" s="10"/>
      <c r="U6" s="10"/>
      <c r="V6" s="10"/>
      <c r="W6" s="10"/>
      <c r="X6" s="10"/>
    </row>
    <row r="7" spans="1:24" x14ac:dyDescent="0.25">
      <c r="A7" s="9" t="s">
        <v>53</v>
      </c>
      <c r="B7" s="9"/>
      <c r="C7" s="9"/>
      <c r="D7" s="9"/>
      <c r="E7" s="9"/>
      <c r="F7" s="9"/>
      <c r="G7" s="9"/>
      <c r="H7" s="9"/>
      <c r="I7" s="9"/>
      <c r="J7" s="9"/>
      <c r="K7" s="9"/>
      <c r="L7" s="9"/>
      <c r="M7" s="9"/>
      <c r="N7" s="9"/>
      <c r="O7" s="9"/>
      <c r="Q7" s="9" t="str">
        <f>A7</f>
        <v>* Hydrogen liquefaction to HDL</v>
      </c>
      <c r="R7" s="9"/>
      <c r="S7" s="9"/>
      <c r="T7" s="9"/>
      <c r="U7" s="9"/>
      <c r="V7" s="9"/>
      <c r="W7" s="9"/>
      <c r="X7" s="9"/>
    </row>
    <row r="8" spans="1:24" x14ac:dyDescent="0.25">
      <c r="A8" s="1" t="s">
        <v>52</v>
      </c>
      <c r="B8" s="1" t="s">
        <v>51</v>
      </c>
      <c r="C8" s="1" t="s">
        <v>37</v>
      </c>
      <c r="F8" s="1">
        <v>2019</v>
      </c>
      <c r="G8" s="1">
        <v>20</v>
      </c>
      <c r="H8" s="1">
        <v>1</v>
      </c>
      <c r="I8" s="1">
        <v>0.96</v>
      </c>
      <c r="J8" s="1">
        <v>1</v>
      </c>
      <c r="K8" s="1">
        <v>1</v>
      </c>
      <c r="L8" s="14">
        <v>18.309289932000002</v>
      </c>
      <c r="M8" s="14">
        <v>7.3237159728000005</v>
      </c>
      <c r="N8" s="14">
        <v>1.2816502952400002</v>
      </c>
      <c r="O8" s="14">
        <v>0.51266011809600009</v>
      </c>
      <c r="Q8" s="1" t="s">
        <v>5</v>
      </c>
      <c r="R8" s="1" t="str">
        <f>A8</f>
        <v>SH2GH2L_01</v>
      </c>
      <c r="S8" s="1" t="str">
        <f>B8</f>
        <v>Hydrogen liquefaction</v>
      </c>
      <c r="T8" s="1" t="s">
        <v>4</v>
      </c>
      <c r="U8" s="1" t="s">
        <v>3</v>
      </c>
      <c r="V8" s="1" t="s">
        <v>2</v>
      </c>
      <c r="X8" s="1" t="s">
        <v>1</v>
      </c>
    </row>
    <row r="9" spans="1:24" x14ac:dyDescent="0.25">
      <c r="B9" s="1" t="s">
        <v>49</v>
      </c>
      <c r="D9" s="1" t="s">
        <v>50</v>
      </c>
    </row>
    <row r="10" spans="1:24" x14ac:dyDescent="0.25">
      <c r="B10" s="1" t="s">
        <v>49</v>
      </c>
      <c r="E10" s="1" t="s">
        <v>48</v>
      </c>
      <c r="J10" s="14">
        <v>0.2195</v>
      </c>
      <c r="K10" s="14">
        <v>0.17647058823529393</v>
      </c>
    </row>
  </sheetData>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91EF1-6591-42F7-B3BA-ADC13DCE9BA5}">
  <sheetPr codeName="Sheet5">
    <tabColor theme="9" tint="0.79998168889431442"/>
  </sheetPr>
  <dimension ref="A1:Z10"/>
  <sheetViews>
    <sheetView workbookViewId="0">
      <selection activeCell="D3" sqref="D3"/>
    </sheetView>
  </sheetViews>
  <sheetFormatPr defaultColWidth="8.85546875" defaultRowHeight="15" x14ac:dyDescent="0.25"/>
  <cols>
    <col min="1" max="1" width="15" style="1" customWidth="1"/>
    <col min="2" max="2" width="57.42578125" style="1" bestFit="1" customWidth="1"/>
    <col min="3" max="4" width="12.42578125" style="1" customWidth="1"/>
    <col min="5" max="17" width="14.28515625" style="1" customWidth="1"/>
    <col min="18" max="19" width="8.85546875" style="1"/>
    <col min="20" max="20" width="11.7109375" style="1" bestFit="1" customWidth="1"/>
    <col min="21" max="21" width="56.42578125" style="1" bestFit="1" customWidth="1"/>
    <col min="22" max="16384" width="8.85546875" style="1"/>
  </cols>
  <sheetData>
    <row r="1" spans="1:26" ht="23.25" x14ac:dyDescent="0.25">
      <c r="A1" s="8" t="s">
        <v>82</v>
      </c>
      <c r="B1" s="7"/>
    </row>
    <row r="2" spans="1:26" x14ac:dyDescent="0.25">
      <c r="A2" s="4" t="s">
        <v>35</v>
      </c>
    </row>
    <row r="3" spans="1:26" x14ac:dyDescent="0.25">
      <c r="D3" s="6"/>
      <c r="S3" s="6" t="s">
        <v>33</v>
      </c>
      <c r="T3" s="5"/>
      <c r="U3" s="5"/>
      <c r="V3" s="5"/>
      <c r="W3" s="5"/>
      <c r="X3" s="5"/>
      <c r="Y3" s="5"/>
    </row>
    <row r="4" spans="1:26" ht="25.5" x14ac:dyDescent="0.25">
      <c r="A4" s="13" t="s">
        <v>19</v>
      </c>
      <c r="B4" s="13" t="s">
        <v>32</v>
      </c>
      <c r="C4" s="13" t="s">
        <v>31</v>
      </c>
      <c r="D4" s="13" t="s">
        <v>30</v>
      </c>
      <c r="E4" s="13" t="s">
        <v>28</v>
      </c>
      <c r="F4" s="13" t="s">
        <v>27</v>
      </c>
      <c r="G4" s="13" t="s">
        <v>29</v>
      </c>
      <c r="H4" s="13" t="s">
        <v>26</v>
      </c>
      <c r="I4" s="13" t="s">
        <v>64</v>
      </c>
      <c r="J4" s="13" t="s">
        <v>63</v>
      </c>
      <c r="K4" s="13" t="s">
        <v>24</v>
      </c>
      <c r="L4" s="13" t="s">
        <v>23</v>
      </c>
      <c r="M4" s="13" t="s">
        <v>44</v>
      </c>
      <c r="N4" s="13" t="s">
        <v>43</v>
      </c>
      <c r="O4" s="13" t="s">
        <v>81</v>
      </c>
      <c r="P4" s="13" t="s">
        <v>80</v>
      </c>
      <c r="Q4" s="13" t="s">
        <v>79</v>
      </c>
      <c r="S4" s="3" t="s">
        <v>20</v>
      </c>
      <c r="T4" s="3" t="s">
        <v>19</v>
      </c>
      <c r="U4" s="3" t="s">
        <v>18</v>
      </c>
      <c r="V4" s="3" t="s">
        <v>17</v>
      </c>
      <c r="W4" s="3" t="s">
        <v>16</v>
      </c>
      <c r="X4" s="3" t="s">
        <v>15</v>
      </c>
      <c r="Y4" s="3" t="s">
        <v>14</v>
      </c>
      <c r="Z4" s="3" t="s">
        <v>13</v>
      </c>
    </row>
    <row r="5" spans="1:26" ht="102.75" thickBot="1" x14ac:dyDescent="0.3">
      <c r="A5" s="12" t="s">
        <v>12</v>
      </c>
      <c r="B5" s="12" t="s">
        <v>11</v>
      </c>
      <c r="C5" s="12" t="s">
        <v>10</v>
      </c>
      <c r="D5" s="12" t="s">
        <v>9</v>
      </c>
      <c r="E5" s="12" t="s">
        <v>61</v>
      </c>
      <c r="F5" s="12" t="s">
        <v>61</v>
      </c>
      <c r="G5" s="12" t="s">
        <v>41</v>
      </c>
      <c r="H5" s="12" t="s">
        <v>40</v>
      </c>
      <c r="I5" s="12" t="s">
        <v>60</v>
      </c>
      <c r="J5" s="12" t="s">
        <v>59</v>
      </c>
      <c r="K5" s="12" t="s">
        <v>58</v>
      </c>
      <c r="L5" s="12" t="s">
        <v>57</v>
      </c>
      <c r="M5" s="12" t="s">
        <v>56</v>
      </c>
      <c r="N5" s="12" t="s">
        <v>55</v>
      </c>
      <c r="O5" s="12" t="s">
        <v>78</v>
      </c>
      <c r="P5" s="12" t="s">
        <v>77</v>
      </c>
      <c r="Q5" s="12" t="s">
        <v>76</v>
      </c>
      <c r="S5" s="11" t="s">
        <v>7</v>
      </c>
      <c r="T5" s="11"/>
      <c r="U5" s="11"/>
      <c r="V5" s="11"/>
      <c r="W5" s="11"/>
      <c r="X5" s="11"/>
      <c r="Y5" s="11"/>
      <c r="Z5" s="11"/>
    </row>
    <row r="6" spans="1:26" x14ac:dyDescent="0.25">
      <c r="A6" s="10" t="s">
        <v>39</v>
      </c>
      <c r="B6" s="10"/>
      <c r="C6" s="10"/>
      <c r="D6" s="10"/>
      <c r="E6" s="10" t="s">
        <v>8</v>
      </c>
      <c r="F6" s="10" t="s">
        <v>8</v>
      </c>
      <c r="G6" s="10"/>
      <c r="H6" s="10"/>
      <c r="I6" s="10"/>
      <c r="J6" s="10"/>
      <c r="K6" s="10" t="s">
        <v>54</v>
      </c>
      <c r="L6" s="10" t="s">
        <v>54</v>
      </c>
      <c r="M6" s="10" t="s">
        <v>54</v>
      </c>
      <c r="N6" s="10" t="s">
        <v>54</v>
      </c>
      <c r="O6" s="10" t="s">
        <v>54</v>
      </c>
      <c r="P6" s="10" t="s">
        <v>54</v>
      </c>
      <c r="Q6" s="10" t="s">
        <v>75</v>
      </c>
      <c r="S6" s="10" t="s">
        <v>7</v>
      </c>
      <c r="T6" s="10"/>
      <c r="U6" s="10"/>
      <c r="V6" s="10"/>
      <c r="W6" s="10"/>
      <c r="X6" s="10"/>
      <c r="Y6" s="10"/>
      <c r="Z6" s="10"/>
    </row>
    <row r="7" spans="1:26" x14ac:dyDescent="0.25">
      <c r="A7" s="9" t="s">
        <v>74</v>
      </c>
      <c r="B7" s="9"/>
      <c r="C7" s="9"/>
      <c r="D7" s="9"/>
      <c r="E7" s="9"/>
      <c r="F7" s="9"/>
      <c r="G7" s="9"/>
      <c r="H7" s="9"/>
      <c r="I7" s="9"/>
      <c r="J7" s="9"/>
      <c r="K7" s="9"/>
      <c r="L7" s="9"/>
      <c r="M7" s="9"/>
      <c r="N7" s="9"/>
      <c r="O7" s="9"/>
      <c r="P7" s="9"/>
      <c r="Q7" s="9"/>
      <c r="S7" s="9" t="str">
        <f>A7</f>
        <v>* Pipeline and road tanker distribution</v>
      </c>
      <c r="T7" s="9"/>
      <c r="U7" s="9"/>
      <c r="V7" s="9"/>
      <c r="W7" s="9"/>
      <c r="X7" s="9"/>
      <c r="Y7" s="9"/>
      <c r="Z7" s="9"/>
    </row>
    <row r="8" spans="1:26" x14ac:dyDescent="0.25">
      <c r="A8" s="1" t="s">
        <v>73</v>
      </c>
      <c r="B8" s="1" t="s">
        <v>72</v>
      </c>
      <c r="C8" s="1" t="s">
        <v>37</v>
      </c>
      <c r="D8" s="1" t="s">
        <v>6</v>
      </c>
      <c r="E8" s="1">
        <v>2019</v>
      </c>
      <c r="F8" s="1">
        <v>80</v>
      </c>
      <c r="G8" s="1">
        <v>1</v>
      </c>
      <c r="H8" s="1">
        <v>1</v>
      </c>
      <c r="I8" s="1">
        <v>1</v>
      </c>
      <c r="J8" s="1">
        <v>1</v>
      </c>
      <c r="K8" s="2">
        <v>7.6759636785390413</v>
      </c>
      <c r="L8" s="2">
        <v>7.6759636785390413</v>
      </c>
      <c r="M8" s="2">
        <v>0.15351927357078055</v>
      </c>
      <c r="N8" s="2">
        <v>0.15351927357078055</v>
      </c>
      <c r="O8" s="2"/>
      <c r="P8" s="2"/>
      <c r="Q8" s="1">
        <v>30</v>
      </c>
      <c r="S8" s="1" t="s">
        <v>5</v>
      </c>
      <c r="T8" s="1" t="str">
        <f t="shared" ref="T8:U10" si="0">A8</f>
        <v>SH2GDEL_01</v>
      </c>
      <c r="U8" s="1" t="str">
        <f t="shared" si="0"/>
        <v>Hydrogen Delivery - PIPELINE DISTRIBUTION HIGH-PRESSURE</v>
      </c>
      <c r="V8" s="1" t="s">
        <v>4</v>
      </c>
      <c r="W8" s="1" t="s">
        <v>3</v>
      </c>
      <c r="X8" s="1" t="s">
        <v>2</v>
      </c>
    </row>
    <row r="9" spans="1:26" x14ac:dyDescent="0.25">
      <c r="A9" s="1" t="s">
        <v>71</v>
      </c>
      <c r="B9" s="1" t="s">
        <v>70</v>
      </c>
      <c r="C9" s="1" t="s">
        <v>50</v>
      </c>
      <c r="D9" s="1" t="s">
        <v>69</v>
      </c>
      <c r="E9" s="1">
        <v>2019</v>
      </c>
      <c r="F9" s="1">
        <v>15</v>
      </c>
      <c r="G9" s="1">
        <v>1</v>
      </c>
      <c r="H9" s="1">
        <v>1</v>
      </c>
      <c r="I9" s="1">
        <v>1</v>
      </c>
      <c r="J9" s="1">
        <v>1</v>
      </c>
      <c r="K9" s="2">
        <v>4.9113986500408195</v>
      </c>
      <c r="L9" s="2">
        <v>4.9113986500408195</v>
      </c>
      <c r="M9" s="2">
        <v>1.2278496625102049</v>
      </c>
      <c r="N9" s="2">
        <v>1.2278496625102049</v>
      </c>
      <c r="O9" s="2">
        <v>0.55714989777013546</v>
      </c>
      <c r="P9" s="2">
        <v>0.55714989777013546</v>
      </c>
      <c r="T9" s="1" t="str">
        <f t="shared" si="0"/>
        <v>SH2LDEL_01</v>
      </c>
      <c r="U9" s="1" t="str">
        <f t="shared" si="0"/>
        <v>Hydrogen Delivery - ROAD-TANKER DISTRIBUTION</v>
      </c>
      <c r="V9" s="1" t="s">
        <v>4</v>
      </c>
      <c r="W9" s="1" t="s">
        <v>3</v>
      </c>
      <c r="X9" s="1" t="s">
        <v>2</v>
      </c>
    </row>
    <row r="10" spans="1:26" x14ac:dyDescent="0.25">
      <c r="A10" s="1" t="s">
        <v>68</v>
      </c>
      <c r="B10" s="1" t="s">
        <v>67</v>
      </c>
      <c r="C10" s="1" t="s">
        <v>37</v>
      </c>
      <c r="D10" s="1" t="s">
        <v>6</v>
      </c>
      <c r="E10" s="1">
        <v>2019</v>
      </c>
      <c r="F10" s="1">
        <v>80</v>
      </c>
      <c r="G10" s="1">
        <v>1</v>
      </c>
      <c r="H10" s="1">
        <v>1</v>
      </c>
      <c r="I10" s="1">
        <v>1</v>
      </c>
      <c r="J10" s="1">
        <v>1</v>
      </c>
      <c r="K10" s="2">
        <v>2.506548</v>
      </c>
      <c r="L10" s="2">
        <v>2.506548</v>
      </c>
      <c r="M10" s="2">
        <v>5.0131000000000002E-2</v>
      </c>
      <c r="N10" s="2">
        <v>5.0131000000000002E-2</v>
      </c>
      <c r="O10" s="2"/>
      <c r="P10" s="2"/>
      <c r="Q10" s="1">
        <v>30</v>
      </c>
      <c r="T10" s="1" t="str">
        <f t="shared" si="0"/>
        <v>SH2GDEL_02</v>
      </c>
      <c r="U10" s="1" t="str">
        <f t="shared" si="0"/>
        <v>Hydrogen Delivery - PIPELINE TRANSMISSION HIGH-PRESSURE</v>
      </c>
      <c r="V10" s="1" t="s">
        <v>4</v>
      </c>
      <c r="W10" s="1" t="s">
        <v>3</v>
      </c>
      <c r="X10" s="1" t="s">
        <v>2</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4A435-2318-4AEA-94BB-CD27E5AC7573}">
  <sheetPr codeName="Sheet6">
    <tabColor theme="5" tint="0.59999389629810485"/>
  </sheetPr>
  <dimension ref="A1:V8"/>
  <sheetViews>
    <sheetView workbookViewId="0">
      <selection activeCell="M3" sqref="M3"/>
    </sheetView>
  </sheetViews>
  <sheetFormatPr defaultColWidth="8.85546875" defaultRowHeight="15" x14ac:dyDescent="0.25"/>
  <cols>
    <col min="1" max="1" width="17.7109375" style="1" customWidth="1"/>
    <col min="2" max="2" width="24.42578125" style="1" bestFit="1" customWidth="1"/>
    <col min="3" max="4" width="10.42578125" style="1" customWidth="1"/>
    <col min="5" max="8" width="8.85546875" style="1"/>
    <col min="9" max="9" width="14.42578125" style="1" bestFit="1" customWidth="1"/>
    <col min="10" max="10" width="15.28515625" style="1" bestFit="1" customWidth="1"/>
    <col min="11" max="11" width="10.7109375" style="1" customWidth="1"/>
    <col min="12" max="12" width="6.42578125" customWidth="1"/>
    <col min="13" max="13" width="11.42578125" style="1" bestFit="1" customWidth="1"/>
    <col min="14" max="14" width="11.85546875" style="1" bestFit="1" customWidth="1"/>
    <col min="15" max="15" width="23.28515625" style="1" bestFit="1" customWidth="1"/>
    <col min="16" max="21" width="8.85546875" style="1"/>
    <col min="22" max="22" width="2.7109375" customWidth="1"/>
    <col min="23" max="16384" width="8.85546875" style="1"/>
  </cols>
  <sheetData>
    <row r="1" spans="1:20" ht="23.25" x14ac:dyDescent="0.25">
      <c r="A1" s="8" t="s">
        <v>95</v>
      </c>
      <c r="B1" s="7"/>
    </row>
    <row r="2" spans="1:20" x14ac:dyDescent="0.25">
      <c r="A2" s="4" t="s">
        <v>35</v>
      </c>
    </row>
    <row r="3" spans="1:20" x14ac:dyDescent="0.25">
      <c r="D3" s="6"/>
      <c r="M3" s="6"/>
      <c r="N3" s="5"/>
      <c r="O3" s="5"/>
      <c r="P3" s="5"/>
      <c r="Q3" s="5"/>
      <c r="R3" s="5"/>
      <c r="S3" s="5"/>
    </row>
    <row r="4" spans="1:20" x14ac:dyDescent="0.25">
      <c r="A4" s="13" t="s">
        <v>19</v>
      </c>
      <c r="B4" s="13" t="s">
        <v>32</v>
      </c>
      <c r="C4" s="13" t="s">
        <v>31</v>
      </c>
      <c r="D4" s="13" t="s">
        <v>30</v>
      </c>
      <c r="E4" s="13" t="s">
        <v>28</v>
      </c>
      <c r="F4" s="13" t="s">
        <v>27</v>
      </c>
      <c r="G4" s="13" t="s">
        <v>29</v>
      </c>
      <c r="H4" s="13" t="s">
        <v>94</v>
      </c>
      <c r="I4" s="13" t="s">
        <v>24</v>
      </c>
      <c r="J4" s="13" t="s">
        <v>44</v>
      </c>
      <c r="K4" s="13" t="s">
        <v>26</v>
      </c>
      <c r="M4" s="15" t="s">
        <v>20</v>
      </c>
      <c r="N4" s="15" t="s">
        <v>19</v>
      </c>
      <c r="O4" s="15" t="s">
        <v>18</v>
      </c>
      <c r="P4" s="15" t="s">
        <v>17</v>
      </c>
      <c r="Q4" s="15" t="s">
        <v>16</v>
      </c>
      <c r="R4" s="15" t="s">
        <v>15</v>
      </c>
      <c r="S4" s="15" t="s">
        <v>14</v>
      </c>
      <c r="T4" s="15" t="s">
        <v>13</v>
      </c>
    </row>
    <row r="5" spans="1:20" ht="47.25" customHeight="1" thickBot="1" x14ac:dyDescent="0.3">
      <c r="A5" s="12" t="s">
        <v>12</v>
      </c>
      <c r="B5" s="12" t="s">
        <v>11</v>
      </c>
      <c r="C5" s="12" t="s">
        <v>10</v>
      </c>
      <c r="D5" s="12" t="s">
        <v>9</v>
      </c>
      <c r="E5" s="12"/>
      <c r="F5" s="12" t="s">
        <v>61</v>
      </c>
      <c r="G5" s="12" t="s">
        <v>41</v>
      </c>
      <c r="H5" s="12" t="s">
        <v>93</v>
      </c>
      <c r="I5" s="12" t="s">
        <v>92</v>
      </c>
      <c r="J5" s="12" t="s">
        <v>91</v>
      </c>
      <c r="K5" s="12" t="s">
        <v>90</v>
      </c>
      <c r="M5" s="11" t="s">
        <v>7</v>
      </c>
      <c r="N5" s="11"/>
      <c r="O5" s="11"/>
      <c r="P5" s="11"/>
      <c r="Q5" s="11"/>
      <c r="R5" s="11"/>
      <c r="S5" s="11"/>
      <c r="T5" s="11"/>
    </row>
    <row r="6" spans="1:20" ht="24.75" customHeight="1" x14ac:dyDescent="0.25">
      <c r="A6" s="10" t="s">
        <v>39</v>
      </c>
      <c r="B6" s="10"/>
      <c r="C6" s="10"/>
      <c r="D6" s="10"/>
      <c r="E6" s="10"/>
      <c r="F6" s="10" t="s">
        <v>8</v>
      </c>
      <c r="G6" s="10"/>
      <c r="H6" s="10"/>
      <c r="I6" s="10" t="s">
        <v>54</v>
      </c>
      <c r="J6" s="10" t="s">
        <v>54</v>
      </c>
      <c r="K6" s="10" t="s">
        <v>89</v>
      </c>
      <c r="M6" s="10" t="s">
        <v>7</v>
      </c>
      <c r="N6" s="10"/>
      <c r="O6" s="10"/>
      <c r="P6" s="10"/>
      <c r="Q6" s="10"/>
      <c r="R6" s="10"/>
      <c r="S6" s="10"/>
      <c r="T6" s="10"/>
    </row>
    <row r="7" spans="1:20" x14ac:dyDescent="0.25">
      <c r="A7" s="1" t="s">
        <v>88</v>
      </c>
      <c r="B7" s="1" t="s">
        <v>87</v>
      </c>
      <c r="C7" s="1" t="s">
        <v>37</v>
      </c>
      <c r="D7" s="1" t="s">
        <v>37</v>
      </c>
      <c r="E7" s="1">
        <v>2019</v>
      </c>
      <c r="F7" s="1">
        <v>40</v>
      </c>
      <c r="G7" s="1">
        <v>1</v>
      </c>
      <c r="H7" s="1">
        <v>1</v>
      </c>
      <c r="I7" s="14">
        <v>3.53</v>
      </c>
      <c r="J7" s="14">
        <v>0.32078581007977441</v>
      </c>
      <c r="K7" s="1">
        <v>1</v>
      </c>
      <c r="M7" s="1" t="s">
        <v>84</v>
      </c>
      <c r="N7" s="1" t="str">
        <f>A7</f>
        <v>SH2GSTG_01</v>
      </c>
      <c r="O7" s="1" t="str">
        <f>B7</f>
        <v>Hydrogen Storage - LARGE</v>
      </c>
      <c r="P7" s="1" t="s">
        <v>4</v>
      </c>
      <c r="Q7" s="1" t="s">
        <v>3</v>
      </c>
      <c r="R7" s="1" t="s">
        <v>2</v>
      </c>
      <c r="T7" s="1" t="s">
        <v>83</v>
      </c>
    </row>
    <row r="8" spans="1:20" x14ac:dyDescent="0.25">
      <c r="A8" s="1" t="s">
        <v>86</v>
      </c>
      <c r="B8" s="1" t="s">
        <v>85</v>
      </c>
      <c r="C8" s="1" t="s">
        <v>6</v>
      </c>
      <c r="D8" s="1" t="s">
        <v>6</v>
      </c>
      <c r="E8" s="1">
        <v>2019</v>
      </c>
      <c r="F8" s="1">
        <v>40</v>
      </c>
      <c r="G8" s="1">
        <v>1</v>
      </c>
      <c r="H8" s="1">
        <v>1</v>
      </c>
      <c r="I8" s="14">
        <v>23.67</v>
      </c>
      <c r="J8" s="14">
        <v>0.93888529779446184</v>
      </c>
      <c r="K8" s="1">
        <v>1</v>
      </c>
      <c r="M8" s="1" t="s">
        <v>84</v>
      </c>
      <c r="N8" s="1" t="str">
        <f>A8</f>
        <v>SH2GSTG_02</v>
      </c>
      <c r="O8" s="1" t="str">
        <f>B8</f>
        <v>Hydrogen Storage - SMALL</v>
      </c>
      <c r="P8" s="1" t="s">
        <v>4</v>
      </c>
      <c r="Q8" s="1" t="s">
        <v>3</v>
      </c>
      <c r="R8" s="1" t="s">
        <v>2</v>
      </c>
      <c r="T8" s="1" t="s">
        <v>83</v>
      </c>
    </row>
  </sheetData>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26288-3760-4CDD-958E-AC4E8675D4B4}">
  <sheetPr>
    <tabColor theme="6" tint="0.79998168889431442"/>
  </sheetPr>
  <dimension ref="A1:V174"/>
  <sheetViews>
    <sheetView workbookViewId="0">
      <selection activeCell="C32" sqref="C32"/>
    </sheetView>
  </sheetViews>
  <sheetFormatPr defaultRowHeight="15" x14ac:dyDescent="0.25"/>
  <cols>
    <col min="1" max="2" width="20.28515625" customWidth="1"/>
    <col min="3" max="3" width="16.140625" customWidth="1"/>
    <col min="4" max="4" width="12.28515625" customWidth="1"/>
    <col min="5" max="5" width="10.140625" customWidth="1"/>
    <col min="7" max="11" width="12.28515625" bestFit="1" customWidth="1"/>
  </cols>
  <sheetData>
    <row r="1" spans="1:18" s="108" customFormat="1" ht="21" x14ac:dyDescent="0.35">
      <c r="A1" s="108" t="s">
        <v>271</v>
      </c>
    </row>
    <row r="2" spans="1:18" x14ac:dyDescent="0.25">
      <c r="A2" t="s">
        <v>152</v>
      </c>
      <c r="B2" t="s">
        <v>270</v>
      </c>
    </row>
    <row r="3" spans="1:18" x14ac:dyDescent="0.25">
      <c r="A3" t="s">
        <v>269</v>
      </c>
      <c r="C3" t="s">
        <v>268</v>
      </c>
      <c r="G3">
        <v>2020</v>
      </c>
      <c r="H3">
        <v>2030</v>
      </c>
      <c r="I3">
        <v>2035</v>
      </c>
      <c r="J3">
        <v>2040</v>
      </c>
      <c r="K3">
        <v>2050</v>
      </c>
      <c r="L3">
        <v>2060</v>
      </c>
      <c r="M3">
        <v>2070</v>
      </c>
      <c r="O3">
        <v>2030</v>
      </c>
      <c r="P3">
        <v>2035</v>
      </c>
      <c r="Q3">
        <v>2040</v>
      </c>
      <c r="R3">
        <v>2050</v>
      </c>
    </row>
    <row r="4" spans="1:18" x14ac:dyDescent="0.25">
      <c r="A4" t="s">
        <v>238</v>
      </c>
      <c r="B4" t="s">
        <v>267</v>
      </c>
      <c r="C4" t="s">
        <v>266</v>
      </c>
      <c r="G4">
        <v>2030</v>
      </c>
    </row>
    <row r="5" spans="1:18" x14ac:dyDescent="0.25">
      <c r="A5" t="s">
        <v>238</v>
      </c>
      <c r="B5" t="s">
        <v>265</v>
      </c>
      <c r="C5" t="s">
        <v>264</v>
      </c>
      <c r="D5" t="s">
        <v>263</v>
      </c>
      <c r="G5" s="81">
        <f>D36</f>
        <v>107.3755695536401</v>
      </c>
      <c r="H5" s="81">
        <f t="shared" ref="H5:M5" si="0">G5</f>
        <v>107.3755695536401</v>
      </c>
      <c r="I5" s="81">
        <f t="shared" si="0"/>
        <v>107.3755695536401</v>
      </c>
      <c r="J5" s="81">
        <f t="shared" si="0"/>
        <v>107.3755695536401</v>
      </c>
      <c r="K5" s="81">
        <f t="shared" si="0"/>
        <v>107.3755695536401</v>
      </c>
      <c r="L5" s="81">
        <f t="shared" si="0"/>
        <v>107.3755695536401</v>
      </c>
      <c r="M5" s="81">
        <f t="shared" si="0"/>
        <v>107.3755695536401</v>
      </c>
    </row>
    <row r="6" spans="1:18" x14ac:dyDescent="0.25">
      <c r="A6" t="s">
        <v>261</v>
      </c>
      <c r="B6" t="s">
        <v>254</v>
      </c>
      <c r="C6" t="s">
        <v>252</v>
      </c>
      <c r="D6" t="s">
        <v>262</v>
      </c>
    </row>
    <row r="7" spans="1:18" x14ac:dyDescent="0.25">
      <c r="A7" t="s">
        <v>261</v>
      </c>
      <c r="B7" t="s">
        <v>253</v>
      </c>
      <c r="C7" t="s">
        <v>252</v>
      </c>
      <c r="D7" t="s">
        <v>260</v>
      </c>
    </row>
    <row r="8" spans="1:18" x14ac:dyDescent="0.25">
      <c r="A8" t="s">
        <v>258</v>
      </c>
      <c r="B8" t="s">
        <v>251</v>
      </c>
      <c r="C8" t="s">
        <v>248</v>
      </c>
      <c r="D8" t="s">
        <v>259</v>
      </c>
    </row>
    <row r="9" spans="1:18" x14ac:dyDescent="0.25">
      <c r="A9" t="s">
        <v>258</v>
      </c>
      <c r="B9" t="s">
        <v>250</v>
      </c>
      <c r="C9" t="s">
        <v>248</v>
      </c>
      <c r="D9" s="107" t="s">
        <v>257</v>
      </c>
    </row>
    <row r="10" spans="1:18" x14ac:dyDescent="0.25">
      <c r="A10" t="s">
        <v>238</v>
      </c>
      <c r="B10" t="s">
        <v>256</v>
      </c>
      <c r="C10" t="s">
        <v>255</v>
      </c>
      <c r="D10" t="s">
        <v>236</v>
      </c>
      <c r="G10" s="83">
        <f>H25</f>
        <v>0.31638916581378673</v>
      </c>
      <c r="H10" s="83">
        <f t="shared" ref="H10:M12" si="1">G10</f>
        <v>0.31638916581378673</v>
      </c>
      <c r="I10" s="83">
        <f t="shared" si="1"/>
        <v>0.31638916581378673</v>
      </c>
      <c r="J10" s="83">
        <f t="shared" si="1"/>
        <v>0.31638916581378673</v>
      </c>
      <c r="K10" s="83">
        <f t="shared" si="1"/>
        <v>0.31638916581378673</v>
      </c>
      <c r="L10" s="83">
        <f t="shared" si="1"/>
        <v>0.31638916581378673</v>
      </c>
      <c r="M10" s="83">
        <f t="shared" si="1"/>
        <v>0.31638916581378673</v>
      </c>
    </row>
    <row r="11" spans="1:18" x14ac:dyDescent="0.25">
      <c r="A11" t="s">
        <v>238</v>
      </c>
      <c r="B11" t="s">
        <v>254</v>
      </c>
      <c r="C11" t="s">
        <v>249</v>
      </c>
      <c r="D11" t="str">
        <f>D6</f>
        <v>UPSELC</v>
      </c>
      <c r="E11" t="s">
        <v>252</v>
      </c>
      <c r="G11" s="83">
        <f>D31</f>
        <v>7.7782839184601632E-2</v>
      </c>
      <c r="H11" s="83">
        <f t="shared" si="1"/>
        <v>7.7782839184601632E-2</v>
      </c>
      <c r="I11" s="83">
        <f t="shared" si="1"/>
        <v>7.7782839184601632E-2</v>
      </c>
      <c r="J11" s="83">
        <f t="shared" si="1"/>
        <v>7.7782839184601632E-2</v>
      </c>
      <c r="K11" s="83">
        <f t="shared" si="1"/>
        <v>7.7782839184601632E-2</v>
      </c>
      <c r="L11" s="83">
        <f t="shared" si="1"/>
        <v>7.7782839184601632E-2</v>
      </c>
      <c r="M11" s="83">
        <f t="shared" si="1"/>
        <v>7.7782839184601632E-2</v>
      </c>
    </row>
    <row r="12" spans="1:18" x14ac:dyDescent="0.25">
      <c r="A12" t="s">
        <v>238</v>
      </c>
      <c r="B12" t="s">
        <v>253</v>
      </c>
      <c r="C12" t="s">
        <v>249</v>
      </c>
      <c r="D12" t="str">
        <f>D7</f>
        <v>HGN</v>
      </c>
      <c r="E12" t="s">
        <v>252</v>
      </c>
      <c r="G12" s="83">
        <f>D32</f>
        <v>0.92221716081539828</v>
      </c>
      <c r="H12" s="83">
        <f t="shared" si="1"/>
        <v>0.92221716081539828</v>
      </c>
      <c r="I12" s="83">
        <f t="shared" si="1"/>
        <v>0.92221716081539828</v>
      </c>
      <c r="J12" s="83">
        <f t="shared" si="1"/>
        <v>0.92221716081539828</v>
      </c>
      <c r="K12" s="83">
        <f t="shared" si="1"/>
        <v>0.92221716081539828</v>
      </c>
      <c r="L12" s="83">
        <f t="shared" si="1"/>
        <v>0.92221716081539828</v>
      </c>
      <c r="M12" s="83">
        <f t="shared" si="1"/>
        <v>0.92221716081539828</v>
      </c>
    </row>
    <row r="13" spans="1:18" x14ac:dyDescent="0.25">
      <c r="A13" t="s">
        <v>238</v>
      </c>
      <c r="B13" t="s">
        <v>251</v>
      </c>
      <c r="C13" t="s">
        <v>249</v>
      </c>
      <c r="D13" t="str">
        <f>D8</f>
        <v>OAG</v>
      </c>
      <c r="E13" t="s">
        <v>248</v>
      </c>
      <c r="G13" s="83">
        <f>I31</f>
        <v>0.5118329249859862</v>
      </c>
      <c r="H13" s="106">
        <v>0.05</v>
      </c>
      <c r="I13" s="83">
        <f t="shared" ref="I13:M14" si="2">H13</f>
        <v>0.05</v>
      </c>
      <c r="J13" s="83">
        <f t="shared" si="2"/>
        <v>0.05</v>
      </c>
      <c r="K13" s="83">
        <f t="shared" si="2"/>
        <v>0.05</v>
      </c>
      <c r="L13" s="83">
        <f t="shared" si="2"/>
        <v>0.05</v>
      </c>
      <c r="M13" s="83">
        <f t="shared" si="2"/>
        <v>0.05</v>
      </c>
    </row>
    <row r="14" spans="1:18" x14ac:dyDescent="0.25">
      <c r="A14" t="s">
        <v>238</v>
      </c>
      <c r="B14" t="s">
        <v>250</v>
      </c>
      <c r="C14" t="s">
        <v>249</v>
      </c>
      <c r="D14" t="str">
        <f>D9</f>
        <v>OKG</v>
      </c>
      <c r="E14" t="s">
        <v>248</v>
      </c>
      <c r="G14" s="83">
        <f>I32</f>
        <v>0.48816707501401374</v>
      </c>
      <c r="H14" s="106">
        <v>0</v>
      </c>
      <c r="I14" s="83">
        <f t="shared" si="2"/>
        <v>0</v>
      </c>
      <c r="J14" s="83">
        <f t="shared" si="2"/>
        <v>0</v>
      </c>
      <c r="K14" s="83">
        <f t="shared" si="2"/>
        <v>0</v>
      </c>
      <c r="L14" s="83">
        <f t="shared" si="2"/>
        <v>0</v>
      </c>
      <c r="M14" s="83">
        <f t="shared" si="2"/>
        <v>0</v>
      </c>
    </row>
    <row r="15" spans="1:18" x14ac:dyDescent="0.25">
      <c r="A15" t="s">
        <v>238</v>
      </c>
      <c r="B15" t="s">
        <v>247</v>
      </c>
      <c r="C15" t="s">
        <v>24</v>
      </c>
      <c r="D15" t="s">
        <v>236</v>
      </c>
      <c r="G15" s="64">
        <f>D123</f>
        <v>477.77194211017741</v>
      </c>
      <c r="H15" s="64">
        <f>E123</f>
        <v>409.54154566812338</v>
      </c>
      <c r="I15" s="105">
        <f>AVERAGE(H15,J15)</f>
        <v>370.42417059229018</v>
      </c>
      <c r="J15" s="59">
        <f>F123</f>
        <v>331.30679551645699</v>
      </c>
      <c r="K15" s="59">
        <f>J15 * (1-$D$115)^(K$3-J$3)</f>
        <v>284.83453783282306</v>
      </c>
      <c r="L15" s="59">
        <f>K15</f>
        <v>284.83453783282306</v>
      </c>
      <c r="M15" s="59">
        <f>L15</f>
        <v>284.83453783282306</v>
      </c>
      <c r="O15" s="104">
        <f>H15/G15</f>
        <v>0.85719044919067344</v>
      </c>
      <c r="P15">
        <f>I15/G15</f>
        <v>0.77531587341909647</v>
      </c>
      <c r="Q15">
        <f>J15/G15</f>
        <v>0.69344129764751949</v>
      </c>
      <c r="R15">
        <f>K15/G15</f>
        <v>0.59617259350725604</v>
      </c>
    </row>
    <row r="16" spans="1:18" x14ac:dyDescent="0.25">
      <c r="A16" t="s">
        <v>238</v>
      </c>
      <c r="B16" t="s">
        <v>246</v>
      </c>
      <c r="C16" t="s">
        <v>44</v>
      </c>
      <c r="D16" t="s">
        <v>236</v>
      </c>
      <c r="E16" s="103">
        <v>0.04</v>
      </c>
      <c r="G16" s="59">
        <f>$E$16*G15</f>
        <v>19.110877684407097</v>
      </c>
      <c r="H16" s="59">
        <f>$E$16*H15</f>
        <v>16.381661826724937</v>
      </c>
      <c r="I16" s="59">
        <f>$E$16*I15</f>
        <v>14.816966823691608</v>
      </c>
      <c r="J16" s="59">
        <f>$E$16*J15</f>
        <v>13.252271820658279</v>
      </c>
      <c r="K16" s="59">
        <f>$E$16*K15</f>
        <v>11.393381513312923</v>
      </c>
      <c r="L16" s="59">
        <f>K16</f>
        <v>11.393381513312923</v>
      </c>
      <c r="M16" s="59">
        <f>L16</f>
        <v>11.393381513312923</v>
      </c>
    </row>
    <row r="17" spans="1:13" ht="14.25" customHeight="1" x14ac:dyDescent="0.25">
      <c r="A17" t="s">
        <v>238</v>
      </c>
      <c r="B17" t="s">
        <v>245</v>
      </c>
      <c r="C17" t="s">
        <v>81</v>
      </c>
      <c r="D17" t="s">
        <v>236</v>
      </c>
      <c r="E17" s="102"/>
      <c r="G17" s="101"/>
      <c r="H17" s="59"/>
      <c r="I17" s="59"/>
      <c r="J17" s="59"/>
      <c r="K17" s="59"/>
    </row>
    <row r="18" spans="1:13" x14ac:dyDescent="0.25">
      <c r="A18" t="s">
        <v>238</v>
      </c>
      <c r="B18" t="s">
        <v>244</v>
      </c>
      <c r="C18" t="s">
        <v>46</v>
      </c>
      <c r="D18" t="s">
        <v>243</v>
      </c>
      <c r="G18" s="81">
        <f>C44/8760</f>
        <v>0.91324200913242004</v>
      </c>
      <c r="H18" s="81">
        <f t="shared" ref="H18:M21" si="3">G18</f>
        <v>0.91324200913242004</v>
      </c>
      <c r="I18" s="81">
        <f t="shared" si="3"/>
        <v>0.91324200913242004</v>
      </c>
      <c r="J18" s="81">
        <f t="shared" si="3"/>
        <v>0.91324200913242004</v>
      </c>
      <c r="K18" s="81">
        <f t="shared" si="3"/>
        <v>0.91324200913242004</v>
      </c>
      <c r="L18" s="81">
        <f t="shared" si="3"/>
        <v>0.91324200913242004</v>
      </c>
      <c r="M18" s="81">
        <f t="shared" si="3"/>
        <v>0.91324200913242004</v>
      </c>
    </row>
    <row r="19" spans="1:13" x14ac:dyDescent="0.25">
      <c r="A19" t="s">
        <v>238</v>
      </c>
      <c r="B19" t="s">
        <v>242</v>
      </c>
      <c r="C19" t="s">
        <v>46</v>
      </c>
      <c r="D19" t="s">
        <v>241</v>
      </c>
      <c r="G19" s="81">
        <v>0.5</v>
      </c>
      <c r="H19" s="81">
        <f t="shared" si="3"/>
        <v>0.5</v>
      </c>
      <c r="I19" s="81">
        <f t="shared" si="3"/>
        <v>0.5</v>
      </c>
      <c r="J19" s="81">
        <f t="shared" si="3"/>
        <v>0.5</v>
      </c>
      <c r="K19" s="81">
        <f t="shared" si="3"/>
        <v>0.5</v>
      </c>
      <c r="L19" s="81">
        <f t="shared" si="3"/>
        <v>0.5</v>
      </c>
      <c r="M19" s="81">
        <f t="shared" si="3"/>
        <v>0.5</v>
      </c>
    </row>
    <row r="20" spans="1:13" x14ac:dyDescent="0.25">
      <c r="A20" t="s">
        <v>238</v>
      </c>
      <c r="B20" t="s">
        <v>240</v>
      </c>
      <c r="C20" t="s">
        <v>239</v>
      </c>
      <c r="D20" t="s">
        <v>236</v>
      </c>
      <c r="G20">
        <v>25</v>
      </c>
      <c r="H20" s="81">
        <f t="shared" si="3"/>
        <v>25</v>
      </c>
      <c r="I20" s="81">
        <f t="shared" si="3"/>
        <v>25</v>
      </c>
      <c r="J20" s="81">
        <f t="shared" si="3"/>
        <v>25</v>
      </c>
      <c r="K20" s="81">
        <f t="shared" si="3"/>
        <v>25</v>
      </c>
      <c r="L20" s="81">
        <f t="shared" si="3"/>
        <v>25</v>
      </c>
      <c r="M20" s="81">
        <f t="shared" si="3"/>
        <v>25</v>
      </c>
    </row>
    <row r="21" spans="1:13" x14ac:dyDescent="0.25">
      <c r="A21" t="s">
        <v>238</v>
      </c>
      <c r="B21" t="s">
        <v>237</v>
      </c>
      <c r="C21" t="s">
        <v>47</v>
      </c>
      <c r="D21" t="s">
        <v>236</v>
      </c>
      <c r="G21">
        <v>-6</v>
      </c>
      <c r="H21" s="81">
        <f t="shared" si="3"/>
        <v>-6</v>
      </c>
      <c r="I21" s="81">
        <f t="shared" si="3"/>
        <v>-6</v>
      </c>
      <c r="J21" s="81">
        <f t="shared" si="3"/>
        <v>-6</v>
      </c>
      <c r="K21" s="81">
        <f t="shared" si="3"/>
        <v>-6</v>
      </c>
      <c r="L21" s="81">
        <f t="shared" si="3"/>
        <v>-6</v>
      </c>
      <c r="M21" s="81">
        <f t="shared" si="3"/>
        <v>-6</v>
      </c>
    </row>
    <row r="22" spans="1:13" x14ac:dyDescent="0.25">
      <c r="H22" s="81"/>
      <c r="I22" s="81"/>
      <c r="J22" s="81"/>
      <c r="K22" s="81"/>
      <c r="L22" s="81"/>
      <c r="M22" s="81"/>
    </row>
    <row r="23" spans="1:13" x14ac:dyDescent="0.25">
      <c r="B23" t="s">
        <v>235</v>
      </c>
      <c r="G23" s="100">
        <v>0.5</v>
      </c>
    </row>
    <row r="25" spans="1:13" x14ac:dyDescent="0.25">
      <c r="A25" s="99" t="s">
        <v>234</v>
      </c>
      <c r="B25" s="98" t="s">
        <v>233</v>
      </c>
      <c r="C25" s="98">
        <f>D27/I27</f>
        <v>3.1606644855486539</v>
      </c>
      <c r="D25" s="98"/>
      <c r="E25" s="98"/>
      <c r="F25" s="98"/>
      <c r="G25" s="98" t="s">
        <v>232</v>
      </c>
      <c r="H25" s="98">
        <f>I27/D27</f>
        <v>0.31638916581378673</v>
      </c>
      <c r="I25" s="98"/>
      <c r="J25" s="97"/>
    </row>
    <row r="26" spans="1:13" x14ac:dyDescent="0.25">
      <c r="A26" s="93"/>
      <c r="B26" s="92"/>
      <c r="C26" s="92"/>
      <c r="D26" s="92" t="s">
        <v>231</v>
      </c>
      <c r="E26" s="92" t="s">
        <v>230</v>
      </c>
      <c r="F26" s="92"/>
      <c r="G26" s="92"/>
      <c r="H26" s="92"/>
      <c r="I26" s="92" t="s">
        <v>231</v>
      </c>
      <c r="J26" s="91" t="s">
        <v>230</v>
      </c>
    </row>
    <row r="27" spans="1:13" x14ac:dyDescent="0.25">
      <c r="A27" s="93"/>
      <c r="B27" s="96" t="s">
        <v>229</v>
      </c>
      <c r="C27" s="96" t="s">
        <v>224</v>
      </c>
      <c r="D27" s="96">
        <f>SUM(D28:D29)</f>
        <v>2764.0029890109895</v>
      </c>
      <c r="E27" s="96"/>
      <c r="F27" s="96"/>
      <c r="G27" s="96" t="s">
        <v>229</v>
      </c>
      <c r="H27" s="96" t="s">
        <v>224</v>
      </c>
      <c r="I27" s="96">
        <f>SUM(I28:I29)</f>
        <v>874.50060000000008</v>
      </c>
      <c r="J27" s="95"/>
    </row>
    <row r="28" spans="1:13" x14ac:dyDescent="0.25">
      <c r="A28" s="93"/>
      <c r="B28" s="92" t="s">
        <v>228</v>
      </c>
      <c r="C28" s="92" t="s">
        <v>224</v>
      </c>
      <c r="D28" s="92">
        <f>C81</f>
        <v>214.99200000000002</v>
      </c>
      <c r="E28" s="92"/>
      <c r="F28" s="92"/>
      <c r="G28" s="92" t="s">
        <v>227</v>
      </c>
      <c r="H28" s="92" t="s">
        <v>224</v>
      </c>
      <c r="I28" s="92">
        <f>C88*Q147</f>
        <v>447.59819999999996</v>
      </c>
      <c r="J28" s="91">
        <f>I28*8760</f>
        <v>3920960.2319999998</v>
      </c>
    </row>
    <row r="29" spans="1:13" x14ac:dyDescent="0.25">
      <c r="A29" s="93"/>
      <c r="B29" s="92" t="s">
        <v>226</v>
      </c>
      <c r="C29" s="92" t="s">
        <v>224</v>
      </c>
      <c r="D29" s="94">
        <f>C71</f>
        <v>2549.0109890109893</v>
      </c>
      <c r="E29" s="92"/>
      <c r="F29" s="92"/>
      <c r="G29" s="92" t="s">
        <v>225</v>
      </c>
      <c r="H29" s="92" t="s">
        <v>224</v>
      </c>
      <c r="I29" s="92">
        <f>C89*Q148</f>
        <v>426.90240000000006</v>
      </c>
      <c r="J29" s="91">
        <f>I29*8760</f>
        <v>3739665.0240000007</v>
      </c>
    </row>
    <row r="30" spans="1:13" x14ac:dyDescent="0.25">
      <c r="A30" s="90" t="s">
        <v>223</v>
      </c>
      <c r="B30" s="89"/>
      <c r="C30" s="89"/>
      <c r="D30" s="89"/>
      <c r="E30" s="89"/>
      <c r="F30" s="89"/>
      <c r="G30" s="89"/>
      <c r="H30" s="89"/>
      <c r="I30" s="89"/>
      <c r="J30" s="88"/>
    </row>
    <row r="31" spans="1:13" x14ac:dyDescent="0.25">
      <c r="A31" s="93"/>
      <c r="B31" s="92" t="str">
        <f>B28</f>
        <v>elc</v>
      </c>
      <c r="C31" s="92" t="s">
        <v>38</v>
      </c>
      <c r="D31" s="92">
        <f>D28/$D$27</f>
        <v>7.7782839184601632E-2</v>
      </c>
      <c r="E31" s="92"/>
      <c r="F31" s="92">
        <f>F28/$D$27</f>
        <v>0</v>
      </c>
      <c r="G31" s="92" t="str">
        <f>G28</f>
        <v>oag</v>
      </c>
      <c r="H31" s="92" t="s">
        <v>38</v>
      </c>
      <c r="I31" s="92">
        <f>I28/$I$27</f>
        <v>0.5118329249859862</v>
      </c>
      <c r="J31" s="91"/>
    </row>
    <row r="32" spans="1:13" x14ac:dyDescent="0.25">
      <c r="A32" s="93"/>
      <c r="B32" s="92" t="str">
        <f>B29</f>
        <v>h2</v>
      </c>
      <c r="C32" s="92" t="s">
        <v>38</v>
      </c>
      <c r="D32" s="92">
        <f>D29/$D$27</f>
        <v>0.92221716081539828</v>
      </c>
      <c r="E32" s="92"/>
      <c r="F32" s="92">
        <f>F29/$D$27</f>
        <v>0</v>
      </c>
      <c r="G32" s="92" t="str">
        <f>G29</f>
        <v>oke</v>
      </c>
      <c r="H32" s="92" t="s">
        <v>38</v>
      </c>
      <c r="I32" s="92">
        <f>I29/$I$27</f>
        <v>0.48816707501401374</v>
      </c>
      <c r="J32" s="91"/>
    </row>
    <row r="33" spans="1:10" x14ac:dyDescent="0.25">
      <c r="A33" s="93"/>
      <c r="B33" s="92"/>
      <c r="C33" s="92"/>
      <c r="D33" s="92"/>
      <c r="E33" s="92"/>
      <c r="F33" s="92"/>
      <c r="G33" s="92"/>
      <c r="H33" s="92"/>
      <c r="I33" s="92"/>
      <c r="J33" s="91"/>
    </row>
    <row r="34" spans="1:10" x14ac:dyDescent="0.25">
      <c r="A34" s="90" t="s">
        <v>222</v>
      </c>
      <c r="B34" s="89"/>
      <c r="C34" s="89"/>
      <c r="D34" s="89"/>
      <c r="E34" s="89"/>
      <c r="F34" s="89"/>
      <c r="G34" s="89"/>
      <c r="H34" s="89"/>
      <c r="I34" s="89"/>
      <c r="J34" s="88"/>
    </row>
    <row r="35" spans="1:10" x14ac:dyDescent="0.25">
      <c r="A35" s="93"/>
      <c r="B35" s="92" t="s">
        <v>221</v>
      </c>
      <c r="C35" s="92" t="s">
        <v>178</v>
      </c>
      <c r="D35" s="92">
        <f>C50</f>
        <v>93.9</v>
      </c>
      <c r="E35" s="92"/>
      <c r="F35" s="92"/>
      <c r="G35" s="92"/>
      <c r="H35" s="92"/>
      <c r="I35" s="92"/>
      <c r="J35" s="91"/>
    </row>
    <row r="36" spans="1:10" x14ac:dyDescent="0.25">
      <c r="A36" s="93"/>
      <c r="B36" s="92"/>
      <c r="C36" s="92" t="s">
        <v>220</v>
      </c>
      <c r="D36" s="92">
        <f>D35/(I27*0.001)</f>
        <v>107.3755695536401</v>
      </c>
      <c r="E36" s="92"/>
      <c r="F36" s="92"/>
      <c r="G36" s="92"/>
      <c r="H36" s="92"/>
      <c r="I36" s="92"/>
      <c r="J36" s="91"/>
    </row>
    <row r="37" spans="1:10" x14ac:dyDescent="0.25">
      <c r="A37" s="93"/>
      <c r="B37" s="92"/>
      <c r="C37" s="92"/>
      <c r="D37" s="92"/>
      <c r="E37" s="92"/>
      <c r="F37" s="92"/>
      <c r="G37" s="92"/>
      <c r="H37" s="92"/>
      <c r="I37" s="92"/>
      <c r="J37" s="91"/>
    </row>
    <row r="38" spans="1:10" x14ac:dyDescent="0.25">
      <c r="A38" s="90" t="s">
        <v>219</v>
      </c>
      <c r="B38" s="89"/>
      <c r="C38" s="89"/>
      <c r="D38" s="89"/>
      <c r="E38" s="89"/>
      <c r="F38" s="89"/>
      <c r="G38" s="89"/>
      <c r="H38" s="89"/>
      <c r="I38" s="89"/>
      <c r="J38" s="88"/>
    </row>
    <row r="39" spans="1:10" x14ac:dyDescent="0.25">
      <c r="A39" s="93"/>
      <c r="B39" s="92"/>
      <c r="C39" s="92"/>
      <c r="D39" s="92"/>
      <c r="E39" s="92"/>
      <c r="F39" s="92"/>
      <c r="G39" s="92" t="s">
        <v>218</v>
      </c>
      <c r="H39" s="92" t="s">
        <v>178</v>
      </c>
      <c r="I39" s="92">
        <f>C92</f>
        <v>6.94</v>
      </c>
      <c r="J39" s="91">
        <f>I39*8760</f>
        <v>60794.400000000001</v>
      </c>
    </row>
    <row r="40" spans="1:10" x14ac:dyDescent="0.25">
      <c r="A40" s="90"/>
      <c r="B40" s="89"/>
      <c r="C40" s="89"/>
      <c r="D40" s="89"/>
      <c r="E40" s="89"/>
      <c r="F40" s="89"/>
      <c r="G40" s="89"/>
      <c r="H40" s="89" t="s">
        <v>217</v>
      </c>
      <c r="I40" s="89"/>
      <c r="J40" s="88">
        <f>J39/1000</f>
        <v>60.794400000000003</v>
      </c>
    </row>
    <row r="44" spans="1:10" x14ac:dyDescent="0.25">
      <c r="A44" t="s">
        <v>152</v>
      </c>
      <c r="B44" t="s">
        <v>216</v>
      </c>
      <c r="C44">
        <v>8000</v>
      </c>
    </row>
    <row r="46" spans="1:10" x14ac:dyDescent="0.25">
      <c r="A46" t="s">
        <v>215</v>
      </c>
      <c r="C46" t="s">
        <v>214</v>
      </c>
      <c r="D46" t="s">
        <v>213</v>
      </c>
    </row>
    <row r="47" spans="1:10" x14ac:dyDescent="0.25">
      <c r="A47" t="s">
        <v>212</v>
      </c>
      <c r="B47" t="s">
        <v>206</v>
      </c>
      <c r="C47">
        <v>193.3</v>
      </c>
      <c r="D47">
        <v>256.5</v>
      </c>
    </row>
    <row r="48" spans="1:10" x14ac:dyDescent="0.25">
      <c r="A48" t="s">
        <v>211</v>
      </c>
      <c r="B48" t="s">
        <v>206</v>
      </c>
      <c r="C48">
        <v>74.5</v>
      </c>
      <c r="D48">
        <v>994.3</v>
      </c>
    </row>
    <row r="49" spans="1:4" x14ac:dyDescent="0.25">
      <c r="A49" t="s">
        <v>210</v>
      </c>
      <c r="B49" t="s">
        <v>206</v>
      </c>
      <c r="C49">
        <v>103.4</v>
      </c>
      <c r="D49">
        <v>137.19999999999999</v>
      </c>
    </row>
    <row r="50" spans="1:4" x14ac:dyDescent="0.25">
      <c r="A50" t="s">
        <v>209</v>
      </c>
      <c r="B50" t="s">
        <v>206</v>
      </c>
      <c r="C50">
        <v>93.9</v>
      </c>
      <c r="D50">
        <v>142.4</v>
      </c>
    </row>
    <row r="51" spans="1:4" x14ac:dyDescent="0.25">
      <c r="A51" s="47" t="s">
        <v>208</v>
      </c>
      <c r="B51" s="47" t="s">
        <v>206</v>
      </c>
      <c r="C51" s="47">
        <v>0</v>
      </c>
      <c r="D51" s="47">
        <v>0</v>
      </c>
    </row>
    <row r="52" spans="1:4" x14ac:dyDescent="0.25">
      <c r="A52" s="47" t="s">
        <v>207</v>
      </c>
      <c r="B52" s="47" t="s">
        <v>206</v>
      </c>
      <c r="C52" s="47">
        <f>SUM(C53:C58)</f>
        <v>114.49999999999999</v>
      </c>
      <c r="D52" s="47">
        <f>SUM(D53:D58)</f>
        <v>163.14000000000001</v>
      </c>
    </row>
    <row r="53" spans="1:4" x14ac:dyDescent="0.25">
      <c r="A53" s="87" t="s">
        <v>205</v>
      </c>
      <c r="B53" s="87"/>
      <c r="C53" s="87">
        <v>5.8</v>
      </c>
      <c r="D53" s="87">
        <v>8.3000000000000007</v>
      </c>
    </row>
    <row r="54" spans="1:4" x14ac:dyDescent="0.25">
      <c r="A54" s="86" t="s">
        <v>204</v>
      </c>
      <c r="B54" s="86"/>
      <c r="C54" s="86">
        <v>82.1</v>
      </c>
      <c r="D54" s="86">
        <v>128.6</v>
      </c>
    </row>
    <row r="55" spans="1:4" x14ac:dyDescent="0.25">
      <c r="A55" s="86" t="s">
        <v>203</v>
      </c>
      <c r="B55" s="86"/>
      <c r="C55" s="86"/>
      <c r="D55" s="86"/>
    </row>
    <row r="56" spans="1:4" x14ac:dyDescent="0.25">
      <c r="A56" s="86" t="s">
        <v>175</v>
      </c>
      <c r="B56" s="86"/>
      <c r="C56" s="86">
        <v>9.94</v>
      </c>
      <c r="D56" s="86">
        <v>9.75</v>
      </c>
    </row>
    <row r="57" spans="1:4" x14ac:dyDescent="0.25">
      <c r="A57" s="86" t="s">
        <v>174</v>
      </c>
      <c r="B57" s="86"/>
      <c r="C57" s="86">
        <v>9.7200000000000006</v>
      </c>
      <c r="D57" s="86">
        <v>9.66</v>
      </c>
    </row>
    <row r="58" spans="1:4" x14ac:dyDescent="0.25">
      <c r="A58" s="85" t="s">
        <v>172</v>
      </c>
      <c r="B58" s="85"/>
      <c r="C58" s="85">
        <v>6.94</v>
      </c>
      <c r="D58" s="85">
        <v>6.83</v>
      </c>
    </row>
    <row r="59" spans="1:4" x14ac:dyDescent="0.25">
      <c r="A59" s="47" t="s">
        <v>185</v>
      </c>
      <c r="B59" s="47" t="s">
        <v>202</v>
      </c>
      <c r="C59" s="47">
        <f>SUM(C60:C63)</f>
        <v>59.720000000000006</v>
      </c>
      <c r="D59" s="47">
        <f>SUM(D60:D63)</f>
        <v>67.08</v>
      </c>
    </row>
    <row r="60" spans="1:4" x14ac:dyDescent="0.25">
      <c r="A60" s="86" t="s">
        <v>201</v>
      </c>
      <c r="B60" s="86"/>
      <c r="C60" s="86">
        <v>0.63</v>
      </c>
      <c r="D60" s="86">
        <v>0.83</v>
      </c>
    </row>
    <row r="61" spans="1:4" x14ac:dyDescent="0.25">
      <c r="A61" s="86" t="s">
        <v>200</v>
      </c>
      <c r="B61" s="86"/>
      <c r="C61" s="86">
        <v>59.09</v>
      </c>
      <c r="D61" s="86">
        <v>66.25</v>
      </c>
    </row>
    <row r="62" spans="1:4" x14ac:dyDescent="0.25">
      <c r="A62" s="86"/>
      <c r="B62" s="86"/>
      <c r="C62" s="86"/>
      <c r="D62" s="86"/>
    </row>
    <row r="63" spans="1:4" x14ac:dyDescent="0.25">
      <c r="A63" s="85"/>
      <c r="B63" s="85"/>
      <c r="C63" s="85"/>
      <c r="D63" s="85"/>
    </row>
    <row r="65" spans="1:4" x14ac:dyDescent="0.25">
      <c r="A65" s="84" t="s">
        <v>175</v>
      </c>
      <c r="B65" s="84" t="s">
        <v>199</v>
      </c>
    </row>
    <row r="66" spans="1:4" x14ac:dyDescent="0.25">
      <c r="A66" s="84" t="s">
        <v>174</v>
      </c>
      <c r="B66" s="84" t="s">
        <v>198</v>
      </c>
      <c r="C66" t="s">
        <v>197</v>
      </c>
    </row>
    <row r="67" spans="1:4" x14ac:dyDescent="0.25">
      <c r="A67" s="84" t="s">
        <v>172</v>
      </c>
      <c r="B67" s="84" t="s">
        <v>196</v>
      </c>
    </row>
    <row r="69" spans="1:4" x14ac:dyDescent="0.25">
      <c r="A69" t="s">
        <v>195</v>
      </c>
      <c r="B69" t="s">
        <v>194</v>
      </c>
      <c r="C69">
        <v>9.1</v>
      </c>
    </row>
    <row r="70" spans="1:4" x14ac:dyDescent="0.25">
      <c r="A70" t="s">
        <v>192</v>
      </c>
      <c r="B70" t="s">
        <v>193</v>
      </c>
      <c r="C70" s="83">
        <f>C47/$C$69</f>
        <v>21.241758241758244</v>
      </c>
      <c r="D70" s="83">
        <f>D47/$C$69</f>
        <v>28.186813186813186</v>
      </c>
    </row>
    <row r="71" spans="1:4" x14ac:dyDescent="0.25">
      <c r="A71" t="s">
        <v>192</v>
      </c>
      <c r="B71" t="s">
        <v>186</v>
      </c>
      <c r="C71" s="80">
        <f>C70*V135</f>
        <v>2549.0109890109893</v>
      </c>
      <c r="D71" s="83"/>
    </row>
    <row r="72" spans="1:4" x14ac:dyDescent="0.25">
      <c r="A72" t="s">
        <v>192</v>
      </c>
      <c r="B72" t="s">
        <v>191</v>
      </c>
      <c r="C72" s="82">
        <f>C70/C87</f>
        <v>1.0804556582786493</v>
      </c>
    </row>
    <row r="74" spans="1:4" x14ac:dyDescent="0.25">
      <c r="A74" s="64" t="s">
        <v>190</v>
      </c>
      <c r="B74" s="64"/>
    </row>
    <row r="75" spans="1:4" x14ac:dyDescent="0.25">
      <c r="A75">
        <f>C89*C44</f>
        <v>77760</v>
      </c>
      <c r="B75" t="s">
        <v>178</v>
      </c>
    </row>
    <row r="76" spans="1:4" x14ac:dyDescent="0.25">
      <c r="A76" s="81">
        <f>A75*Q148*0.000001</f>
        <v>3.4152192000000001</v>
      </c>
      <c r="B76" t="s">
        <v>4</v>
      </c>
    </row>
    <row r="78" spans="1:4" x14ac:dyDescent="0.25">
      <c r="A78" t="s">
        <v>189</v>
      </c>
    </row>
    <row r="79" spans="1:4" x14ac:dyDescent="0.25">
      <c r="C79" t="s">
        <v>188</v>
      </c>
    </row>
    <row r="80" spans="1:4" x14ac:dyDescent="0.25">
      <c r="A80" s="32" t="s">
        <v>185</v>
      </c>
      <c r="B80" s="32" t="s">
        <v>187</v>
      </c>
      <c r="C80" s="32">
        <f>C59*1</f>
        <v>59.720000000000006</v>
      </c>
    </row>
    <row r="81" spans="1:3" x14ac:dyDescent="0.25">
      <c r="A81" t="s">
        <v>185</v>
      </c>
      <c r="B81" t="s">
        <v>186</v>
      </c>
      <c r="C81">
        <f>C80*3.6</f>
        <v>214.99200000000002</v>
      </c>
    </row>
    <row r="82" spans="1:3" x14ac:dyDescent="0.25">
      <c r="A82" s="32" t="s">
        <v>185</v>
      </c>
      <c r="B82" t="s">
        <v>183</v>
      </c>
      <c r="C82" s="81">
        <f>C81/C87</f>
        <v>10.935503560528995</v>
      </c>
    </row>
    <row r="83" spans="1:3" x14ac:dyDescent="0.25">
      <c r="A83" s="32" t="s">
        <v>184</v>
      </c>
      <c r="B83" t="s">
        <v>183</v>
      </c>
      <c r="C83" s="80">
        <f>C71/C87</f>
        <v>129.6546789934379</v>
      </c>
    </row>
    <row r="84" spans="1:3" x14ac:dyDescent="0.25">
      <c r="A84" s="32" t="s">
        <v>182</v>
      </c>
      <c r="B84" t="s">
        <v>181</v>
      </c>
      <c r="C84" s="79">
        <f>(C50*0.001)/C87</f>
        <v>4.7761953204476099E-3</v>
      </c>
    </row>
    <row r="85" spans="1:3" x14ac:dyDescent="0.25">
      <c r="A85" s="78"/>
      <c r="B85" s="47"/>
      <c r="C85" s="77"/>
    </row>
    <row r="86" spans="1:3" x14ac:dyDescent="0.25">
      <c r="A86" s="32" t="s">
        <v>176</v>
      </c>
      <c r="B86" s="32"/>
      <c r="C86" s="32" t="s">
        <v>180</v>
      </c>
    </row>
    <row r="87" spans="1:3" x14ac:dyDescent="0.25">
      <c r="A87" s="32" t="s">
        <v>179</v>
      </c>
      <c r="B87" s="32" t="s">
        <v>178</v>
      </c>
      <c r="C87" s="32">
        <f>SUM(C88:C89)</f>
        <v>19.66</v>
      </c>
    </row>
    <row r="88" spans="1:3" x14ac:dyDescent="0.25">
      <c r="A88" t="s">
        <v>175</v>
      </c>
      <c r="B88" t="s">
        <v>178</v>
      </c>
      <c r="C88">
        <v>9.94</v>
      </c>
    </row>
    <row r="89" spans="1:3" x14ac:dyDescent="0.25">
      <c r="A89" t="s">
        <v>174</v>
      </c>
      <c r="B89" t="s">
        <v>178</v>
      </c>
      <c r="C89">
        <v>9.7200000000000006</v>
      </c>
    </row>
    <row r="90" spans="1:3" x14ac:dyDescent="0.25">
      <c r="A90" s="32" t="s">
        <v>173</v>
      </c>
    </row>
    <row r="91" spans="1:3" x14ac:dyDescent="0.25">
      <c r="A91" s="32" t="s">
        <v>179</v>
      </c>
      <c r="B91" s="32" t="s">
        <v>178</v>
      </c>
      <c r="C91" s="32">
        <f>SUM(C92:C93)</f>
        <v>6.94</v>
      </c>
    </row>
    <row r="92" spans="1:3" x14ac:dyDescent="0.25">
      <c r="A92" t="s">
        <v>172</v>
      </c>
      <c r="B92" t="s">
        <v>178</v>
      </c>
      <c r="C92">
        <v>6.94</v>
      </c>
    </row>
    <row r="94" spans="1:3" x14ac:dyDescent="0.25">
      <c r="A94" s="32" t="s">
        <v>177</v>
      </c>
    </row>
    <row r="95" spans="1:3" x14ac:dyDescent="0.25">
      <c r="A95" s="32" t="s">
        <v>176</v>
      </c>
    </row>
    <row r="96" spans="1:3" x14ac:dyDescent="0.25">
      <c r="A96" t="s">
        <v>175</v>
      </c>
      <c r="C96" s="76">
        <f>C88/$C$87</f>
        <v>0.50559511698880977</v>
      </c>
    </row>
    <row r="97" spans="1:6" x14ac:dyDescent="0.25">
      <c r="A97" t="s">
        <v>174</v>
      </c>
      <c r="C97" s="76">
        <f>C89/$C$87</f>
        <v>0.49440488301119029</v>
      </c>
    </row>
    <row r="98" spans="1:6" x14ac:dyDescent="0.25">
      <c r="A98" s="32" t="s">
        <v>173</v>
      </c>
      <c r="C98" s="75"/>
    </row>
    <row r="99" spans="1:6" x14ac:dyDescent="0.25">
      <c r="A99" t="s">
        <v>172</v>
      </c>
      <c r="C99" s="75">
        <f>C92/$C$91</f>
        <v>1</v>
      </c>
    </row>
    <row r="101" spans="1:6" x14ac:dyDescent="0.25">
      <c r="A101" s="70" t="s">
        <v>171</v>
      </c>
      <c r="B101" s="69">
        <f>1/1.2</f>
        <v>0.83333333333333337</v>
      </c>
      <c r="C101" t="s">
        <v>170</v>
      </c>
    </row>
    <row r="102" spans="1:6" x14ac:dyDescent="0.25">
      <c r="A102" s="70" t="s">
        <v>169</v>
      </c>
      <c r="B102" s="69">
        <v>15.7</v>
      </c>
      <c r="C102" s="74" t="s">
        <v>162</v>
      </c>
    </row>
    <row r="103" spans="1:6" x14ac:dyDescent="0.25">
      <c r="A103" s="69" t="s">
        <v>168</v>
      </c>
      <c r="B103" s="69">
        <v>1.145</v>
      </c>
      <c r="C103" t="s">
        <v>152</v>
      </c>
    </row>
    <row r="104" spans="1:6" x14ac:dyDescent="0.25">
      <c r="A104" s="69" t="s">
        <v>167</v>
      </c>
      <c r="B104" s="69">
        <v>1.04</v>
      </c>
      <c r="C104" t="s">
        <v>166</v>
      </c>
      <c r="D104" s="73"/>
      <c r="E104" s="72"/>
    </row>
    <row r="105" spans="1:6" x14ac:dyDescent="0.25">
      <c r="A105" s="71" t="s">
        <v>165</v>
      </c>
      <c r="B105" s="69">
        <v>1.1200000000000001</v>
      </c>
      <c r="C105" t="s">
        <v>162</v>
      </c>
    </row>
    <row r="106" spans="1:6" x14ac:dyDescent="0.25">
      <c r="A106" s="70" t="s">
        <v>164</v>
      </c>
      <c r="B106" s="69">
        <f>1/1.19</f>
        <v>0.84033613445378152</v>
      </c>
    </row>
    <row r="107" spans="1:6" x14ac:dyDescent="0.25">
      <c r="A107" s="70" t="s">
        <v>163</v>
      </c>
      <c r="B107" s="69">
        <v>15.5</v>
      </c>
      <c r="C107" t="s">
        <v>162</v>
      </c>
    </row>
    <row r="109" spans="1:6" x14ac:dyDescent="0.25">
      <c r="A109" s="68" t="s">
        <v>161</v>
      </c>
      <c r="B109" s="68">
        <f>C44</f>
        <v>8000</v>
      </c>
      <c r="C109" t="s">
        <v>152</v>
      </c>
      <c r="D109" t="s">
        <v>160</v>
      </c>
    </row>
    <row r="110" spans="1:6" x14ac:dyDescent="0.25">
      <c r="A110" s="68">
        <f>8760*3600</f>
        <v>31536000</v>
      </c>
      <c r="B110" s="67" t="s">
        <v>158</v>
      </c>
      <c r="C110" t="s">
        <v>152</v>
      </c>
      <c r="D110" s="66">
        <f>530*F110</f>
        <v>1060</v>
      </c>
      <c r="E110" t="s">
        <v>159</v>
      </c>
      <c r="F110">
        <v>2</v>
      </c>
    </row>
    <row r="111" spans="1:6" x14ac:dyDescent="0.25">
      <c r="A111" s="68">
        <f>A110*B109/8760</f>
        <v>28800000</v>
      </c>
      <c r="B111" s="67" t="s">
        <v>158</v>
      </c>
      <c r="C111" t="s">
        <v>152</v>
      </c>
      <c r="D111" s="66">
        <f>D110/A111 *1000000</f>
        <v>36.805555555555557</v>
      </c>
      <c r="E111" t="s">
        <v>157</v>
      </c>
      <c r="F111" s="59"/>
    </row>
    <row r="112" spans="1:6" x14ac:dyDescent="0.25">
      <c r="C112" t="s">
        <v>152</v>
      </c>
      <c r="D112" s="66">
        <f>D111*B102</f>
        <v>577.84722222222217</v>
      </c>
      <c r="E112" t="s">
        <v>156</v>
      </c>
    </row>
    <row r="113" spans="1:6" x14ac:dyDescent="0.25">
      <c r="C113" t="s">
        <v>152</v>
      </c>
      <c r="D113" s="66">
        <f>D112*B101</f>
        <v>481.53935185185185</v>
      </c>
      <c r="E113" t="s">
        <v>146</v>
      </c>
    </row>
    <row r="115" spans="1:6" x14ac:dyDescent="0.25">
      <c r="C115" t="s">
        <v>155</v>
      </c>
      <c r="D115" s="65">
        <v>1.4999999999999999E-2</v>
      </c>
      <c r="E115" t="s">
        <v>154</v>
      </c>
    </row>
    <row r="116" spans="1:6" x14ac:dyDescent="0.25">
      <c r="B116" s="60" t="s">
        <v>152</v>
      </c>
      <c r="D116" s="64">
        <f>D113</f>
        <v>481.53935185185185</v>
      </c>
      <c r="E116" s="59">
        <f>D116 * (1-$D$115)^($F$117-$E$117)</f>
        <v>413.99403993277372</v>
      </c>
      <c r="F116" s="59">
        <f>E116 * (1-$D$115)^($E$117-$D$117)</f>
        <v>355.92327904405289</v>
      </c>
    </row>
    <row r="117" spans="1:6" x14ac:dyDescent="0.25">
      <c r="C117" s="63"/>
      <c r="D117" s="62">
        <v>2020</v>
      </c>
      <c r="E117" s="62">
        <v>2030</v>
      </c>
      <c r="F117" s="61">
        <v>2040</v>
      </c>
    </row>
    <row r="118" spans="1:6" x14ac:dyDescent="0.25">
      <c r="A118" s="59"/>
      <c r="B118" s="60" t="s">
        <v>152</v>
      </c>
      <c r="C118" s="58" t="s">
        <v>153</v>
      </c>
      <c r="D118" s="57">
        <f>D110</f>
        <v>1060</v>
      </c>
      <c r="E118" s="57">
        <f>E116/$D$116*$D$118</f>
        <v>911.31426879469166</v>
      </c>
      <c r="F118" s="57">
        <f>F116/$D$116*$D$118</f>
        <v>783.48461934792783</v>
      </c>
    </row>
    <row r="119" spans="1:6" x14ac:dyDescent="0.25">
      <c r="A119" s="59"/>
      <c r="B119" s="60" t="s">
        <v>152</v>
      </c>
      <c r="C119" s="58" t="s">
        <v>148</v>
      </c>
      <c r="D119" s="57">
        <f>D118*$B$105</f>
        <v>1187.2</v>
      </c>
      <c r="E119" s="57">
        <f>E118*$B$105</f>
        <v>1020.6719810500548</v>
      </c>
      <c r="F119" s="56">
        <f>F118*$B$105</f>
        <v>877.5027736696793</v>
      </c>
    </row>
    <row r="120" spans="1:6" x14ac:dyDescent="0.25">
      <c r="A120" s="59"/>
      <c r="B120" s="55" t="s">
        <v>151</v>
      </c>
      <c r="C120" s="58" t="s">
        <v>148</v>
      </c>
      <c r="D120" s="57">
        <f>D121*$B$104</f>
        <v>925.6</v>
      </c>
      <c r="E120" s="57">
        <f>E121*$B$104</f>
        <v>790.4</v>
      </c>
      <c r="F120" s="56">
        <f>F121*$B$104</f>
        <v>587.6</v>
      </c>
    </row>
    <row r="121" spans="1:6" x14ac:dyDescent="0.25">
      <c r="B121" s="55" t="s">
        <v>151</v>
      </c>
      <c r="C121" s="54" t="s">
        <v>150</v>
      </c>
      <c r="D121" s="53">
        <v>890</v>
      </c>
      <c r="E121" s="53">
        <v>760</v>
      </c>
      <c r="F121" s="52">
        <v>565</v>
      </c>
    </row>
    <row r="122" spans="1:6" x14ac:dyDescent="0.25">
      <c r="B122" s="32" t="s">
        <v>149</v>
      </c>
      <c r="C122" s="49" t="s">
        <v>148</v>
      </c>
      <c r="D122" s="51">
        <f>AVERAGE(D119:D120)</f>
        <v>1056.4000000000001</v>
      </c>
      <c r="E122" s="51">
        <f>AVERAGE(E119:E120)</f>
        <v>905.53599052502739</v>
      </c>
      <c r="F122" s="50">
        <f>AVERAGE(F119:F120)</f>
        <v>732.5513868348396</v>
      </c>
    </row>
    <row r="123" spans="1:6" x14ac:dyDescent="0.25">
      <c r="B123" t="s">
        <v>147</v>
      </c>
      <c r="C123" s="49" t="s">
        <v>146</v>
      </c>
      <c r="D123" s="48">
        <f>D122/$A$111 *1000000 *($B$107*$B$106)</f>
        <v>477.77194211017741</v>
      </c>
      <c r="E123" s="48">
        <f>E122/$A$111 *1000000 *($B$107*$B$106)</f>
        <v>409.54154566812338</v>
      </c>
      <c r="F123" s="48">
        <f>F122/$A$111 *1000000 *($B$107*$B$106)</f>
        <v>331.30679551645699</v>
      </c>
    </row>
    <row r="131" spans="3:22" x14ac:dyDescent="0.25">
      <c r="C131" s="47">
        <f>SUM(C132:C135)</f>
        <v>39.935850000000002</v>
      </c>
      <c r="D131" t="s">
        <v>145</v>
      </c>
      <c r="E131" s="47"/>
    </row>
    <row r="132" spans="3:22" x14ac:dyDescent="0.25">
      <c r="C132">
        <f>D132</f>
        <v>1.97</v>
      </c>
      <c r="D132">
        <v>1.97</v>
      </c>
      <c r="E132" t="s">
        <v>144</v>
      </c>
    </row>
    <row r="133" spans="3:22" x14ac:dyDescent="0.25">
      <c r="C133">
        <f>D133</f>
        <v>0.49</v>
      </c>
      <c r="D133">
        <v>0.49</v>
      </c>
      <c r="E133" t="s">
        <v>144</v>
      </c>
    </row>
    <row r="134" spans="3:22" x14ac:dyDescent="0.25">
      <c r="C134">
        <f>D134*$B$103</f>
        <v>0.83584999999999998</v>
      </c>
      <c r="D134">
        <v>0.73</v>
      </c>
      <c r="E134" t="s">
        <v>143</v>
      </c>
    </row>
    <row r="135" spans="3:22" x14ac:dyDescent="0.25">
      <c r="C135">
        <f>D135*$B$103</f>
        <v>36.64</v>
      </c>
      <c r="D135">
        <v>32</v>
      </c>
      <c r="E135" t="s">
        <v>143</v>
      </c>
      <c r="T135" s="46" t="s">
        <v>142</v>
      </c>
      <c r="U135" s="46" t="s">
        <v>139</v>
      </c>
      <c r="V135" s="46">
        <f>V137</f>
        <v>120</v>
      </c>
    </row>
    <row r="136" spans="3:22" x14ac:dyDescent="0.25">
      <c r="T136" s="45" t="s">
        <v>141</v>
      </c>
      <c r="U136" s="45" t="s">
        <v>139</v>
      </c>
      <c r="V136" s="45">
        <v>140</v>
      </c>
    </row>
    <row r="137" spans="3:22" x14ac:dyDescent="0.25">
      <c r="T137" s="45" t="s">
        <v>140</v>
      </c>
      <c r="U137" s="45" t="s">
        <v>139</v>
      </c>
      <c r="V137" s="45">
        <v>120</v>
      </c>
    </row>
    <row r="139" spans="3:22" x14ac:dyDescent="0.25">
      <c r="M139" s="32" t="s">
        <v>138</v>
      </c>
    </row>
    <row r="141" spans="3:22" ht="75" x14ac:dyDescent="0.25">
      <c r="M141" s="41" t="s">
        <v>137</v>
      </c>
      <c r="N141" s="44" t="s">
        <v>136</v>
      </c>
      <c r="O141" s="41" t="s">
        <v>135</v>
      </c>
      <c r="P141" s="44" t="s">
        <v>134</v>
      </c>
      <c r="Q141" s="43" t="s">
        <v>133</v>
      </c>
      <c r="R141" s="42" t="s">
        <v>132</v>
      </c>
      <c r="T141" s="33"/>
    </row>
    <row r="142" spans="3:22" x14ac:dyDescent="0.25">
      <c r="M142" s="41" t="s">
        <v>131</v>
      </c>
      <c r="N142" s="38">
        <v>366.3</v>
      </c>
      <c r="O142" s="40">
        <v>2730</v>
      </c>
      <c r="P142" s="35">
        <v>51.9</v>
      </c>
      <c r="Q142" s="36">
        <v>47.51</v>
      </c>
      <c r="R142" s="35">
        <f t="shared" ref="R142:R153" si="4">Q142/O142*1000</f>
        <v>17.402930402930401</v>
      </c>
      <c r="T142" s="33"/>
    </row>
    <row r="143" spans="3:22" x14ac:dyDescent="0.25">
      <c r="M143" s="41" t="s">
        <v>130</v>
      </c>
      <c r="N143" s="38">
        <v>507.6</v>
      </c>
      <c r="O143" s="40">
        <v>1970</v>
      </c>
      <c r="P143" s="35">
        <v>50.32</v>
      </c>
      <c r="Q143" s="36">
        <v>46.33</v>
      </c>
      <c r="R143" s="35">
        <f t="shared" si="4"/>
        <v>23.517766497461928</v>
      </c>
      <c r="T143" s="33"/>
    </row>
    <row r="144" spans="3:22" x14ac:dyDescent="0.25">
      <c r="M144" s="41" t="s">
        <v>129</v>
      </c>
      <c r="N144" s="38">
        <v>572.70000000000005</v>
      </c>
      <c r="O144" s="40">
        <v>1746</v>
      </c>
      <c r="P144" s="35">
        <v>49.51</v>
      </c>
      <c r="Q144" s="36">
        <v>45.72</v>
      </c>
      <c r="R144" s="35">
        <f t="shared" si="4"/>
        <v>26.185567010309278</v>
      </c>
    </row>
    <row r="145" spans="13:20" x14ac:dyDescent="0.25">
      <c r="M145" s="41" t="s">
        <v>128</v>
      </c>
      <c r="N145" s="38">
        <v>522.20000000000005</v>
      </c>
      <c r="O145" s="40">
        <v>1915</v>
      </c>
      <c r="P145" s="35">
        <v>50.08</v>
      </c>
      <c r="Q145" s="36">
        <v>46.15</v>
      </c>
      <c r="R145" s="35">
        <f t="shared" si="4"/>
        <v>24.099216710182766</v>
      </c>
    </row>
    <row r="146" spans="13:20" x14ac:dyDescent="0.25">
      <c r="M146" s="41" t="s">
        <v>127</v>
      </c>
      <c r="N146" s="38">
        <v>690.6</v>
      </c>
      <c r="O146" s="40">
        <v>1448</v>
      </c>
      <c r="P146" s="35">
        <v>47.73</v>
      </c>
      <c r="Q146" s="36">
        <v>45.34</v>
      </c>
      <c r="R146" s="35">
        <f t="shared" si="4"/>
        <v>31.312154696132598</v>
      </c>
    </row>
    <row r="147" spans="13:20" ht="30" x14ac:dyDescent="0.25">
      <c r="M147" s="41" t="s">
        <v>126</v>
      </c>
      <c r="N147" s="38">
        <v>716.8</v>
      </c>
      <c r="O147" s="40">
        <v>1395</v>
      </c>
      <c r="P147" s="35">
        <v>47.4</v>
      </c>
      <c r="Q147" s="36">
        <v>45.03</v>
      </c>
      <c r="R147" s="35">
        <f t="shared" si="4"/>
        <v>32.27956989247312</v>
      </c>
    </row>
    <row r="148" spans="13:20" ht="45" x14ac:dyDescent="0.25">
      <c r="M148" s="41" t="s">
        <v>125</v>
      </c>
      <c r="N148" s="38">
        <v>802.6</v>
      </c>
      <c r="O148" s="40">
        <v>1246</v>
      </c>
      <c r="P148" s="35">
        <v>46.23</v>
      </c>
      <c r="Q148" s="36">
        <v>43.92</v>
      </c>
      <c r="R148" s="35">
        <f t="shared" si="4"/>
        <v>35.24879614767255</v>
      </c>
    </row>
    <row r="149" spans="13:20" ht="45" x14ac:dyDescent="0.25">
      <c r="M149" s="41" t="s">
        <v>124</v>
      </c>
      <c r="N149" s="38">
        <v>740.7</v>
      </c>
      <c r="O149" s="40">
        <v>1350</v>
      </c>
      <c r="P149" s="35">
        <v>47.1</v>
      </c>
      <c r="Q149" s="36">
        <v>44.75</v>
      </c>
      <c r="R149" s="35">
        <f t="shared" si="4"/>
        <v>33.148148148148152</v>
      </c>
    </row>
    <row r="150" spans="13:20" ht="30" x14ac:dyDescent="0.25">
      <c r="M150" s="41" t="s">
        <v>123</v>
      </c>
      <c r="N150" s="38">
        <v>802.6</v>
      </c>
      <c r="O150" s="40">
        <v>1246</v>
      </c>
      <c r="P150" s="35">
        <v>46.23</v>
      </c>
      <c r="Q150" s="36">
        <v>43.92</v>
      </c>
      <c r="R150" s="35">
        <f t="shared" si="4"/>
        <v>35.24879614767255</v>
      </c>
    </row>
    <row r="151" spans="13:20" ht="30" x14ac:dyDescent="0.25">
      <c r="M151" s="41" t="s">
        <v>122</v>
      </c>
      <c r="N151" s="38">
        <v>843.9</v>
      </c>
      <c r="O151" s="40">
        <v>1185</v>
      </c>
      <c r="P151" s="35">
        <v>45.66</v>
      </c>
      <c r="Q151" s="36">
        <v>43.38</v>
      </c>
      <c r="R151" s="35">
        <f t="shared" si="4"/>
        <v>36.607594936708864</v>
      </c>
    </row>
    <row r="152" spans="13:20" ht="45" x14ac:dyDescent="0.25">
      <c r="M152" s="41" t="s">
        <v>121</v>
      </c>
      <c r="N152" s="38">
        <v>925.1</v>
      </c>
      <c r="O152" s="40">
        <v>1081</v>
      </c>
      <c r="P152" s="35">
        <v>44.4</v>
      </c>
      <c r="Q152" s="36">
        <v>42.18</v>
      </c>
      <c r="R152" s="35">
        <f t="shared" si="4"/>
        <v>39.01942645698427</v>
      </c>
    </row>
    <row r="153" spans="13:20" ht="45" x14ac:dyDescent="0.25">
      <c r="M153" s="41" t="s">
        <v>120</v>
      </c>
      <c r="N153" s="38">
        <v>963.4</v>
      </c>
      <c r="O153" s="40">
        <v>1038</v>
      </c>
      <c r="P153" s="35">
        <v>43.76</v>
      </c>
      <c r="Q153" s="36">
        <v>41.57</v>
      </c>
      <c r="R153" s="35">
        <f t="shared" si="4"/>
        <v>40.048169556840072</v>
      </c>
    </row>
    <row r="154" spans="13:20" x14ac:dyDescent="0.25">
      <c r="M154" s="39" t="s">
        <v>119</v>
      </c>
      <c r="N154" s="38"/>
      <c r="O154" s="40">
        <f>1000/0.789</f>
        <v>1267.4271229404308</v>
      </c>
      <c r="P154" s="35"/>
      <c r="Q154" s="36"/>
      <c r="R154" s="35">
        <v>23.399999869999998</v>
      </c>
      <c r="S154" s="33"/>
      <c r="T154" s="33"/>
    </row>
    <row r="155" spans="13:20" x14ac:dyDescent="0.25">
      <c r="M155" s="39" t="s">
        <v>118</v>
      </c>
      <c r="N155" s="38"/>
      <c r="O155" s="37"/>
      <c r="P155" s="35"/>
      <c r="Q155" s="36"/>
      <c r="R155" s="35">
        <v>23.000259429209784</v>
      </c>
      <c r="S155" s="33"/>
      <c r="T155" s="33"/>
    </row>
    <row r="156" spans="13:20" x14ac:dyDescent="0.25">
      <c r="M156" s="33"/>
      <c r="N156" s="34" t="s">
        <v>117</v>
      </c>
      <c r="O156" s="34"/>
      <c r="P156" s="34"/>
      <c r="Q156" s="34"/>
      <c r="R156" s="34"/>
      <c r="S156" s="33"/>
      <c r="T156" s="33"/>
    </row>
    <row r="157" spans="13:20" x14ac:dyDescent="0.25">
      <c r="M157" s="33"/>
      <c r="N157" t="s">
        <v>116</v>
      </c>
      <c r="S157" s="34"/>
    </row>
    <row r="158" spans="13:20" x14ac:dyDescent="0.25">
      <c r="M158" s="33"/>
      <c r="N158" t="s">
        <v>115</v>
      </c>
    </row>
    <row r="170" spans="1:1" x14ac:dyDescent="0.25">
      <c r="A170" s="32" t="s">
        <v>114</v>
      </c>
    </row>
    <row r="171" spans="1:1" x14ac:dyDescent="0.25">
      <c r="A171" t="s">
        <v>113</v>
      </c>
    </row>
    <row r="172" spans="1:1" x14ac:dyDescent="0.25">
      <c r="A172" t="s">
        <v>112</v>
      </c>
    </row>
    <row r="173" spans="1:1" x14ac:dyDescent="0.25">
      <c r="A173" t="s">
        <v>111</v>
      </c>
    </row>
    <row r="174" spans="1:1" x14ac:dyDescent="0.25">
      <c r="A174" s="31" t="s">
        <v>110</v>
      </c>
    </row>
  </sheetData>
  <dataConsolidate/>
  <hyperlinks>
    <hyperlink ref="C102" r:id="rId1" xr:uid="{3C79BEB7-C2BE-416A-BDCE-5939A92CEACE}"/>
  </hyperlinks>
  <pageMargins left="0.7" right="0.7" top="0.75" bottom="0.75" header="0.3" footer="0.3"/>
  <pageSetup paperSize="9" orientation="portrait" verticalDpi="0" r:id="rId2"/>
  <drawing r:id="rId3"/>
  <legacy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51B94-4C88-4626-8A50-76E99A559600}">
  <sheetPr>
    <tabColor theme="6" tint="0.59999389629810485"/>
  </sheetPr>
  <dimension ref="A1:F9"/>
  <sheetViews>
    <sheetView workbookViewId="0">
      <selection activeCell="C32" sqref="C32"/>
    </sheetView>
  </sheetViews>
  <sheetFormatPr defaultRowHeight="15" x14ac:dyDescent="0.25"/>
  <cols>
    <col min="1" max="1" width="6.28515625" bestFit="1" customWidth="1"/>
    <col min="2" max="2" width="8.85546875" bestFit="1" customWidth="1"/>
    <col min="3" max="3" width="16.28515625" bestFit="1" customWidth="1"/>
    <col min="4" max="4" width="56.5703125" bestFit="1" customWidth="1"/>
    <col min="5" max="5" width="6.28515625" bestFit="1" customWidth="1"/>
    <col min="6" max="6" width="23.140625" bestFit="1" customWidth="1"/>
  </cols>
  <sheetData>
    <row r="1" spans="1:6" x14ac:dyDescent="0.25">
      <c r="A1" t="s">
        <v>290</v>
      </c>
      <c r="B1" t="s">
        <v>289</v>
      </c>
    </row>
    <row r="2" spans="1:6" x14ac:dyDescent="0.25">
      <c r="B2" t="s">
        <v>288</v>
      </c>
      <c r="C2" t="s">
        <v>261</v>
      </c>
      <c r="D2" t="s">
        <v>261</v>
      </c>
      <c r="F2" t="s">
        <v>287</v>
      </c>
    </row>
    <row r="3" spans="1:6" x14ac:dyDescent="0.25">
      <c r="B3" t="s">
        <v>288</v>
      </c>
      <c r="C3" t="s">
        <v>258</v>
      </c>
      <c r="D3" t="s">
        <v>258</v>
      </c>
      <c r="F3" t="s">
        <v>287</v>
      </c>
    </row>
    <row r="4" spans="1:6" x14ac:dyDescent="0.25">
      <c r="B4" t="s">
        <v>281</v>
      </c>
      <c r="C4" t="s">
        <v>238</v>
      </c>
      <c r="D4" t="s">
        <v>286</v>
      </c>
      <c r="E4" t="s">
        <v>278</v>
      </c>
      <c r="F4" t="s">
        <v>282</v>
      </c>
    </row>
    <row r="5" spans="1:6" x14ac:dyDescent="0.25">
      <c r="B5" t="s">
        <v>275</v>
      </c>
      <c r="C5" t="s">
        <v>257</v>
      </c>
      <c r="D5" t="s">
        <v>285</v>
      </c>
      <c r="E5" t="s">
        <v>4</v>
      </c>
      <c r="F5" t="s">
        <v>272</v>
      </c>
    </row>
    <row r="6" spans="1:6" x14ac:dyDescent="0.25">
      <c r="B6" t="s">
        <v>281</v>
      </c>
      <c r="C6" t="s">
        <v>284</v>
      </c>
      <c r="D6" t="s">
        <v>283</v>
      </c>
      <c r="E6" t="s">
        <v>278</v>
      </c>
      <c r="F6" t="s">
        <v>282</v>
      </c>
    </row>
    <row r="7" spans="1:6" x14ac:dyDescent="0.25">
      <c r="B7" t="s">
        <v>281</v>
      </c>
      <c r="C7" t="s">
        <v>280</v>
      </c>
      <c r="D7" t="s">
        <v>279</v>
      </c>
      <c r="E7" t="s">
        <v>278</v>
      </c>
      <c r="F7" t="s">
        <v>277</v>
      </c>
    </row>
    <row r="8" spans="1:6" x14ac:dyDescent="0.25">
      <c r="B8" t="s">
        <v>275</v>
      </c>
      <c r="C8" t="s">
        <v>263</v>
      </c>
      <c r="D8" t="s">
        <v>276</v>
      </c>
      <c r="E8" t="s">
        <v>4</v>
      </c>
      <c r="F8" t="s">
        <v>272</v>
      </c>
    </row>
    <row r="9" spans="1:6" x14ac:dyDescent="0.25">
      <c r="B9" t="s">
        <v>275</v>
      </c>
      <c r="C9" t="s">
        <v>274</v>
      </c>
      <c r="D9" t="s">
        <v>273</v>
      </c>
      <c r="E9" t="s">
        <v>4</v>
      </c>
      <c r="F9" t="s">
        <v>272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E8EE0-58F6-467A-8A15-0642F2CF3881}">
  <sheetPr>
    <tabColor theme="6" tint="0.59999389629810485"/>
  </sheetPr>
  <dimension ref="A1:AP19"/>
  <sheetViews>
    <sheetView workbookViewId="0">
      <selection activeCell="C32" sqref="C32"/>
    </sheetView>
  </sheetViews>
  <sheetFormatPr defaultRowHeight="15" x14ac:dyDescent="0.25"/>
  <cols>
    <col min="1" max="1" width="8.28515625" bestFit="1" customWidth="1"/>
    <col min="2" max="2" width="12.140625" bestFit="1" customWidth="1"/>
    <col min="3" max="3" width="14.140625" bestFit="1" customWidth="1"/>
    <col min="4" max="4" width="9.42578125" bestFit="1" customWidth="1"/>
    <col min="5" max="6" width="16.28515625" bestFit="1" customWidth="1"/>
    <col min="7" max="7" width="8.5703125" bestFit="1" customWidth="1"/>
    <col min="8" max="8" width="6.140625" bestFit="1" customWidth="1"/>
    <col min="9" max="9" width="3.42578125" bestFit="1" customWidth="1"/>
    <col min="10" max="10" width="8.28515625" bestFit="1" customWidth="1"/>
    <col min="11" max="17" width="5" bestFit="1" customWidth="1"/>
    <col min="18" max="18" width="9.28515625" bestFit="1" customWidth="1"/>
    <col min="19" max="19" width="5.5703125" bestFit="1" customWidth="1"/>
    <col min="20" max="27" width="5" bestFit="1" customWidth="1"/>
    <col min="28" max="28" width="8.28515625" bestFit="1" customWidth="1"/>
    <col min="29" max="32" width="5" bestFit="1" customWidth="1"/>
    <col min="33" max="33" width="8.28515625" bestFit="1" customWidth="1"/>
    <col min="34" max="37" width="5" bestFit="1" customWidth="1"/>
    <col min="38" max="38" width="8.28515625" bestFit="1" customWidth="1"/>
    <col min="39" max="39" width="5" bestFit="1" customWidth="1"/>
    <col min="40" max="42" width="8.285156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81</v>
      </c>
      <c r="C3" t="s">
        <v>238</v>
      </c>
      <c r="D3" t="s">
        <v>236</v>
      </c>
      <c r="E3" t="s">
        <v>236</v>
      </c>
      <c r="F3" t="s">
        <v>236</v>
      </c>
      <c r="G3" t="s">
        <v>236</v>
      </c>
      <c r="H3" t="s">
        <v>236</v>
      </c>
      <c r="I3">
        <v>0</v>
      </c>
      <c r="J3" s="80" t="str" cm="1">
        <f t="array" ref="J3">_xlfn.IFNA(INDEX('Aviation Synfuel Data'!$G$4:$M$22,MATCH('Aviation Synfuel-TSData'!$B3&amp;'Aviation Synfuel-TSData'!$C3&amp;$D3,'Aviation Synfuel Data'!$C$4:$C$22&amp;'Aviation Synfuel Data'!$A$4:$A$22&amp;'Aviation Synfuel Data'!$D$4:$D$22,0),MATCH(J$2,'Aviation Synfuel Data'!$G$3:$M$3,0)),"null")</f>
        <v>null</v>
      </c>
      <c r="K3" s="80" t="str" cm="1">
        <f t="array" ref="K3">_xlfn.IFNA(INDEX('Aviation Synfuel Data'!$G$4:$M$22,MATCH('Aviation Synfuel-TSData'!$B3&amp;'Aviation Synfuel-TSData'!$C3&amp;$D3,'Aviation Synfuel Data'!$C$4:$C$22&amp;'Aviation Synfuel Data'!$A$4:$A$22&amp;'Aviation Synfuel Data'!$D$4:$D$22,0),MATCH(K$2,'Aviation Synfuel Data'!$G$3:$M$3,0)),"null")</f>
        <v>null</v>
      </c>
      <c r="L3" s="80" t="str" cm="1">
        <f t="array" ref="L3">_xlfn.IFNA(INDEX('Aviation Synfuel Data'!$G$4:$M$22,MATCH('Aviation Synfuel-TSData'!$B3&amp;'Aviation Synfuel-TSData'!$C3&amp;$D3,'Aviation Synfuel Data'!$C$4:$C$22&amp;'Aviation Synfuel Data'!$A$4:$A$22&amp;'Aviation Synfuel Data'!$D$4:$D$22,0),MATCH(L$2,'Aviation Synfuel Data'!$G$3:$M$3,0)),"null")</f>
        <v>null</v>
      </c>
      <c r="M3" s="80" t="str" cm="1">
        <f t="array" ref="M3">_xlfn.IFNA(INDEX('Aviation Synfuel Data'!$G$4:$M$22,MATCH('Aviation Synfuel-TSData'!$B3&amp;'Aviation Synfuel-TSData'!$C3&amp;$D3,'Aviation Synfuel Data'!$C$4:$C$22&amp;'Aviation Synfuel Data'!$A$4:$A$22&amp;'Aviation Synfuel Data'!$D$4:$D$22,0),MATCH(M$2,'Aviation Synfuel Data'!$G$3:$M$3,0)),"null")</f>
        <v>null</v>
      </c>
      <c r="N3" s="80" t="str" cm="1">
        <f t="array" ref="N3">_xlfn.IFNA(INDEX('Aviation Synfuel Data'!$G$4:$M$22,MATCH('Aviation Synfuel-TSData'!$B3&amp;'Aviation Synfuel-TSData'!$C3&amp;$D3,'Aviation Synfuel Data'!$C$4:$C$22&amp;'Aviation Synfuel Data'!$A$4:$A$22&amp;'Aviation Synfuel Data'!$D$4:$D$22,0),MATCH(N$2,'Aviation Synfuel Data'!$G$3:$M$3,0)),"null")</f>
        <v>null</v>
      </c>
      <c r="O3" s="80" t="str" cm="1">
        <f t="array" ref="O3">_xlfn.IFNA(INDEX('Aviation Synfuel Data'!$G$4:$M$22,MATCH('Aviation Synfuel-TSData'!$B3&amp;'Aviation Synfuel-TSData'!$C3&amp;$D3,'Aviation Synfuel Data'!$C$4:$C$22&amp;'Aviation Synfuel Data'!$A$4:$A$22&amp;'Aviation Synfuel Data'!$D$4:$D$22,0),MATCH(O$2,'Aviation Synfuel Data'!$G$3:$M$3,0)),"null")</f>
        <v>null</v>
      </c>
      <c r="P3" s="80" t="str" cm="1">
        <f t="array" ref="P3">_xlfn.IFNA(INDEX('Aviation Synfuel Data'!$G$4:$M$22,MATCH('Aviation Synfuel-TSData'!$B3&amp;'Aviation Synfuel-TSData'!$C3&amp;$D3,'Aviation Synfuel Data'!$C$4:$C$22&amp;'Aviation Synfuel Data'!$A$4:$A$22&amp;'Aviation Synfuel Data'!$D$4:$D$22,0),MATCH(P$2,'Aviation Synfuel Data'!$G$3:$M$3,0)),"null")</f>
        <v>null</v>
      </c>
      <c r="Q3" s="80" t="str" cm="1">
        <f t="array" ref="Q3">_xlfn.IFNA(INDEX('Aviation Synfuel Data'!$G$4:$M$22,MATCH('Aviation Synfuel-TSData'!$B3&amp;'Aviation Synfuel-TSData'!$C3&amp;$D3,'Aviation Synfuel Data'!$C$4:$C$22&amp;'Aviation Synfuel Data'!$A$4:$A$22&amp;'Aviation Synfuel Data'!$D$4:$D$22,0),MATCH(Q$2,'Aviation Synfuel Data'!$G$3:$M$3,0)),"null")</f>
        <v>null</v>
      </c>
      <c r="R3" s="80" cm="1">
        <f t="array" ref="R3">_xlfn.IFNA(INDEX('Aviation Synfuel Data'!$G$4:$M$22,MATCH('Aviation Synfuel-TSData'!$B3&amp;'Aviation Synfuel-TSData'!$C3&amp;$D3,'Aviation Synfuel Data'!$C$4:$C$22&amp;'Aviation Synfuel Data'!$A$4:$A$22&amp;'Aviation Synfuel Data'!$D$4:$D$22,0),MATCH(R$2,'Aviation Synfuel Data'!$G$3:$M$3,0)),"null")</f>
        <v>0</v>
      </c>
      <c r="S3" s="80" t="str" cm="1">
        <f t="array" ref="S3">_xlfn.IFNA(INDEX('Aviation Synfuel Data'!$G$4:$M$22,MATCH('Aviation Synfuel-TSData'!$B3&amp;'Aviation Synfuel-TSData'!$C3&amp;$D3,'Aviation Synfuel Data'!$C$4:$C$22&amp;'Aviation Synfuel Data'!$A$4:$A$22&amp;'Aviation Synfuel Data'!$D$4:$D$22,0),MATCH(S$2,'Aviation Synfuel Data'!$G$3:$M$3,0)),"null")</f>
        <v>null</v>
      </c>
      <c r="T3" s="80" t="str" cm="1">
        <f t="array" ref="T3">_xlfn.IFNA(INDEX('Aviation Synfuel Data'!$G$4:$M$22,MATCH('Aviation Synfuel-TSData'!$B3&amp;'Aviation Synfuel-TSData'!$C3&amp;$D3,'Aviation Synfuel Data'!$C$4:$C$22&amp;'Aviation Synfuel Data'!$A$4:$A$22&amp;'Aviation Synfuel Data'!$D$4:$D$22,0),MATCH(T$2,'Aviation Synfuel Data'!$G$3:$M$3,0)),"null")</f>
        <v>null</v>
      </c>
      <c r="U3" s="80" t="str" cm="1">
        <f t="array" ref="U3">_xlfn.IFNA(INDEX('Aviation Synfuel Data'!$G$4:$M$22,MATCH('Aviation Synfuel-TSData'!$B3&amp;'Aviation Synfuel-TSData'!$C3&amp;$D3,'Aviation Synfuel Data'!$C$4:$C$22&amp;'Aviation Synfuel Data'!$A$4:$A$22&amp;'Aviation Synfuel Data'!$D$4:$D$22,0),MATCH(U$2,'Aviation Synfuel Data'!$G$3:$M$3,0)),"null")</f>
        <v>null</v>
      </c>
      <c r="V3" s="80" t="str" cm="1">
        <f t="array" ref="V3">_xlfn.IFNA(INDEX('Aviation Synfuel Data'!$G$4:$M$22,MATCH('Aviation Synfuel-TSData'!$B3&amp;'Aviation Synfuel-TSData'!$C3&amp;$D3,'Aviation Synfuel Data'!$C$4:$C$22&amp;'Aviation Synfuel Data'!$A$4:$A$22&amp;'Aviation Synfuel Data'!$D$4:$D$22,0),MATCH(V$2,'Aviation Synfuel Data'!$G$3:$M$3,0)),"null")</f>
        <v>null</v>
      </c>
      <c r="W3" s="80" t="str" cm="1">
        <f t="array" ref="W3">_xlfn.IFNA(INDEX('Aviation Synfuel Data'!$G$4:$M$22,MATCH('Aviation Synfuel-TSData'!$B3&amp;'Aviation Synfuel-TSData'!$C3&amp;$D3,'Aviation Synfuel Data'!$C$4:$C$22&amp;'Aviation Synfuel Data'!$A$4:$A$22&amp;'Aviation Synfuel Data'!$D$4:$D$22,0),MATCH(W$2,'Aviation Synfuel Data'!$G$3:$M$3,0)),"null")</f>
        <v>null</v>
      </c>
      <c r="X3" s="80" t="str" cm="1">
        <f t="array" ref="X3">_xlfn.IFNA(INDEX('Aviation Synfuel Data'!$G$4:$M$22,MATCH('Aviation Synfuel-TSData'!$B3&amp;'Aviation Synfuel-TSData'!$C3&amp;$D3,'Aviation Synfuel Data'!$C$4:$C$22&amp;'Aviation Synfuel Data'!$A$4:$A$22&amp;'Aviation Synfuel Data'!$D$4:$D$22,0),MATCH(X$2,'Aviation Synfuel Data'!$G$3:$M$3,0)),"null")</f>
        <v>null</v>
      </c>
      <c r="Y3" s="80" t="str" cm="1">
        <f t="array" ref="Y3">_xlfn.IFNA(INDEX('Aviation Synfuel Data'!$G$4:$M$22,MATCH('Aviation Synfuel-TSData'!$B3&amp;'Aviation Synfuel-TSData'!$C3&amp;$D3,'Aviation Synfuel Data'!$C$4:$C$22&amp;'Aviation Synfuel Data'!$A$4:$A$22&amp;'Aviation Synfuel Data'!$D$4:$D$22,0),MATCH(Y$2,'Aviation Synfuel Data'!$G$3:$M$3,0)),"null")</f>
        <v>null</v>
      </c>
      <c r="Z3" s="80" t="str" cm="1">
        <f t="array" ref="Z3">_xlfn.IFNA(INDEX('Aviation Synfuel Data'!$G$4:$M$22,MATCH('Aviation Synfuel-TSData'!$B3&amp;'Aviation Synfuel-TSData'!$C3&amp;$D3,'Aviation Synfuel Data'!$C$4:$C$22&amp;'Aviation Synfuel Data'!$A$4:$A$22&amp;'Aviation Synfuel Data'!$D$4:$D$22,0),MATCH(Z$2,'Aviation Synfuel Data'!$G$3:$M$3,0)),"null")</f>
        <v>null</v>
      </c>
      <c r="AA3" s="80" t="str" cm="1">
        <f t="array" ref="AA3">_xlfn.IFNA(INDEX('Aviation Synfuel Data'!$G$4:$M$22,MATCH('Aviation Synfuel-TSData'!$B3&amp;'Aviation Synfuel-TSData'!$C3&amp;$D3,'Aviation Synfuel Data'!$C$4:$C$22&amp;'Aviation Synfuel Data'!$A$4:$A$22&amp;'Aviation Synfuel Data'!$D$4:$D$22,0),MATCH(AA$2,'Aviation Synfuel Data'!$G$3:$M$3,0)),"null")</f>
        <v>null</v>
      </c>
      <c r="AB3" s="80" cm="1">
        <f t="array" ref="AB3">_xlfn.IFNA(INDEX('Aviation Synfuel Data'!$G$4:$M$22,MATCH('Aviation Synfuel-TSData'!$B3&amp;'Aviation Synfuel-TSData'!$C3&amp;$D3,'Aviation Synfuel Data'!$C$4:$C$22&amp;'Aviation Synfuel Data'!$A$4:$A$22&amp;'Aviation Synfuel Data'!$D$4:$D$22,0),MATCH(AB$2,'Aviation Synfuel Data'!$G$3:$M$3,0)),"null")</f>
        <v>0</v>
      </c>
      <c r="AC3" s="80" t="str" cm="1">
        <f t="array" ref="AC3">_xlfn.IFNA(INDEX('Aviation Synfuel Data'!$G$4:$M$22,MATCH('Aviation Synfuel-TSData'!$B3&amp;'Aviation Synfuel-TSData'!$C3&amp;$D3,'Aviation Synfuel Data'!$C$4:$C$22&amp;'Aviation Synfuel Data'!$A$4:$A$22&amp;'Aviation Synfuel Data'!$D$4:$D$22,0),MATCH(AC$2,'Aviation Synfuel Data'!$G$3:$M$3,0)),"null")</f>
        <v>null</v>
      </c>
      <c r="AD3" s="80" t="str" cm="1">
        <f t="array" ref="AD3">_xlfn.IFNA(INDEX('Aviation Synfuel Data'!$G$4:$M$22,MATCH('Aviation Synfuel-TSData'!$B3&amp;'Aviation Synfuel-TSData'!$C3&amp;$D3,'Aviation Synfuel Data'!$C$4:$C$22&amp;'Aviation Synfuel Data'!$A$4:$A$22&amp;'Aviation Synfuel Data'!$D$4:$D$22,0),MATCH(AD$2,'Aviation Synfuel Data'!$G$3:$M$3,0)),"null")</f>
        <v>null</v>
      </c>
      <c r="AE3" s="80" t="str" cm="1">
        <f t="array" ref="AE3">_xlfn.IFNA(INDEX('Aviation Synfuel Data'!$G$4:$M$22,MATCH('Aviation Synfuel-TSData'!$B3&amp;'Aviation Synfuel-TSData'!$C3&amp;$D3,'Aviation Synfuel Data'!$C$4:$C$22&amp;'Aviation Synfuel Data'!$A$4:$A$22&amp;'Aviation Synfuel Data'!$D$4:$D$22,0),MATCH(AE$2,'Aviation Synfuel Data'!$G$3:$M$3,0)),"null")</f>
        <v>null</v>
      </c>
      <c r="AF3" s="80" t="str" cm="1">
        <f t="array" ref="AF3">_xlfn.IFNA(INDEX('Aviation Synfuel Data'!$G$4:$M$22,MATCH('Aviation Synfuel-TSData'!$B3&amp;'Aviation Synfuel-TSData'!$C3&amp;$D3,'Aviation Synfuel Data'!$C$4:$C$22&amp;'Aviation Synfuel Data'!$A$4:$A$22&amp;'Aviation Synfuel Data'!$D$4:$D$22,0),MATCH(AF$2,'Aviation Synfuel Data'!$G$3:$M$3,0)),"null")</f>
        <v>null</v>
      </c>
      <c r="AG3" s="80" cm="1">
        <f t="array" ref="AG3">_xlfn.IFNA(INDEX('Aviation Synfuel Data'!$G$4:$M$22,MATCH('Aviation Synfuel-TSData'!$B3&amp;'Aviation Synfuel-TSData'!$C3&amp;$D3,'Aviation Synfuel Data'!$C$4:$C$22&amp;'Aviation Synfuel Data'!$A$4:$A$22&amp;'Aviation Synfuel Data'!$D$4:$D$22,0),MATCH(AG$2,'Aviation Synfuel Data'!$G$3:$M$3,0)),"null")</f>
        <v>0</v>
      </c>
      <c r="AH3" s="80" t="str" cm="1">
        <f t="array" ref="AH3">_xlfn.IFNA(INDEX('Aviation Synfuel Data'!$G$4:$M$22,MATCH('Aviation Synfuel-TSData'!$B3&amp;'Aviation Synfuel-TSData'!$C3&amp;$D3,'Aviation Synfuel Data'!$C$4:$C$22&amp;'Aviation Synfuel Data'!$A$4:$A$22&amp;'Aviation Synfuel Data'!$D$4:$D$22,0),MATCH(AH$2,'Aviation Synfuel Data'!$G$3:$M$3,0)),"null")</f>
        <v>null</v>
      </c>
      <c r="AI3" s="80" t="str" cm="1">
        <f t="array" ref="AI3">_xlfn.IFNA(INDEX('Aviation Synfuel Data'!$G$4:$M$22,MATCH('Aviation Synfuel-TSData'!$B3&amp;'Aviation Synfuel-TSData'!$C3&amp;$D3,'Aviation Synfuel Data'!$C$4:$C$22&amp;'Aviation Synfuel Data'!$A$4:$A$22&amp;'Aviation Synfuel Data'!$D$4:$D$22,0),MATCH(AI$2,'Aviation Synfuel Data'!$G$3:$M$3,0)),"null")</f>
        <v>null</v>
      </c>
      <c r="AJ3" s="80" t="str" cm="1">
        <f t="array" ref="AJ3">_xlfn.IFNA(INDEX('Aviation Synfuel Data'!$G$4:$M$22,MATCH('Aviation Synfuel-TSData'!$B3&amp;'Aviation Synfuel-TSData'!$C3&amp;$D3,'Aviation Synfuel Data'!$C$4:$C$22&amp;'Aviation Synfuel Data'!$A$4:$A$22&amp;'Aviation Synfuel Data'!$D$4:$D$22,0),MATCH(AJ$2,'Aviation Synfuel Data'!$G$3:$M$3,0)),"null")</f>
        <v>null</v>
      </c>
      <c r="AK3" s="80" t="str" cm="1">
        <f t="array" ref="AK3">_xlfn.IFNA(INDEX('Aviation Synfuel Data'!$G$4:$M$22,MATCH('Aviation Synfuel-TSData'!$B3&amp;'Aviation Synfuel-TSData'!$C3&amp;$D3,'Aviation Synfuel Data'!$C$4:$C$22&amp;'Aviation Synfuel Data'!$A$4:$A$22&amp;'Aviation Synfuel Data'!$D$4:$D$22,0),MATCH(AK$2,'Aviation Synfuel Data'!$G$3:$M$3,0)),"null")</f>
        <v>null</v>
      </c>
      <c r="AL3" s="80" cm="1">
        <f t="array" ref="AL3">_xlfn.IFNA(INDEX('Aviation Synfuel Data'!$G$4:$M$22,MATCH('Aviation Synfuel-TSData'!$B3&amp;'Aviation Synfuel-TSData'!$C3&amp;$D3,'Aviation Synfuel Data'!$C$4:$C$22&amp;'Aviation Synfuel Data'!$A$4:$A$22&amp;'Aviation Synfuel Data'!$D$4:$D$22,0),MATCH(AL$2,'Aviation Synfuel Data'!$G$3:$M$3,0)),"null")</f>
        <v>0</v>
      </c>
      <c r="AM3" s="80" t="str" cm="1">
        <f t="array" ref="AM3">_xlfn.IFNA(INDEX('Aviation Synfuel Data'!$G$4:$M$22,MATCH('Aviation Synfuel-TSData'!$B3&amp;'Aviation Synfuel-TSData'!$C3&amp;$D3,'Aviation Synfuel Data'!$C$4:$C$22&amp;'Aviation Synfuel Data'!$A$4:$A$22&amp;'Aviation Synfuel Data'!$D$4:$D$22,0),MATCH(AM$2,'Aviation Synfuel Data'!$G$3:$M$3,0)),"null")</f>
        <v>null</v>
      </c>
      <c r="AN3" s="80" cm="1">
        <f t="array" ref="AN3">_xlfn.IFNA(INDEX('Aviation Synfuel Data'!$G$4:$M$22,MATCH('Aviation Synfuel-TSData'!$B3&amp;'Aviation Synfuel-TSData'!$C3&amp;$D3,'Aviation Synfuel Data'!$C$4:$C$22&amp;'Aviation Synfuel Data'!$A$4:$A$22&amp;'Aviation Synfuel Data'!$D$4:$D$22,0),MATCH(AN$2,'Aviation Synfuel Data'!$G$3:$M$3,0)),"null")</f>
        <v>0</v>
      </c>
      <c r="AO3" s="80" cm="1">
        <f t="array" ref="AO3">_xlfn.IFNA(INDEX('Aviation Synfuel Data'!$G$4:$M$22,MATCH('Aviation Synfuel-TSData'!$B3&amp;'Aviation Synfuel-TSData'!$C3&amp;$D3,'Aviation Synfuel Data'!$C$4:$C$22&amp;'Aviation Synfuel Data'!$A$4:$A$22&amp;'Aviation Synfuel Data'!$D$4:$D$22,0),MATCH(AO$2,'Aviation Synfuel Data'!$G$3:$M$3,0)),"null")</f>
        <v>0</v>
      </c>
      <c r="AP3" s="80" cm="1">
        <f t="array" ref="AP3">_xlfn.IFNA(INDEX('Aviation Synfuel Data'!$G$4:$M$22,MATCH('Aviation Synfuel-TSData'!$B3&amp;'Aviation Synfuel-TSData'!$C3&amp;$D3,'Aviation Synfuel Data'!$C$4:$C$22&amp;'Aviation Synfuel Data'!$A$4:$A$22&amp;'Aviation Synfuel Data'!$D$4:$D$22,0),MATCH(AP$2,'Aviation Synfuel Data'!$G$3:$M$3,0)),"null")</f>
        <v>0</v>
      </c>
    </row>
    <row r="4" spans="1:42" x14ac:dyDescent="0.25">
      <c r="B4" t="s">
        <v>264</v>
      </c>
      <c r="C4" t="s">
        <v>238</v>
      </c>
      <c r="D4" t="s">
        <v>236</v>
      </c>
      <c r="E4" t="s">
        <v>263</v>
      </c>
      <c r="F4" t="s">
        <v>236</v>
      </c>
      <c r="G4" t="s">
        <v>236</v>
      </c>
      <c r="H4" t="s">
        <v>236</v>
      </c>
      <c r="I4">
        <v>0</v>
      </c>
      <c r="J4" s="82" t="str" cm="1">
        <f t="array" ref="J4">_xlfn.IFNA(INDEX('Aviation Synfuel Data'!$G$4:$M$22,MATCH('Aviation Synfuel-TSData'!$B4&amp;'Aviation Synfuel-TSData'!$C4&amp;$E4,'Aviation Synfuel Data'!$C$4:$C$22&amp;'Aviation Synfuel Data'!$A$4:$A$22&amp;'Aviation Synfuel Data'!$D$4:$D$22,0),MATCH(J$2,'Aviation Synfuel Data'!$G$3:$M$3,0)),"null")</f>
        <v>null</v>
      </c>
      <c r="K4" s="82" t="str" cm="1">
        <f t="array" ref="K4">_xlfn.IFNA(INDEX('Aviation Synfuel Data'!$G$4:$M$22,MATCH('Aviation Synfuel-TSData'!$B4&amp;'Aviation Synfuel-TSData'!$C4&amp;$E4,'Aviation Synfuel Data'!$C$4:$C$22&amp;'Aviation Synfuel Data'!$A$4:$A$22&amp;'Aviation Synfuel Data'!$D$4:$D$22,0),MATCH(K$2,'Aviation Synfuel Data'!$G$3:$M$3,0)),"null")</f>
        <v>null</v>
      </c>
      <c r="L4" s="82" t="str" cm="1">
        <f t="array" ref="L4">_xlfn.IFNA(INDEX('Aviation Synfuel Data'!$G$4:$M$22,MATCH('Aviation Synfuel-TSData'!$B4&amp;'Aviation Synfuel-TSData'!$C4&amp;$E4,'Aviation Synfuel Data'!$C$4:$C$22&amp;'Aviation Synfuel Data'!$A$4:$A$22&amp;'Aviation Synfuel Data'!$D$4:$D$22,0),MATCH(L$2,'Aviation Synfuel Data'!$G$3:$M$3,0)),"null")</f>
        <v>null</v>
      </c>
      <c r="M4" s="82" t="str" cm="1">
        <f t="array" ref="M4">_xlfn.IFNA(INDEX('Aviation Synfuel Data'!$G$4:$M$22,MATCH('Aviation Synfuel-TSData'!$B4&amp;'Aviation Synfuel-TSData'!$C4&amp;$E4,'Aviation Synfuel Data'!$C$4:$C$22&amp;'Aviation Synfuel Data'!$A$4:$A$22&amp;'Aviation Synfuel Data'!$D$4:$D$22,0),MATCH(M$2,'Aviation Synfuel Data'!$G$3:$M$3,0)),"null")</f>
        <v>null</v>
      </c>
      <c r="N4" s="82" t="str" cm="1">
        <f t="array" ref="N4">_xlfn.IFNA(INDEX('Aviation Synfuel Data'!$G$4:$M$22,MATCH('Aviation Synfuel-TSData'!$B4&amp;'Aviation Synfuel-TSData'!$C4&amp;$E4,'Aviation Synfuel Data'!$C$4:$C$22&amp;'Aviation Synfuel Data'!$A$4:$A$22&amp;'Aviation Synfuel Data'!$D$4:$D$22,0),MATCH(N$2,'Aviation Synfuel Data'!$G$3:$M$3,0)),"null")</f>
        <v>null</v>
      </c>
      <c r="O4" s="82" t="str" cm="1">
        <f t="array" ref="O4">_xlfn.IFNA(INDEX('Aviation Synfuel Data'!$G$4:$M$22,MATCH('Aviation Synfuel-TSData'!$B4&amp;'Aviation Synfuel-TSData'!$C4&amp;$E4,'Aviation Synfuel Data'!$C$4:$C$22&amp;'Aviation Synfuel Data'!$A$4:$A$22&amp;'Aviation Synfuel Data'!$D$4:$D$22,0),MATCH(O$2,'Aviation Synfuel Data'!$G$3:$M$3,0)),"null")</f>
        <v>null</v>
      </c>
      <c r="P4" s="82" t="str" cm="1">
        <f t="array" ref="P4">_xlfn.IFNA(INDEX('Aviation Synfuel Data'!$G$4:$M$22,MATCH('Aviation Synfuel-TSData'!$B4&amp;'Aviation Synfuel-TSData'!$C4&amp;$E4,'Aviation Synfuel Data'!$C$4:$C$22&amp;'Aviation Synfuel Data'!$A$4:$A$22&amp;'Aviation Synfuel Data'!$D$4:$D$22,0),MATCH(P$2,'Aviation Synfuel Data'!$G$3:$M$3,0)),"null")</f>
        <v>null</v>
      </c>
      <c r="Q4" s="82" t="str" cm="1">
        <f t="array" ref="Q4">_xlfn.IFNA(INDEX('Aviation Synfuel Data'!$G$4:$M$22,MATCH('Aviation Synfuel-TSData'!$B4&amp;'Aviation Synfuel-TSData'!$C4&amp;$E4,'Aviation Synfuel Data'!$C$4:$C$22&amp;'Aviation Synfuel Data'!$A$4:$A$22&amp;'Aviation Synfuel Data'!$D$4:$D$22,0),MATCH(Q$2,'Aviation Synfuel Data'!$G$3:$M$3,0)),"null")</f>
        <v>null</v>
      </c>
      <c r="R4" s="82" cm="1">
        <f t="array" ref="R4">_xlfn.IFNA(INDEX('Aviation Synfuel Data'!$G$4:$M$22,MATCH('Aviation Synfuel-TSData'!$B4&amp;'Aviation Synfuel-TSData'!$C4&amp;$E4,'Aviation Synfuel Data'!$C$4:$C$22&amp;'Aviation Synfuel Data'!$A$4:$A$22&amp;'Aviation Synfuel Data'!$D$4:$D$22,0),MATCH(R$2,'Aviation Synfuel Data'!$G$3:$M$3,0)),"null")</f>
        <v>107.3755695536401</v>
      </c>
      <c r="S4" s="82" t="str" cm="1">
        <f t="array" ref="S4">_xlfn.IFNA(INDEX('Aviation Synfuel Data'!$G$4:$M$22,MATCH('Aviation Synfuel-TSData'!$B4&amp;'Aviation Synfuel-TSData'!$C4&amp;$E4,'Aviation Synfuel Data'!$C$4:$C$22&amp;'Aviation Synfuel Data'!$A$4:$A$22&amp;'Aviation Synfuel Data'!$D$4:$D$22,0),MATCH(S$2,'Aviation Synfuel Data'!$G$3:$M$3,0)),"null")</f>
        <v>null</v>
      </c>
      <c r="T4" s="82" t="str" cm="1">
        <f t="array" ref="T4">_xlfn.IFNA(INDEX('Aviation Synfuel Data'!$G$4:$M$22,MATCH('Aviation Synfuel-TSData'!$B4&amp;'Aviation Synfuel-TSData'!$C4&amp;$E4,'Aviation Synfuel Data'!$C$4:$C$22&amp;'Aviation Synfuel Data'!$A$4:$A$22&amp;'Aviation Synfuel Data'!$D$4:$D$22,0),MATCH(T$2,'Aviation Synfuel Data'!$G$3:$M$3,0)),"null")</f>
        <v>null</v>
      </c>
      <c r="U4" s="82" t="str" cm="1">
        <f t="array" ref="U4">_xlfn.IFNA(INDEX('Aviation Synfuel Data'!$G$4:$M$22,MATCH('Aviation Synfuel-TSData'!$B4&amp;'Aviation Synfuel-TSData'!$C4&amp;$E4,'Aviation Synfuel Data'!$C$4:$C$22&amp;'Aviation Synfuel Data'!$A$4:$A$22&amp;'Aviation Synfuel Data'!$D$4:$D$22,0),MATCH(U$2,'Aviation Synfuel Data'!$G$3:$M$3,0)),"null")</f>
        <v>null</v>
      </c>
      <c r="V4" s="82" t="str" cm="1">
        <f t="array" ref="V4">_xlfn.IFNA(INDEX('Aviation Synfuel Data'!$G$4:$M$22,MATCH('Aviation Synfuel-TSData'!$B4&amp;'Aviation Synfuel-TSData'!$C4&amp;$E4,'Aviation Synfuel Data'!$C$4:$C$22&amp;'Aviation Synfuel Data'!$A$4:$A$22&amp;'Aviation Synfuel Data'!$D$4:$D$22,0),MATCH(V$2,'Aviation Synfuel Data'!$G$3:$M$3,0)),"null")</f>
        <v>null</v>
      </c>
      <c r="W4" s="82" t="str" cm="1">
        <f t="array" ref="W4">_xlfn.IFNA(INDEX('Aviation Synfuel Data'!$G$4:$M$22,MATCH('Aviation Synfuel-TSData'!$B4&amp;'Aviation Synfuel-TSData'!$C4&amp;$E4,'Aviation Synfuel Data'!$C$4:$C$22&amp;'Aviation Synfuel Data'!$A$4:$A$22&amp;'Aviation Synfuel Data'!$D$4:$D$22,0),MATCH(W$2,'Aviation Synfuel Data'!$G$3:$M$3,0)),"null")</f>
        <v>null</v>
      </c>
      <c r="X4" s="82" t="str" cm="1">
        <f t="array" ref="X4">_xlfn.IFNA(INDEX('Aviation Synfuel Data'!$G$4:$M$22,MATCH('Aviation Synfuel-TSData'!$B4&amp;'Aviation Synfuel-TSData'!$C4&amp;$E4,'Aviation Synfuel Data'!$C$4:$C$22&amp;'Aviation Synfuel Data'!$A$4:$A$22&amp;'Aviation Synfuel Data'!$D$4:$D$22,0),MATCH(X$2,'Aviation Synfuel Data'!$G$3:$M$3,0)),"null")</f>
        <v>null</v>
      </c>
      <c r="Y4" s="82" t="str" cm="1">
        <f t="array" ref="Y4">_xlfn.IFNA(INDEX('Aviation Synfuel Data'!$G$4:$M$22,MATCH('Aviation Synfuel-TSData'!$B4&amp;'Aviation Synfuel-TSData'!$C4&amp;$E4,'Aviation Synfuel Data'!$C$4:$C$22&amp;'Aviation Synfuel Data'!$A$4:$A$22&amp;'Aviation Synfuel Data'!$D$4:$D$22,0),MATCH(Y$2,'Aviation Synfuel Data'!$G$3:$M$3,0)),"null")</f>
        <v>null</v>
      </c>
      <c r="Z4" s="82" t="str" cm="1">
        <f t="array" ref="Z4">_xlfn.IFNA(INDEX('Aviation Synfuel Data'!$G$4:$M$22,MATCH('Aviation Synfuel-TSData'!$B4&amp;'Aviation Synfuel-TSData'!$C4&amp;$E4,'Aviation Synfuel Data'!$C$4:$C$22&amp;'Aviation Synfuel Data'!$A$4:$A$22&amp;'Aviation Synfuel Data'!$D$4:$D$22,0),MATCH(Z$2,'Aviation Synfuel Data'!$G$3:$M$3,0)),"null")</f>
        <v>null</v>
      </c>
      <c r="AA4" s="82" t="str" cm="1">
        <f t="array" ref="AA4">_xlfn.IFNA(INDEX('Aviation Synfuel Data'!$G$4:$M$22,MATCH('Aviation Synfuel-TSData'!$B4&amp;'Aviation Synfuel-TSData'!$C4&amp;$E4,'Aviation Synfuel Data'!$C$4:$C$22&amp;'Aviation Synfuel Data'!$A$4:$A$22&amp;'Aviation Synfuel Data'!$D$4:$D$22,0),MATCH(AA$2,'Aviation Synfuel Data'!$G$3:$M$3,0)),"null")</f>
        <v>null</v>
      </c>
      <c r="AB4" s="82" cm="1">
        <f t="array" ref="AB4">_xlfn.IFNA(INDEX('Aviation Synfuel Data'!$G$4:$M$22,MATCH('Aviation Synfuel-TSData'!$B4&amp;'Aviation Synfuel-TSData'!$C4&amp;$E4,'Aviation Synfuel Data'!$C$4:$C$22&amp;'Aviation Synfuel Data'!$A$4:$A$22&amp;'Aviation Synfuel Data'!$D$4:$D$22,0),MATCH(AB$2,'Aviation Synfuel Data'!$G$3:$M$3,0)),"null")</f>
        <v>107.3755695536401</v>
      </c>
      <c r="AC4" s="82" t="str" cm="1">
        <f t="array" ref="AC4">_xlfn.IFNA(INDEX('Aviation Synfuel Data'!$G$4:$M$22,MATCH('Aviation Synfuel-TSData'!$B4&amp;'Aviation Synfuel-TSData'!$C4&amp;$E4,'Aviation Synfuel Data'!$C$4:$C$22&amp;'Aviation Synfuel Data'!$A$4:$A$22&amp;'Aviation Synfuel Data'!$D$4:$D$22,0),MATCH(AC$2,'Aviation Synfuel Data'!$G$3:$M$3,0)),"null")</f>
        <v>null</v>
      </c>
      <c r="AD4" s="82" t="str" cm="1">
        <f t="array" ref="AD4">_xlfn.IFNA(INDEX('Aviation Synfuel Data'!$G$4:$M$22,MATCH('Aviation Synfuel-TSData'!$B4&amp;'Aviation Synfuel-TSData'!$C4&amp;$E4,'Aviation Synfuel Data'!$C$4:$C$22&amp;'Aviation Synfuel Data'!$A$4:$A$22&amp;'Aviation Synfuel Data'!$D$4:$D$22,0),MATCH(AD$2,'Aviation Synfuel Data'!$G$3:$M$3,0)),"null")</f>
        <v>null</v>
      </c>
      <c r="AE4" s="82" t="str" cm="1">
        <f t="array" ref="AE4">_xlfn.IFNA(INDEX('Aviation Synfuel Data'!$G$4:$M$22,MATCH('Aviation Synfuel-TSData'!$B4&amp;'Aviation Synfuel-TSData'!$C4&amp;$E4,'Aviation Synfuel Data'!$C$4:$C$22&amp;'Aviation Synfuel Data'!$A$4:$A$22&amp;'Aviation Synfuel Data'!$D$4:$D$22,0),MATCH(AE$2,'Aviation Synfuel Data'!$G$3:$M$3,0)),"null")</f>
        <v>null</v>
      </c>
      <c r="AF4" s="82" t="str" cm="1">
        <f t="array" ref="AF4">_xlfn.IFNA(INDEX('Aviation Synfuel Data'!$G$4:$M$22,MATCH('Aviation Synfuel-TSData'!$B4&amp;'Aviation Synfuel-TSData'!$C4&amp;$E4,'Aviation Synfuel Data'!$C$4:$C$22&amp;'Aviation Synfuel Data'!$A$4:$A$22&amp;'Aviation Synfuel Data'!$D$4:$D$22,0),MATCH(AF$2,'Aviation Synfuel Data'!$G$3:$M$3,0)),"null")</f>
        <v>null</v>
      </c>
      <c r="AG4" s="82" cm="1">
        <f t="array" ref="AG4">_xlfn.IFNA(INDEX('Aviation Synfuel Data'!$G$4:$M$22,MATCH('Aviation Synfuel-TSData'!$B4&amp;'Aviation Synfuel-TSData'!$C4&amp;$E4,'Aviation Synfuel Data'!$C$4:$C$22&amp;'Aviation Synfuel Data'!$A$4:$A$22&amp;'Aviation Synfuel Data'!$D$4:$D$22,0),MATCH(AG$2,'Aviation Synfuel Data'!$G$3:$M$3,0)),"null")</f>
        <v>107.3755695536401</v>
      </c>
      <c r="AH4" s="82" t="str" cm="1">
        <f t="array" ref="AH4">_xlfn.IFNA(INDEX('Aviation Synfuel Data'!$G$4:$M$22,MATCH('Aviation Synfuel-TSData'!$B4&amp;'Aviation Synfuel-TSData'!$C4&amp;$E4,'Aviation Synfuel Data'!$C$4:$C$22&amp;'Aviation Synfuel Data'!$A$4:$A$22&amp;'Aviation Synfuel Data'!$D$4:$D$22,0),MATCH(AH$2,'Aviation Synfuel Data'!$G$3:$M$3,0)),"null")</f>
        <v>null</v>
      </c>
      <c r="AI4" s="82" t="str" cm="1">
        <f t="array" ref="AI4">_xlfn.IFNA(INDEX('Aviation Synfuel Data'!$G$4:$M$22,MATCH('Aviation Synfuel-TSData'!$B4&amp;'Aviation Synfuel-TSData'!$C4&amp;$E4,'Aviation Synfuel Data'!$C$4:$C$22&amp;'Aviation Synfuel Data'!$A$4:$A$22&amp;'Aviation Synfuel Data'!$D$4:$D$22,0),MATCH(AI$2,'Aviation Synfuel Data'!$G$3:$M$3,0)),"null")</f>
        <v>null</v>
      </c>
      <c r="AJ4" s="82" t="str" cm="1">
        <f t="array" ref="AJ4">_xlfn.IFNA(INDEX('Aviation Synfuel Data'!$G$4:$M$22,MATCH('Aviation Synfuel-TSData'!$B4&amp;'Aviation Synfuel-TSData'!$C4&amp;$E4,'Aviation Synfuel Data'!$C$4:$C$22&amp;'Aviation Synfuel Data'!$A$4:$A$22&amp;'Aviation Synfuel Data'!$D$4:$D$22,0),MATCH(AJ$2,'Aviation Synfuel Data'!$G$3:$M$3,0)),"null")</f>
        <v>null</v>
      </c>
      <c r="AK4" s="82" t="str" cm="1">
        <f t="array" ref="AK4">_xlfn.IFNA(INDEX('Aviation Synfuel Data'!$G$4:$M$22,MATCH('Aviation Synfuel-TSData'!$B4&amp;'Aviation Synfuel-TSData'!$C4&amp;$E4,'Aviation Synfuel Data'!$C$4:$C$22&amp;'Aviation Synfuel Data'!$A$4:$A$22&amp;'Aviation Synfuel Data'!$D$4:$D$22,0),MATCH(AK$2,'Aviation Synfuel Data'!$G$3:$M$3,0)),"null")</f>
        <v>null</v>
      </c>
      <c r="AL4" s="82" cm="1">
        <f t="array" ref="AL4">_xlfn.IFNA(INDEX('Aviation Synfuel Data'!$G$4:$M$22,MATCH('Aviation Synfuel-TSData'!$B4&amp;'Aviation Synfuel-TSData'!$C4&amp;$E4,'Aviation Synfuel Data'!$C$4:$C$22&amp;'Aviation Synfuel Data'!$A$4:$A$22&amp;'Aviation Synfuel Data'!$D$4:$D$22,0),MATCH(AL$2,'Aviation Synfuel Data'!$G$3:$M$3,0)),"null")</f>
        <v>107.3755695536401</v>
      </c>
      <c r="AM4" s="82" t="str" cm="1">
        <f t="array" ref="AM4">_xlfn.IFNA(INDEX('Aviation Synfuel Data'!$G$4:$M$22,MATCH('Aviation Synfuel-TSData'!$B4&amp;'Aviation Synfuel-TSData'!$C4&amp;$E4,'Aviation Synfuel Data'!$C$4:$C$22&amp;'Aviation Synfuel Data'!$A$4:$A$22&amp;'Aviation Synfuel Data'!$D$4:$D$22,0),MATCH(AM$2,'Aviation Synfuel Data'!$G$3:$M$3,0)),"null")</f>
        <v>null</v>
      </c>
      <c r="AN4" s="82" cm="1">
        <f t="array" ref="AN4">_xlfn.IFNA(INDEX('Aviation Synfuel Data'!$G$4:$M$22,MATCH('Aviation Synfuel-TSData'!$B4&amp;'Aviation Synfuel-TSData'!$C4&amp;$E4,'Aviation Synfuel Data'!$C$4:$C$22&amp;'Aviation Synfuel Data'!$A$4:$A$22&amp;'Aviation Synfuel Data'!$D$4:$D$22,0),MATCH(AN$2,'Aviation Synfuel Data'!$G$3:$M$3,0)),"null")</f>
        <v>107.3755695536401</v>
      </c>
      <c r="AO4" s="82" cm="1">
        <f t="array" ref="AO4">_xlfn.IFNA(INDEX('Aviation Synfuel Data'!$G$4:$M$22,MATCH('Aviation Synfuel-TSData'!$B4&amp;'Aviation Synfuel-TSData'!$C4&amp;$E4,'Aviation Synfuel Data'!$C$4:$C$22&amp;'Aviation Synfuel Data'!$A$4:$A$22&amp;'Aviation Synfuel Data'!$D$4:$D$22,0),MATCH(AO$2,'Aviation Synfuel Data'!$G$3:$M$3,0)),"null")</f>
        <v>107.3755695536401</v>
      </c>
      <c r="AP4" s="82" cm="1">
        <f t="array" ref="AP4">_xlfn.IFNA(INDEX('Aviation Synfuel Data'!$G$4:$M$22,MATCH('Aviation Synfuel-TSData'!$B4&amp;'Aviation Synfuel-TSData'!$C4&amp;$E4,'Aviation Synfuel Data'!$C$4:$C$22&amp;'Aviation Synfuel Data'!$A$4:$A$22&amp;'Aviation Synfuel Data'!$D$4:$D$22,0),MATCH(AP$2,'Aviation Synfuel Data'!$G$3:$M$3,0)),"null")</f>
        <v>107.3755695536401</v>
      </c>
    </row>
    <row r="5" spans="1:42" x14ac:dyDescent="0.25">
      <c r="B5" t="s">
        <v>255</v>
      </c>
      <c r="C5" t="s">
        <v>238</v>
      </c>
      <c r="D5" t="s">
        <v>236</v>
      </c>
      <c r="E5" t="s">
        <v>261</v>
      </c>
      <c r="F5" t="s">
        <v>258</v>
      </c>
      <c r="G5" t="s">
        <v>291</v>
      </c>
      <c r="H5" t="s">
        <v>236</v>
      </c>
      <c r="I5">
        <v>0</v>
      </c>
      <c r="J5" s="82" t="str" cm="1">
        <f t="array" ref="J5">_xlfn.IFNA(INDEX('Aviation Synfuel Data'!$G$4:$M$22,MATCH('Aviation Synfuel-TSData'!$B5&amp;'Aviation Synfuel-TSData'!$C5&amp;$D5,'Aviation Synfuel Data'!$C$4:$C$22&amp;'Aviation Synfuel Data'!$A$4:$A$22&amp;'Aviation Synfuel Data'!$D$4:$D$22,0),MATCH(J$2,'Aviation Synfuel Data'!$G$3:$M$3,0)),"null")</f>
        <v>null</v>
      </c>
      <c r="K5" s="82" t="str" cm="1">
        <f t="array" ref="K5">_xlfn.IFNA(INDEX('Aviation Synfuel Data'!$G$4:$M$22,MATCH('Aviation Synfuel-TSData'!$B5&amp;'Aviation Synfuel-TSData'!$C5&amp;$D5,'Aviation Synfuel Data'!$C$4:$C$22&amp;'Aviation Synfuel Data'!$A$4:$A$22&amp;'Aviation Synfuel Data'!$D$4:$D$22,0),MATCH(K$2,'Aviation Synfuel Data'!$G$3:$M$3,0)),"null")</f>
        <v>null</v>
      </c>
      <c r="L5" s="82" t="str" cm="1">
        <f t="array" ref="L5">_xlfn.IFNA(INDEX('Aviation Synfuel Data'!$G$4:$M$22,MATCH('Aviation Synfuel-TSData'!$B5&amp;'Aviation Synfuel-TSData'!$C5&amp;$D5,'Aviation Synfuel Data'!$C$4:$C$22&amp;'Aviation Synfuel Data'!$A$4:$A$22&amp;'Aviation Synfuel Data'!$D$4:$D$22,0),MATCH(L$2,'Aviation Synfuel Data'!$G$3:$M$3,0)),"null")</f>
        <v>null</v>
      </c>
      <c r="M5" s="82" t="str" cm="1">
        <f t="array" ref="M5">_xlfn.IFNA(INDEX('Aviation Synfuel Data'!$G$4:$M$22,MATCH('Aviation Synfuel-TSData'!$B5&amp;'Aviation Synfuel-TSData'!$C5&amp;$D5,'Aviation Synfuel Data'!$C$4:$C$22&amp;'Aviation Synfuel Data'!$A$4:$A$22&amp;'Aviation Synfuel Data'!$D$4:$D$22,0),MATCH(M$2,'Aviation Synfuel Data'!$G$3:$M$3,0)),"null")</f>
        <v>null</v>
      </c>
      <c r="N5" s="82" t="str" cm="1">
        <f t="array" ref="N5">_xlfn.IFNA(INDEX('Aviation Synfuel Data'!$G$4:$M$22,MATCH('Aviation Synfuel-TSData'!$B5&amp;'Aviation Synfuel-TSData'!$C5&amp;$D5,'Aviation Synfuel Data'!$C$4:$C$22&amp;'Aviation Synfuel Data'!$A$4:$A$22&amp;'Aviation Synfuel Data'!$D$4:$D$22,0),MATCH(N$2,'Aviation Synfuel Data'!$G$3:$M$3,0)),"null")</f>
        <v>null</v>
      </c>
      <c r="O5" s="82" t="str" cm="1">
        <f t="array" ref="O5">_xlfn.IFNA(INDEX('Aviation Synfuel Data'!$G$4:$M$22,MATCH('Aviation Synfuel-TSData'!$B5&amp;'Aviation Synfuel-TSData'!$C5&amp;$D5,'Aviation Synfuel Data'!$C$4:$C$22&amp;'Aviation Synfuel Data'!$A$4:$A$22&amp;'Aviation Synfuel Data'!$D$4:$D$22,0),MATCH(O$2,'Aviation Synfuel Data'!$G$3:$M$3,0)),"null")</f>
        <v>null</v>
      </c>
      <c r="P5" s="82" t="str" cm="1">
        <f t="array" ref="P5">_xlfn.IFNA(INDEX('Aviation Synfuel Data'!$G$4:$M$22,MATCH('Aviation Synfuel-TSData'!$B5&amp;'Aviation Synfuel-TSData'!$C5&amp;$D5,'Aviation Synfuel Data'!$C$4:$C$22&amp;'Aviation Synfuel Data'!$A$4:$A$22&amp;'Aviation Synfuel Data'!$D$4:$D$22,0),MATCH(P$2,'Aviation Synfuel Data'!$G$3:$M$3,0)),"null")</f>
        <v>null</v>
      </c>
      <c r="Q5" s="82" t="str" cm="1">
        <f t="array" ref="Q5">_xlfn.IFNA(INDEX('Aviation Synfuel Data'!$G$4:$M$22,MATCH('Aviation Synfuel-TSData'!$B5&amp;'Aviation Synfuel-TSData'!$C5&amp;$D5,'Aviation Synfuel Data'!$C$4:$C$22&amp;'Aviation Synfuel Data'!$A$4:$A$22&amp;'Aviation Synfuel Data'!$D$4:$D$22,0),MATCH(Q$2,'Aviation Synfuel Data'!$G$3:$M$3,0)),"null")</f>
        <v>null</v>
      </c>
      <c r="R5" s="82" cm="1">
        <f t="array" ref="R5">_xlfn.IFNA(INDEX('Aviation Synfuel Data'!$G$4:$M$22,MATCH('Aviation Synfuel-TSData'!$B5&amp;'Aviation Synfuel-TSData'!$C5&amp;$D5,'Aviation Synfuel Data'!$C$4:$C$22&amp;'Aviation Synfuel Data'!$A$4:$A$22&amp;'Aviation Synfuel Data'!$D$4:$D$22,0),MATCH(R$2,'Aviation Synfuel Data'!$G$3:$M$3,0)),"null")</f>
        <v>0.31638916581378673</v>
      </c>
      <c r="S5" s="82" t="str" cm="1">
        <f t="array" ref="S5">_xlfn.IFNA(INDEX('Aviation Synfuel Data'!$G$4:$M$22,MATCH('Aviation Synfuel-TSData'!$B5&amp;'Aviation Synfuel-TSData'!$C5&amp;$D5,'Aviation Synfuel Data'!$C$4:$C$22&amp;'Aviation Synfuel Data'!$A$4:$A$22&amp;'Aviation Synfuel Data'!$D$4:$D$22,0),MATCH(S$2,'Aviation Synfuel Data'!$G$3:$M$3,0)),"null")</f>
        <v>null</v>
      </c>
      <c r="T5" s="82" t="str" cm="1">
        <f t="array" ref="T5">_xlfn.IFNA(INDEX('Aviation Synfuel Data'!$G$4:$M$22,MATCH('Aviation Synfuel-TSData'!$B5&amp;'Aviation Synfuel-TSData'!$C5&amp;$D5,'Aviation Synfuel Data'!$C$4:$C$22&amp;'Aviation Synfuel Data'!$A$4:$A$22&amp;'Aviation Synfuel Data'!$D$4:$D$22,0),MATCH(T$2,'Aviation Synfuel Data'!$G$3:$M$3,0)),"null")</f>
        <v>null</v>
      </c>
      <c r="U5" s="82" t="str" cm="1">
        <f t="array" ref="U5">_xlfn.IFNA(INDEX('Aviation Synfuel Data'!$G$4:$M$22,MATCH('Aviation Synfuel-TSData'!$B5&amp;'Aviation Synfuel-TSData'!$C5&amp;$D5,'Aviation Synfuel Data'!$C$4:$C$22&amp;'Aviation Synfuel Data'!$A$4:$A$22&amp;'Aviation Synfuel Data'!$D$4:$D$22,0),MATCH(U$2,'Aviation Synfuel Data'!$G$3:$M$3,0)),"null")</f>
        <v>null</v>
      </c>
      <c r="V5" s="82" t="str" cm="1">
        <f t="array" ref="V5">_xlfn.IFNA(INDEX('Aviation Synfuel Data'!$G$4:$M$22,MATCH('Aviation Synfuel-TSData'!$B5&amp;'Aviation Synfuel-TSData'!$C5&amp;$D5,'Aviation Synfuel Data'!$C$4:$C$22&amp;'Aviation Synfuel Data'!$A$4:$A$22&amp;'Aviation Synfuel Data'!$D$4:$D$22,0),MATCH(V$2,'Aviation Synfuel Data'!$G$3:$M$3,0)),"null")</f>
        <v>null</v>
      </c>
      <c r="W5" s="82" t="str" cm="1">
        <f t="array" ref="W5">_xlfn.IFNA(INDEX('Aviation Synfuel Data'!$G$4:$M$22,MATCH('Aviation Synfuel-TSData'!$B5&amp;'Aviation Synfuel-TSData'!$C5&amp;$D5,'Aviation Synfuel Data'!$C$4:$C$22&amp;'Aviation Synfuel Data'!$A$4:$A$22&amp;'Aviation Synfuel Data'!$D$4:$D$22,0),MATCH(W$2,'Aviation Synfuel Data'!$G$3:$M$3,0)),"null")</f>
        <v>null</v>
      </c>
      <c r="X5" s="82" t="str" cm="1">
        <f t="array" ref="X5">_xlfn.IFNA(INDEX('Aviation Synfuel Data'!$G$4:$M$22,MATCH('Aviation Synfuel-TSData'!$B5&amp;'Aviation Synfuel-TSData'!$C5&amp;$D5,'Aviation Synfuel Data'!$C$4:$C$22&amp;'Aviation Synfuel Data'!$A$4:$A$22&amp;'Aviation Synfuel Data'!$D$4:$D$22,0),MATCH(X$2,'Aviation Synfuel Data'!$G$3:$M$3,0)),"null")</f>
        <v>null</v>
      </c>
      <c r="Y5" s="82" t="str" cm="1">
        <f t="array" ref="Y5">_xlfn.IFNA(INDEX('Aviation Synfuel Data'!$G$4:$M$22,MATCH('Aviation Synfuel-TSData'!$B5&amp;'Aviation Synfuel-TSData'!$C5&amp;$D5,'Aviation Synfuel Data'!$C$4:$C$22&amp;'Aviation Synfuel Data'!$A$4:$A$22&amp;'Aviation Synfuel Data'!$D$4:$D$22,0),MATCH(Y$2,'Aviation Synfuel Data'!$G$3:$M$3,0)),"null")</f>
        <v>null</v>
      </c>
      <c r="Z5" s="82" t="str" cm="1">
        <f t="array" ref="Z5">_xlfn.IFNA(INDEX('Aviation Synfuel Data'!$G$4:$M$22,MATCH('Aviation Synfuel-TSData'!$B5&amp;'Aviation Synfuel-TSData'!$C5&amp;$D5,'Aviation Synfuel Data'!$C$4:$C$22&amp;'Aviation Synfuel Data'!$A$4:$A$22&amp;'Aviation Synfuel Data'!$D$4:$D$22,0),MATCH(Z$2,'Aviation Synfuel Data'!$G$3:$M$3,0)),"null")</f>
        <v>null</v>
      </c>
      <c r="AA5" s="82" t="str" cm="1">
        <f t="array" ref="AA5">_xlfn.IFNA(INDEX('Aviation Synfuel Data'!$G$4:$M$22,MATCH('Aviation Synfuel-TSData'!$B5&amp;'Aviation Synfuel-TSData'!$C5&amp;$D5,'Aviation Synfuel Data'!$C$4:$C$22&amp;'Aviation Synfuel Data'!$A$4:$A$22&amp;'Aviation Synfuel Data'!$D$4:$D$22,0),MATCH(AA$2,'Aviation Synfuel Data'!$G$3:$M$3,0)),"null")</f>
        <v>null</v>
      </c>
      <c r="AB5" s="82" cm="1">
        <f t="array" ref="AB5">_xlfn.IFNA(INDEX('Aviation Synfuel Data'!$G$4:$M$22,MATCH('Aviation Synfuel-TSData'!$B5&amp;'Aviation Synfuel-TSData'!$C5&amp;$D5,'Aviation Synfuel Data'!$C$4:$C$22&amp;'Aviation Synfuel Data'!$A$4:$A$22&amp;'Aviation Synfuel Data'!$D$4:$D$22,0),MATCH(AB$2,'Aviation Synfuel Data'!$G$3:$M$3,0)),"null")</f>
        <v>0.31638916581378673</v>
      </c>
      <c r="AC5" s="82" t="str" cm="1">
        <f t="array" ref="AC5">_xlfn.IFNA(INDEX('Aviation Synfuel Data'!$G$4:$M$22,MATCH('Aviation Synfuel-TSData'!$B5&amp;'Aviation Synfuel-TSData'!$C5&amp;$D5,'Aviation Synfuel Data'!$C$4:$C$22&amp;'Aviation Synfuel Data'!$A$4:$A$22&amp;'Aviation Synfuel Data'!$D$4:$D$22,0),MATCH(AC$2,'Aviation Synfuel Data'!$G$3:$M$3,0)),"null")</f>
        <v>null</v>
      </c>
      <c r="AD5" s="82" t="str" cm="1">
        <f t="array" ref="AD5">_xlfn.IFNA(INDEX('Aviation Synfuel Data'!$G$4:$M$22,MATCH('Aviation Synfuel-TSData'!$B5&amp;'Aviation Synfuel-TSData'!$C5&amp;$D5,'Aviation Synfuel Data'!$C$4:$C$22&amp;'Aviation Synfuel Data'!$A$4:$A$22&amp;'Aviation Synfuel Data'!$D$4:$D$22,0),MATCH(AD$2,'Aviation Synfuel Data'!$G$3:$M$3,0)),"null")</f>
        <v>null</v>
      </c>
      <c r="AE5" s="82" t="str" cm="1">
        <f t="array" ref="AE5">_xlfn.IFNA(INDEX('Aviation Synfuel Data'!$G$4:$M$22,MATCH('Aviation Synfuel-TSData'!$B5&amp;'Aviation Synfuel-TSData'!$C5&amp;$D5,'Aviation Synfuel Data'!$C$4:$C$22&amp;'Aviation Synfuel Data'!$A$4:$A$22&amp;'Aviation Synfuel Data'!$D$4:$D$22,0),MATCH(AE$2,'Aviation Synfuel Data'!$G$3:$M$3,0)),"null")</f>
        <v>null</v>
      </c>
      <c r="AF5" s="82" t="str" cm="1">
        <f t="array" ref="AF5">_xlfn.IFNA(INDEX('Aviation Synfuel Data'!$G$4:$M$22,MATCH('Aviation Synfuel-TSData'!$B5&amp;'Aviation Synfuel-TSData'!$C5&amp;$D5,'Aviation Synfuel Data'!$C$4:$C$22&amp;'Aviation Synfuel Data'!$A$4:$A$22&amp;'Aviation Synfuel Data'!$D$4:$D$22,0),MATCH(AF$2,'Aviation Synfuel Data'!$G$3:$M$3,0)),"null")</f>
        <v>null</v>
      </c>
      <c r="AG5" s="82" cm="1">
        <f t="array" ref="AG5">_xlfn.IFNA(INDEX('Aviation Synfuel Data'!$G$4:$M$22,MATCH('Aviation Synfuel-TSData'!$B5&amp;'Aviation Synfuel-TSData'!$C5&amp;$D5,'Aviation Synfuel Data'!$C$4:$C$22&amp;'Aviation Synfuel Data'!$A$4:$A$22&amp;'Aviation Synfuel Data'!$D$4:$D$22,0),MATCH(AG$2,'Aviation Synfuel Data'!$G$3:$M$3,0)),"null")</f>
        <v>0.31638916581378673</v>
      </c>
      <c r="AH5" s="82" t="str" cm="1">
        <f t="array" ref="AH5">_xlfn.IFNA(INDEX('Aviation Synfuel Data'!$G$4:$M$22,MATCH('Aviation Synfuel-TSData'!$B5&amp;'Aviation Synfuel-TSData'!$C5&amp;$D5,'Aviation Synfuel Data'!$C$4:$C$22&amp;'Aviation Synfuel Data'!$A$4:$A$22&amp;'Aviation Synfuel Data'!$D$4:$D$22,0),MATCH(AH$2,'Aviation Synfuel Data'!$G$3:$M$3,0)),"null")</f>
        <v>null</v>
      </c>
      <c r="AI5" s="82" t="str" cm="1">
        <f t="array" ref="AI5">_xlfn.IFNA(INDEX('Aviation Synfuel Data'!$G$4:$M$22,MATCH('Aviation Synfuel-TSData'!$B5&amp;'Aviation Synfuel-TSData'!$C5&amp;$D5,'Aviation Synfuel Data'!$C$4:$C$22&amp;'Aviation Synfuel Data'!$A$4:$A$22&amp;'Aviation Synfuel Data'!$D$4:$D$22,0),MATCH(AI$2,'Aviation Synfuel Data'!$G$3:$M$3,0)),"null")</f>
        <v>null</v>
      </c>
      <c r="AJ5" s="82" t="str" cm="1">
        <f t="array" ref="AJ5">_xlfn.IFNA(INDEX('Aviation Synfuel Data'!$G$4:$M$22,MATCH('Aviation Synfuel-TSData'!$B5&amp;'Aviation Synfuel-TSData'!$C5&amp;$D5,'Aviation Synfuel Data'!$C$4:$C$22&amp;'Aviation Synfuel Data'!$A$4:$A$22&amp;'Aviation Synfuel Data'!$D$4:$D$22,0),MATCH(AJ$2,'Aviation Synfuel Data'!$G$3:$M$3,0)),"null")</f>
        <v>null</v>
      </c>
      <c r="AK5" s="82" t="str" cm="1">
        <f t="array" ref="AK5">_xlfn.IFNA(INDEX('Aviation Synfuel Data'!$G$4:$M$22,MATCH('Aviation Synfuel-TSData'!$B5&amp;'Aviation Synfuel-TSData'!$C5&amp;$D5,'Aviation Synfuel Data'!$C$4:$C$22&amp;'Aviation Synfuel Data'!$A$4:$A$22&amp;'Aviation Synfuel Data'!$D$4:$D$22,0),MATCH(AK$2,'Aviation Synfuel Data'!$G$3:$M$3,0)),"null")</f>
        <v>null</v>
      </c>
      <c r="AL5" s="82" cm="1">
        <f t="array" ref="AL5">_xlfn.IFNA(INDEX('Aviation Synfuel Data'!$G$4:$M$22,MATCH('Aviation Synfuel-TSData'!$B5&amp;'Aviation Synfuel-TSData'!$C5&amp;$D5,'Aviation Synfuel Data'!$C$4:$C$22&amp;'Aviation Synfuel Data'!$A$4:$A$22&amp;'Aviation Synfuel Data'!$D$4:$D$22,0),MATCH(AL$2,'Aviation Synfuel Data'!$G$3:$M$3,0)),"null")</f>
        <v>0.31638916581378673</v>
      </c>
      <c r="AM5" s="82" t="str" cm="1">
        <f t="array" ref="AM5">_xlfn.IFNA(INDEX('Aviation Synfuel Data'!$G$4:$M$22,MATCH('Aviation Synfuel-TSData'!$B5&amp;'Aviation Synfuel-TSData'!$C5&amp;$D5,'Aviation Synfuel Data'!$C$4:$C$22&amp;'Aviation Synfuel Data'!$A$4:$A$22&amp;'Aviation Synfuel Data'!$D$4:$D$22,0),MATCH(AM$2,'Aviation Synfuel Data'!$G$3:$M$3,0)),"null")</f>
        <v>null</v>
      </c>
      <c r="AN5" s="82" cm="1">
        <f t="array" ref="AN5">_xlfn.IFNA(INDEX('Aviation Synfuel Data'!$G$4:$M$22,MATCH('Aviation Synfuel-TSData'!$B5&amp;'Aviation Synfuel-TSData'!$C5&amp;$D5,'Aviation Synfuel Data'!$C$4:$C$22&amp;'Aviation Synfuel Data'!$A$4:$A$22&amp;'Aviation Synfuel Data'!$D$4:$D$22,0),MATCH(AN$2,'Aviation Synfuel Data'!$G$3:$M$3,0)),"null")</f>
        <v>0.31638916581378673</v>
      </c>
      <c r="AO5" s="82" cm="1">
        <f t="array" ref="AO5">_xlfn.IFNA(INDEX('Aviation Synfuel Data'!$G$4:$M$22,MATCH('Aviation Synfuel-TSData'!$B5&amp;'Aviation Synfuel-TSData'!$C5&amp;$D5,'Aviation Synfuel Data'!$C$4:$C$22&amp;'Aviation Synfuel Data'!$A$4:$A$22&amp;'Aviation Synfuel Data'!$D$4:$D$22,0),MATCH(AO$2,'Aviation Synfuel Data'!$G$3:$M$3,0)),"null")</f>
        <v>0.31638916581378673</v>
      </c>
      <c r="AP5" s="82" cm="1">
        <f t="array" ref="AP5">_xlfn.IFNA(INDEX('Aviation Synfuel Data'!$G$4:$M$22,MATCH('Aviation Synfuel-TSData'!$B5&amp;'Aviation Synfuel-TSData'!$C5&amp;$D5,'Aviation Synfuel Data'!$C$4:$C$22&amp;'Aviation Synfuel Data'!$A$4:$A$22&amp;'Aviation Synfuel Data'!$D$4:$D$22,0),MATCH(AP$2,'Aviation Synfuel Data'!$G$3:$M$3,0)),"null")</f>
        <v>0.31638916581378673</v>
      </c>
    </row>
    <row r="6" spans="1:42" x14ac:dyDescent="0.25">
      <c r="B6" t="s">
        <v>249</v>
      </c>
      <c r="C6" t="s">
        <v>238</v>
      </c>
      <c r="D6" t="str">
        <f>'Aviation Synfuel Data'!D8</f>
        <v>OAG</v>
      </c>
      <c r="E6" t="s">
        <v>258</v>
      </c>
      <c r="F6" t="s">
        <v>236</v>
      </c>
      <c r="G6" t="s">
        <v>291</v>
      </c>
      <c r="H6" t="s">
        <v>241</v>
      </c>
      <c r="I6">
        <v>3</v>
      </c>
      <c r="J6" s="82" t="str" cm="1">
        <f t="array" ref="J6">_xlfn.IFNA(INDEX('Aviation Synfuel Data'!$G$4:$M$22,MATCH('Aviation Synfuel-TSData'!$B6&amp;'Aviation Synfuel-TSData'!$C6&amp;$D6,'Aviation Synfuel Data'!$C$4:$C$22&amp;'Aviation Synfuel Data'!$A$4:$A$22&amp;'Aviation Synfuel Data'!$D$4:$D$22,0),MATCH(J$2,'Aviation Synfuel Data'!$G$3:$M$3,0)),"null")</f>
        <v>null</v>
      </c>
      <c r="K6" s="82" t="str" cm="1">
        <f t="array" ref="K6">_xlfn.IFNA(INDEX('Aviation Synfuel Data'!$G$4:$M$22,MATCH('Aviation Synfuel-TSData'!$B6&amp;'Aviation Synfuel-TSData'!$C6&amp;$D6,'Aviation Synfuel Data'!$C$4:$C$22&amp;'Aviation Synfuel Data'!$A$4:$A$22&amp;'Aviation Synfuel Data'!$D$4:$D$22,0),MATCH(K$2,'Aviation Synfuel Data'!$G$3:$M$3,0)),"null")</f>
        <v>null</v>
      </c>
      <c r="L6" s="82" t="str" cm="1">
        <f t="array" ref="L6">_xlfn.IFNA(INDEX('Aviation Synfuel Data'!$G$4:$M$22,MATCH('Aviation Synfuel-TSData'!$B6&amp;'Aviation Synfuel-TSData'!$C6&amp;$D6,'Aviation Synfuel Data'!$C$4:$C$22&amp;'Aviation Synfuel Data'!$A$4:$A$22&amp;'Aviation Synfuel Data'!$D$4:$D$22,0),MATCH(L$2,'Aviation Synfuel Data'!$G$3:$M$3,0)),"null")</f>
        <v>null</v>
      </c>
      <c r="M6" s="82" t="str" cm="1">
        <f t="array" ref="M6">_xlfn.IFNA(INDEX('Aviation Synfuel Data'!$G$4:$M$22,MATCH('Aviation Synfuel-TSData'!$B6&amp;'Aviation Synfuel-TSData'!$C6&amp;$D6,'Aviation Synfuel Data'!$C$4:$C$22&amp;'Aviation Synfuel Data'!$A$4:$A$22&amp;'Aviation Synfuel Data'!$D$4:$D$22,0),MATCH(M$2,'Aviation Synfuel Data'!$G$3:$M$3,0)),"null")</f>
        <v>null</v>
      </c>
      <c r="N6" s="82" t="str" cm="1">
        <f t="array" ref="N6">_xlfn.IFNA(INDEX('Aviation Synfuel Data'!$G$4:$M$22,MATCH('Aviation Synfuel-TSData'!$B6&amp;'Aviation Synfuel-TSData'!$C6&amp;$D6,'Aviation Synfuel Data'!$C$4:$C$22&amp;'Aviation Synfuel Data'!$A$4:$A$22&amp;'Aviation Synfuel Data'!$D$4:$D$22,0),MATCH(N$2,'Aviation Synfuel Data'!$G$3:$M$3,0)),"null")</f>
        <v>null</v>
      </c>
      <c r="O6" s="82" t="str" cm="1">
        <f t="array" ref="O6">_xlfn.IFNA(INDEX('Aviation Synfuel Data'!$G$4:$M$22,MATCH('Aviation Synfuel-TSData'!$B6&amp;'Aviation Synfuel-TSData'!$C6&amp;$D6,'Aviation Synfuel Data'!$C$4:$C$22&amp;'Aviation Synfuel Data'!$A$4:$A$22&amp;'Aviation Synfuel Data'!$D$4:$D$22,0),MATCH(O$2,'Aviation Synfuel Data'!$G$3:$M$3,0)),"null")</f>
        <v>null</v>
      </c>
      <c r="P6" s="82" t="str" cm="1">
        <f t="array" ref="P6">_xlfn.IFNA(INDEX('Aviation Synfuel Data'!$G$4:$M$22,MATCH('Aviation Synfuel-TSData'!$B6&amp;'Aviation Synfuel-TSData'!$C6&amp;$D6,'Aviation Synfuel Data'!$C$4:$C$22&amp;'Aviation Synfuel Data'!$A$4:$A$22&amp;'Aviation Synfuel Data'!$D$4:$D$22,0),MATCH(P$2,'Aviation Synfuel Data'!$G$3:$M$3,0)),"null")</f>
        <v>null</v>
      </c>
      <c r="Q6" s="82" t="str" cm="1">
        <f t="array" ref="Q6">_xlfn.IFNA(INDEX('Aviation Synfuel Data'!$G$4:$M$22,MATCH('Aviation Synfuel-TSData'!$B6&amp;'Aviation Synfuel-TSData'!$C6&amp;$D6,'Aviation Synfuel Data'!$C$4:$C$22&amp;'Aviation Synfuel Data'!$A$4:$A$22&amp;'Aviation Synfuel Data'!$D$4:$D$22,0),MATCH(Q$2,'Aviation Synfuel Data'!$G$3:$M$3,0)),"null")</f>
        <v>null</v>
      </c>
      <c r="R6" s="82" cm="1">
        <f t="array" ref="R6">_xlfn.IFNA(INDEX('Aviation Synfuel Data'!$G$4:$M$22,MATCH('Aviation Synfuel-TSData'!$B6&amp;'Aviation Synfuel-TSData'!$C6&amp;$D6,'Aviation Synfuel Data'!$C$4:$C$22&amp;'Aviation Synfuel Data'!$A$4:$A$22&amp;'Aviation Synfuel Data'!$D$4:$D$22,0),MATCH(R$2,'Aviation Synfuel Data'!$G$3:$M$3,0)),"null")</f>
        <v>0.5118329249859862</v>
      </c>
      <c r="S6" s="82" t="str" cm="1">
        <f t="array" ref="S6">_xlfn.IFNA(INDEX('Aviation Synfuel Data'!$G$4:$M$22,MATCH('Aviation Synfuel-TSData'!$B6&amp;'Aviation Synfuel-TSData'!$C6&amp;$D6,'Aviation Synfuel Data'!$C$4:$C$22&amp;'Aviation Synfuel Data'!$A$4:$A$22&amp;'Aviation Synfuel Data'!$D$4:$D$22,0),MATCH(S$2,'Aviation Synfuel Data'!$G$3:$M$3,0)),"null")</f>
        <v>null</v>
      </c>
      <c r="T6" s="82" t="str" cm="1">
        <f t="array" ref="T6">_xlfn.IFNA(INDEX('Aviation Synfuel Data'!$G$4:$M$22,MATCH('Aviation Synfuel-TSData'!$B6&amp;'Aviation Synfuel-TSData'!$C6&amp;$D6,'Aviation Synfuel Data'!$C$4:$C$22&amp;'Aviation Synfuel Data'!$A$4:$A$22&amp;'Aviation Synfuel Data'!$D$4:$D$22,0),MATCH(T$2,'Aviation Synfuel Data'!$G$3:$M$3,0)),"null")</f>
        <v>null</v>
      </c>
      <c r="U6" s="82" t="str" cm="1">
        <f t="array" ref="U6">_xlfn.IFNA(INDEX('Aviation Synfuel Data'!$G$4:$M$22,MATCH('Aviation Synfuel-TSData'!$B6&amp;'Aviation Synfuel-TSData'!$C6&amp;$D6,'Aviation Synfuel Data'!$C$4:$C$22&amp;'Aviation Synfuel Data'!$A$4:$A$22&amp;'Aviation Synfuel Data'!$D$4:$D$22,0),MATCH(U$2,'Aviation Synfuel Data'!$G$3:$M$3,0)),"null")</f>
        <v>null</v>
      </c>
      <c r="V6" s="82" t="str" cm="1">
        <f t="array" ref="V6">_xlfn.IFNA(INDEX('Aviation Synfuel Data'!$G$4:$M$22,MATCH('Aviation Synfuel-TSData'!$B6&amp;'Aviation Synfuel-TSData'!$C6&amp;$D6,'Aviation Synfuel Data'!$C$4:$C$22&amp;'Aviation Synfuel Data'!$A$4:$A$22&amp;'Aviation Synfuel Data'!$D$4:$D$22,0),MATCH(V$2,'Aviation Synfuel Data'!$G$3:$M$3,0)),"null")</f>
        <v>null</v>
      </c>
      <c r="W6" s="82" t="str" cm="1">
        <f t="array" ref="W6">_xlfn.IFNA(INDEX('Aviation Synfuel Data'!$G$4:$M$22,MATCH('Aviation Synfuel-TSData'!$B6&amp;'Aviation Synfuel-TSData'!$C6&amp;$D6,'Aviation Synfuel Data'!$C$4:$C$22&amp;'Aviation Synfuel Data'!$A$4:$A$22&amp;'Aviation Synfuel Data'!$D$4:$D$22,0),MATCH(W$2,'Aviation Synfuel Data'!$G$3:$M$3,0)),"null")</f>
        <v>null</v>
      </c>
      <c r="X6" s="82" t="str" cm="1">
        <f t="array" ref="X6">_xlfn.IFNA(INDEX('Aviation Synfuel Data'!$G$4:$M$22,MATCH('Aviation Synfuel-TSData'!$B6&amp;'Aviation Synfuel-TSData'!$C6&amp;$D6,'Aviation Synfuel Data'!$C$4:$C$22&amp;'Aviation Synfuel Data'!$A$4:$A$22&amp;'Aviation Synfuel Data'!$D$4:$D$22,0),MATCH(X$2,'Aviation Synfuel Data'!$G$3:$M$3,0)),"null")</f>
        <v>null</v>
      </c>
      <c r="Y6" s="82" t="str" cm="1">
        <f t="array" ref="Y6">_xlfn.IFNA(INDEX('Aviation Synfuel Data'!$G$4:$M$22,MATCH('Aviation Synfuel-TSData'!$B6&amp;'Aviation Synfuel-TSData'!$C6&amp;$D6,'Aviation Synfuel Data'!$C$4:$C$22&amp;'Aviation Synfuel Data'!$A$4:$A$22&amp;'Aviation Synfuel Data'!$D$4:$D$22,0),MATCH(Y$2,'Aviation Synfuel Data'!$G$3:$M$3,0)),"null")</f>
        <v>null</v>
      </c>
      <c r="Z6" s="82" t="str" cm="1">
        <f t="array" ref="Z6">_xlfn.IFNA(INDEX('Aviation Synfuel Data'!$G$4:$M$22,MATCH('Aviation Synfuel-TSData'!$B6&amp;'Aviation Synfuel-TSData'!$C6&amp;$D6,'Aviation Synfuel Data'!$C$4:$C$22&amp;'Aviation Synfuel Data'!$A$4:$A$22&amp;'Aviation Synfuel Data'!$D$4:$D$22,0),MATCH(Z$2,'Aviation Synfuel Data'!$G$3:$M$3,0)),"null")</f>
        <v>null</v>
      </c>
      <c r="AA6" s="82" t="str" cm="1">
        <f t="array" ref="AA6">_xlfn.IFNA(INDEX('Aviation Synfuel Data'!$G$4:$M$22,MATCH('Aviation Synfuel-TSData'!$B6&amp;'Aviation Synfuel-TSData'!$C6&amp;$D6,'Aviation Synfuel Data'!$C$4:$C$22&amp;'Aviation Synfuel Data'!$A$4:$A$22&amp;'Aviation Synfuel Data'!$D$4:$D$22,0),MATCH(AA$2,'Aviation Synfuel Data'!$G$3:$M$3,0)),"null")</f>
        <v>null</v>
      </c>
      <c r="AB6" s="82" cm="1">
        <f t="array" ref="AB6">_xlfn.IFNA(INDEX('Aviation Synfuel Data'!$G$4:$M$22,MATCH('Aviation Synfuel-TSData'!$B6&amp;'Aviation Synfuel-TSData'!$C6&amp;$D6,'Aviation Synfuel Data'!$C$4:$C$22&amp;'Aviation Synfuel Data'!$A$4:$A$22&amp;'Aviation Synfuel Data'!$D$4:$D$22,0),MATCH(AB$2,'Aviation Synfuel Data'!$G$3:$M$3,0)),"null")</f>
        <v>0.05</v>
      </c>
      <c r="AC6" s="82" t="str" cm="1">
        <f t="array" ref="AC6">_xlfn.IFNA(INDEX('Aviation Synfuel Data'!$G$4:$M$22,MATCH('Aviation Synfuel-TSData'!$B6&amp;'Aviation Synfuel-TSData'!$C6&amp;$D6,'Aviation Synfuel Data'!$C$4:$C$22&amp;'Aviation Synfuel Data'!$A$4:$A$22&amp;'Aviation Synfuel Data'!$D$4:$D$22,0),MATCH(AC$2,'Aviation Synfuel Data'!$G$3:$M$3,0)),"null")</f>
        <v>null</v>
      </c>
      <c r="AD6" s="82" t="str" cm="1">
        <f t="array" ref="AD6">_xlfn.IFNA(INDEX('Aviation Synfuel Data'!$G$4:$M$22,MATCH('Aviation Synfuel-TSData'!$B6&amp;'Aviation Synfuel-TSData'!$C6&amp;$D6,'Aviation Synfuel Data'!$C$4:$C$22&amp;'Aviation Synfuel Data'!$A$4:$A$22&amp;'Aviation Synfuel Data'!$D$4:$D$22,0),MATCH(AD$2,'Aviation Synfuel Data'!$G$3:$M$3,0)),"null")</f>
        <v>null</v>
      </c>
      <c r="AE6" s="82" t="str" cm="1">
        <f t="array" ref="AE6">_xlfn.IFNA(INDEX('Aviation Synfuel Data'!$G$4:$M$22,MATCH('Aviation Synfuel-TSData'!$B6&amp;'Aviation Synfuel-TSData'!$C6&amp;$D6,'Aviation Synfuel Data'!$C$4:$C$22&amp;'Aviation Synfuel Data'!$A$4:$A$22&amp;'Aviation Synfuel Data'!$D$4:$D$22,0),MATCH(AE$2,'Aviation Synfuel Data'!$G$3:$M$3,0)),"null")</f>
        <v>null</v>
      </c>
      <c r="AF6" s="82" t="str" cm="1">
        <f t="array" ref="AF6">_xlfn.IFNA(INDEX('Aviation Synfuel Data'!$G$4:$M$22,MATCH('Aviation Synfuel-TSData'!$B6&amp;'Aviation Synfuel-TSData'!$C6&amp;$D6,'Aviation Synfuel Data'!$C$4:$C$22&amp;'Aviation Synfuel Data'!$A$4:$A$22&amp;'Aviation Synfuel Data'!$D$4:$D$22,0),MATCH(AF$2,'Aviation Synfuel Data'!$G$3:$M$3,0)),"null")</f>
        <v>null</v>
      </c>
      <c r="AG6" s="82" cm="1">
        <f t="array" ref="AG6">_xlfn.IFNA(INDEX('Aviation Synfuel Data'!$G$4:$M$22,MATCH('Aviation Synfuel-TSData'!$B6&amp;'Aviation Synfuel-TSData'!$C6&amp;$D6,'Aviation Synfuel Data'!$C$4:$C$22&amp;'Aviation Synfuel Data'!$A$4:$A$22&amp;'Aviation Synfuel Data'!$D$4:$D$22,0),MATCH(AG$2,'Aviation Synfuel Data'!$G$3:$M$3,0)),"null")</f>
        <v>0.05</v>
      </c>
      <c r="AH6" s="82" t="str" cm="1">
        <f t="array" ref="AH6">_xlfn.IFNA(INDEX('Aviation Synfuel Data'!$G$4:$M$22,MATCH('Aviation Synfuel-TSData'!$B6&amp;'Aviation Synfuel-TSData'!$C6&amp;$D6,'Aviation Synfuel Data'!$C$4:$C$22&amp;'Aviation Synfuel Data'!$A$4:$A$22&amp;'Aviation Synfuel Data'!$D$4:$D$22,0),MATCH(AH$2,'Aviation Synfuel Data'!$G$3:$M$3,0)),"null")</f>
        <v>null</v>
      </c>
      <c r="AI6" s="82" t="str" cm="1">
        <f t="array" ref="AI6">_xlfn.IFNA(INDEX('Aviation Synfuel Data'!$G$4:$M$22,MATCH('Aviation Synfuel-TSData'!$B6&amp;'Aviation Synfuel-TSData'!$C6&amp;$D6,'Aviation Synfuel Data'!$C$4:$C$22&amp;'Aviation Synfuel Data'!$A$4:$A$22&amp;'Aviation Synfuel Data'!$D$4:$D$22,0),MATCH(AI$2,'Aviation Synfuel Data'!$G$3:$M$3,0)),"null")</f>
        <v>null</v>
      </c>
      <c r="AJ6" s="82" t="str" cm="1">
        <f t="array" ref="AJ6">_xlfn.IFNA(INDEX('Aviation Synfuel Data'!$G$4:$M$22,MATCH('Aviation Synfuel-TSData'!$B6&amp;'Aviation Synfuel-TSData'!$C6&amp;$D6,'Aviation Synfuel Data'!$C$4:$C$22&amp;'Aviation Synfuel Data'!$A$4:$A$22&amp;'Aviation Synfuel Data'!$D$4:$D$22,0),MATCH(AJ$2,'Aviation Synfuel Data'!$G$3:$M$3,0)),"null")</f>
        <v>null</v>
      </c>
      <c r="AK6" s="82" t="str" cm="1">
        <f t="array" ref="AK6">_xlfn.IFNA(INDEX('Aviation Synfuel Data'!$G$4:$M$22,MATCH('Aviation Synfuel-TSData'!$B6&amp;'Aviation Synfuel-TSData'!$C6&amp;$D6,'Aviation Synfuel Data'!$C$4:$C$22&amp;'Aviation Synfuel Data'!$A$4:$A$22&amp;'Aviation Synfuel Data'!$D$4:$D$22,0),MATCH(AK$2,'Aviation Synfuel Data'!$G$3:$M$3,0)),"null")</f>
        <v>null</v>
      </c>
      <c r="AL6" s="82" cm="1">
        <f t="array" ref="AL6">_xlfn.IFNA(INDEX('Aviation Synfuel Data'!$G$4:$M$22,MATCH('Aviation Synfuel-TSData'!$B6&amp;'Aviation Synfuel-TSData'!$C6&amp;$D6,'Aviation Synfuel Data'!$C$4:$C$22&amp;'Aviation Synfuel Data'!$A$4:$A$22&amp;'Aviation Synfuel Data'!$D$4:$D$22,0),MATCH(AL$2,'Aviation Synfuel Data'!$G$3:$M$3,0)),"null")</f>
        <v>0.05</v>
      </c>
      <c r="AM6" s="82" t="str" cm="1">
        <f t="array" ref="AM6">_xlfn.IFNA(INDEX('Aviation Synfuel Data'!$G$4:$M$22,MATCH('Aviation Synfuel-TSData'!$B6&amp;'Aviation Synfuel-TSData'!$C6&amp;$D6,'Aviation Synfuel Data'!$C$4:$C$22&amp;'Aviation Synfuel Data'!$A$4:$A$22&amp;'Aviation Synfuel Data'!$D$4:$D$22,0),MATCH(AM$2,'Aviation Synfuel Data'!$G$3:$M$3,0)),"null")</f>
        <v>null</v>
      </c>
      <c r="AN6" s="82" cm="1">
        <f t="array" ref="AN6">_xlfn.IFNA(INDEX('Aviation Synfuel Data'!$G$4:$M$22,MATCH('Aviation Synfuel-TSData'!$B6&amp;'Aviation Synfuel-TSData'!$C6&amp;$D6,'Aviation Synfuel Data'!$C$4:$C$22&amp;'Aviation Synfuel Data'!$A$4:$A$22&amp;'Aviation Synfuel Data'!$D$4:$D$22,0),MATCH(AN$2,'Aviation Synfuel Data'!$G$3:$M$3,0)),"null")</f>
        <v>0.05</v>
      </c>
      <c r="AO6" s="82" cm="1">
        <f t="array" ref="AO6">_xlfn.IFNA(INDEX('Aviation Synfuel Data'!$G$4:$M$22,MATCH('Aviation Synfuel-TSData'!$B6&amp;'Aviation Synfuel-TSData'!$C6&amp;$D6,'Aviation Synfuel Data'!$C$4:$C$22&amp;'Aviation Synfuel Data'!$A$4:$A$22&amp;'Aviation Synfuel Data'!$D$4:$D$22,0),MATCH(AO$2,'Aviation Synfuel Data'!$G$3:$M$3,0)),"null")</f>
        <v>0.05</v>
      </c>
      <c r="AP6" s="82" cm="1">
        <f t="array" ref="AP6">_xlfn.IFNA(INDEX('Aviation Synfuel Data'!$G$4:$M$22,MATCH('Aviation Synfuel-TSData'!$B6&amp;'Aviation Synfuel-TSData'!$C6&amp;$D6,'Aviation Synfuel Data'!$C$4:$C$22&amp;'Aviation Synfuel Data'!$A$4:$A$22&amp;'Aviation Synfuel Data'!$D$4:$D$22,0),MATCH(AP$2,'Aviation Synfuel Data'!$G$3:$M$3,0)),"null")</f>
        <v>0.05</v>
      </c>
    </row>
    <row r="7" spans="1:42" x14ac:dyDescent="0.25">
      <c r="B7" t="s">
        <v>249</v>
      </c>
      <c r="C7" t="s">
        <v>238</v>
      </c>
      <c r="D7" t="str">
        <f>'Aviation Synfuel Data'!D9</f>
        <v>OKG</v>
      </c>
      <c r="E7" t="s">
        <v>258</v>
      </c>
      <c r="F7" t="s">
        <v>236</v>
      </c>
      <c r="G7" t="s">
        <v>291</v>
      </c>
      <c r="H7" t="s">
        <v>241</v>
      </c>
      <c r="I7">
        <v>3</v>
      </c>
      <c r="J7" s="82" t="str" cm="1">
        <f t="array" ref="J7">_xlfn.IFNA(INDEX('Aviation Synfuel Data'!$G$4:$M$22,MATCH('Aviation Synfuel-TSData'!$B7&amp;'Aviation Synfuel-TSData'!$C7&amp;$D7,'Aviation Synfuel Data'!$C$4:$C$22&amp;'Aviation Synfuel Data'!$A$4:$A$22&amp;'Aviation Synfuel Data'!$D$4:$D$22,0),MATCH(J$2,'Aviation Synfuel Data'!$G$3:$M$3,0)),"null")</f>
        <v>null</v>
      </c>
      <c r="K7" s="82" t="str" cm="1">
        <f t="array" ref="K7">_xlfn.IFNA(INDEX('Aviation Synfuel Data'!$G$4:$M$22,MATCH('Aviation Synfuel-TSData'!$B7&amp;'Aviation Synfuel-TSData'!$C7&amp;$D7,'Aviation Synfuel Data'!$C$4:$C$22&amp;'Aviation Synfuel Data'!$A$4:$A$22&amp;'Aviation Synfuel Data'!$D$4:$D$22,0),MATCH(K$2,'Aviation Synfuel Data'!$G$3:$M$3,0)),"null")</f>
        <v>null</v>
      </c>
      <c r="L7" s="82" t="str" cm="1">
        <f t="array" ref="L7">_xlfn.IFNA(INDEX('Aviation Synfuel Data'!$G$4:$M$22,MATCH('Aviation Synfuel-TSData'!$B7&amp;'Aviation Synfuel-TSData'!$C7&amp;$D7,'Aviation Synfuel Data'!$C$4:$C$22&amp;'Aviation Synfuel Data'!$A$4:$A$22&amp;'Aviation Synfuel Data'!$D$4:$D$22,0),MATCH(L$2,'Aviation Synfuel Data'!$G$3:$M$3,0)),"null")</f>
        <v>null</v>
      </c>
      <c r="M7" s="82" t="str" cm="1">
        <f t="array" ref="M7">_xlfn.IFNA(INDEX('Aviation Synfuel Data'!$G$4:$M$22,MATCH('Aviation Synfuel-TSData'!$B7&amp;'Aviation Synfuel-TSData'!$C7&amp;$D7,'Aviation Synfuel Data'!$C$4:$C$22&amp;'Aviation Synfuel Data'!$A$4:$A$22&amp;'Aviation Synfuel Data'!$D$4:$D$22,0),MATCH(M$2,'Aviation Synfuel Data'!$G$3:$M$3,0)),"null")</f>
        <v>null</v>
      </c>
      <c r="N7" s="82" t="str" cm="1">
        <f t="array" ref="N7">_xlfn.IFNA(INDEX('Aviation Synfuel Data'!$G$4:$M$22,MATCH('Aviation Synfuel-TSData'!$B7&amp;'Aviation Synfuel-TSData'!$C7&amp;$D7,'Aviation Synfuel Data'!$C$4:$C$22&amp;'Aviation Synfuel Data'!$A$4:$A$22&amp;'Aviation Synfuel Data'!$D$4:$D$22,0),MATCH(N$2,'Aviation Synfuel Data'!$G$3:$M$3,0)),"null")</f>
        <v>null</v>
      </c>
      <c r="O7" s="82" t="str" cm="1">
        <f t="array" ref="O7">_xlfn.IFNA(INDEX('Aviation Synfuel Data'!$G$4:$M$22,MATCH('Aviation Synfuel-TSData'!$B7&amp;'Aviation Synfuel-TSData'!$C7&amp;$D7,'Aviation Synfuel Data'!$C$4:$C$22&amp;'Aviation Synfuel Data'!$A$4:$A$22&amp;'Aviation Synfuel Data'!$D$4:$D$22,0),MATCH(O$2,'Aviation Synfuel Data'!$G$3:$M$3,0)),"null")</f>
        <v>null</v>
      </c>
      <c r="P7" s="82" t="str" cm="1">
        <f t="array" ref="P7">_xlfn.IFNA(INDEX('Aviation Synfuel Data'!$G$4:$M$22,MATCH('Aviation Synfuel-TSData'!$B7&amp;'Aviation Synfuel-TSData'!$C7&amp;$D7,'Aviation Synfuel Data'!$C$4:$C$22&amp;'Aviation Synfuel Data'!$A$4:$A$22&amp;'Aviation Synfuel Data'!$D$4:$D$22,0),MATCH(P$2,'Aviation Synfuel Data'!$G$3:$M$3,0)),"null")</f>
        <v>null</v>
      </c>
      <c r="Q7" s="82" t="str" cm="1">
        <f t="array" ref="Q7">_xlfn.IFNA(INDEX('Aviation Synfuel Data'!$G$4:$M$22,MATCH('Aviation Synfuel-TSData'!$B7&amp;'Aviation Synfuel-TSData'!$C7&amp;$D7,'Aviation Synfuel Data'!$C$4:$C$22&amp;'Aviation Synfuel Data'!$A$4:$A$22&amp;'Aviation Synfuel Data'!$D$4:$D$22,0),MATCH(Q$2,'Aviation Synfuel Data'!$G$3:$M$3,0)),"null")</f>
        <v>null</v>
      </c>
      <c r="R7" s="82" cm="1">
        <f t="array" ref="R7">_xlfn.IFNA(INDEX('Aviation Synfuel Data'!$G$4:$M$22,MATCH('Aviation Synfuel-TSData'!$B7&amp;'Aviation Synfuel-TSData'!$C7&amp;$D7,'Aviation Synfuel Data'!$C$4:$C$22&amp;'Aviation Synfuel Data'!$A$4:$A$22&amp;'Aviation Synfuel Data'!$D$4:$D$22,0),MATCH(R$2,'Aviation Synfuel Data'!$G$3:$M$3,0)),"null")</f>
        <v>0.48816707501401374</v>
      </c>
      <c r="S7" s="82" t="str" cm="1">
        <f t="array" ref="S7">_xlfn.IFNA(INDEX('Aviation Synfuel Data'!$G$4:$M$22,MATCH('Aviation Synfuel-TSData'!$B7&amp;'Aviation Synfuel-TSData'!$C7&amp;$D7,'Aviation Synfuel Data'!$C$4:$C$22&amp;'Aviation Synfuel Data'!$A$4:$A$22&amp;'Aviation Synfuel Data'!$D$4:$D$22,0),MATCH(S$2,'Aviation Synfuel Data'!$G$3:$M$3,0)),"null")</f>
        <v>null</v>
      </c>
      <c r="T7" s="82" t="str" cm="1">
        <f t="array" ref="T7">_xlfn.IFNA(INDEX('Aviation Synfuel Data'!$G$4:$M$22,MATCH('Aviation Synfuel-TSData'!$B7&amp;'Aviation Synfuel-TSData'!$C7&amp;$D7,'Aviation Synfuel Data'!$C$4:$C$22&amp;'Aviation Synfuel Data'!$A$4:$A$22&amp;'Aviation Synfuel Data'!$D$4:$D$22,0),MATCH(T$2,'Aviation Synfuel Data'!$G$3:$M$3,0)),"null")</f>
        <v>null</v>
      </c>
      <c r="U7" s="82" t="str" cm="1">
        <f t="array" ref="U7">_xlfn.IFNA(INDEX('Aviation Synfuel Data'!$G$4:$M$22,MATCH('Aviation Synfuel-TSData'!$B7&amp;'Aviation Synfuel-TSData'!$C7&amp;$D7,'Aviation Synfuel Data'!$C$4:$C$22&amp;'Aviation Synfuel Data'!$A$4:$A$22&amp;'Aviation Synfuel Data'!$D$4:$D$22,0),MATCH(U$2,'Aviation Synfuel Data'!$G$3:$M$3,0)),"null")</f>
        <v>null</v>
      </c>
      <c r="V7" s="82" t="str" cm="1">
        <f t="array" ref="V7">_xlfn.IFNA(INDEX('Aviation Synfuel Data'!$G$4:$M$22,MATCH('Aviation Synfuel-TSData'!$B7&amp;'Aviation Synfuel-TSData'!$C7&amp;$D7,'Aviation Synfuel Data'!$C$4:$C$22&amp;'Aviation Synfuel Data'!$A$4:$A$22&amp;'Aviation Synfuel Data'!$D$4:$D$22,0),MATCH(V$2,'Aviation Synfuel Data'!$G$3:$M$3,0)),"null")</f>
        <v>null</v>
      </c>
      <c r="W7" s="82" t="str" cm="1">
        <f t="array" ref="W7">_xlfn.IFNA(INDEX('Aviation Synfuel Data'!$G$4:$M$22,MATCH('Aviation Synfuel-TSData'!$B7&amp;'Aviation Synfuel-TSData'!$C7&amp;$D7,'Aviation Synfuel Data'!$C$4:$C$22&amp;'Aviation Synfuel Data'!$A$4:$A$22&amp;'Aviation Synfuel Data'!$D$4:$D$22,0),MATCH(W$2,'Aviation Synfuel Data'!$G$3:$M$3,0)),"null")</f>
        <v>null</v>
      </c>
      <c r="X7" s="82" t="str" cm="1">
        <f t="array" ref="X7">_xlfn.IFNA(INDEX('Aviation Synfuel Data'!$G$4:$M$22,MATCH('Aviation Synfuel-TSData'!$B7&amp;'Aviation Synfuel-TSData'!$C7&amp;$D7,'Aviation Synfuel Data'!$C$4:$C$22&amp;'Aviation Synfuel Data'!$A$4:$A$22&amp;'Aviation Synfuel Data'!$D$4:$D$22,0),MATCH(X$2,'Aviation Synfuel Data'!$G$3:$M$3,0)),"null")</f>
        <v>null</v>
      </c>
      <c r="Y7" s="82" t="str" cm="1">
        <f t="array" ref="Y7">_xlfn.IFNA(INDEX('Aviation Synfuel Data'!$G$4:$M$22,MATCH('Aviation Synfuel-TSData'!$B7&amp;'Aviation Synfuel-TSData'!$C7&amp;$D7,'Aviation Synfuel Data'!$C$4:$C$22&amp;'Aviation Synfuel Data'!$A$4:$A$22&amp;'Aviation Synfuel Data'!$D$4:$D$22,0),MATCH(Y$2,'Aviation Synfuel Data'!$G$3:$M$3,0)),"null")</f>
        <v>null</v>
      </c>
      <c r="Z7" s="82" t="str" cm="1">
        <f t="array" ref="Z7">_xlfn.IFNA(INDEX('Aviation Synfuel Data'!$G$4:$M$22,MATCH('Aviation Synfuel-TSData'!$B7&amp;'Aviation Synfuel-TSData'!$C7&amp;$D7,'Aviation Synfuel Data'!$C$4:$C$22&amp;'Aviation Synfuel Data'!$A$4:$A$22&amp;'Aviation Synfuel Data'!$D$4:$D$22,0),MATCH(Z$2,'Aviation Synfuel Data'!$G$3:$M$3,0)),"null")</f>
        <v>null</v>
      </c>
      <c r="AA7" s="82" t="str" cm="1">
        <f t="array" ref="AA7">_xlfn.IFNA(INDEX('Aviation Synfuel Data'!$G$4:$M$22,MATCH('Aviation Synfuel-TSData'!$B7&amp;'Aviation Synfuel-TSData'!$C7&amp;$D7,'Aviation Synfuel Data'!$C$4:$C$22&amp;'Aviation Synfuel Data'!$A$4:$A$22&amp;'Aviation Synfuel Data'!$D$4:$D$22,0),MATCH(AA$2,'Aviation Synfuel Data'!$G$3:$M$3,0)),"null")</f>
        <v>null</v>
      </c>
      <c r="AB7" s="82" cm="1">
        <f t="array" ref="AB7">_xlfn.IFNA(INDEX('Aviation Synfuel Data'!$G$4:$M$22,MATCH('Aviation Synfuel-TSData'!$B7&amp;'Aviation Synfuel-TSData'!$C7&amp;$D7,'Aviation Synfuel Data'!$C$4:$C$22&amp;'Aviation Synfuel Data'!$A$4:$A$22&amp;'Aviation Synfuel Data'!$D$4:$D$22,0),MATCH(AB$2,'Aviation Synfuel Data'!$G$3:$M$3,0)),"null")</f>
        <v>0</v>
      </c>
      <c r="AC7" s="82" t="str" cm="1">
        <f t="array" ref="AC7">_xlfn.IFNA(INDEX('Aviation Synfuel Data'!$G$4:$M$22,MATCH('Aviation Synfuel-TSData'!$B7&amp;'Aviation Synfuel-TSData'!$C7&amp;$D7,'Aviation Synfuel Data'!$C$4:$C$22&amp;'Aviation Synfuel Data'!$A$4:$A$22&amp;'Aviation Synfuel Data'!$D$4:$D$22,0),MATCH(AC$2,'Aviation Synfuel Data'!$G$3:$M$3,0)),"null")</f>
        <v>null</v>
      </c>
      <c r="AD7" s="82" t="str" cm="1">
        <f t="array" ref="AD7">_xlfn.IFNA(INDEX('Aviation Synfuel Data'!$G$4:$M$22,MATCH('Aviation Synfuel-TSData'!$B7&amp;'Aviation Synfuel-TSData'!$C7&amp;$D7,'Aviation Synfuel Data'!$C$4:$C$22&amp;'Aviation Synfuel Data'!$A$4:$A$22&amp;'Aviation Synfuel Data'!$D$4:$D$22,0),MATCH(AD$2,'Aviation Synfuel Data'!$G$3:$M$3,0)),"null")</f>
        <v>null</v>
      </c>
      <c r="AE7" s="82" t="str" cm="1">
        <f t="array" ref="AE7">_xlfn.IFNA(INDEX('Aviation Synfuel Data'!$G$4:$M$22,MATCH('Aviation Synfuel-TSData'!$B7&amp;'Aviation Synfuel-TSData'!$C7&amp;$D7,'Aviation Synfuel Data'!$C$4:$C$22&amp;'Aviation Synfuel Data'!$A$4:$A$22&amp;'Aviation Synfuel Data'!$D$4:$D$22,0),MATCH(AE$2,'Aviation Synfuel Data'!$G$3:$M$3,0)),"null")</f>
        <v>null</v>
      </c>
      <c r="AF7" s="82" t="str" cm="1">
        <f t="array" ref="AF7">_xlfn.IFNA(INDEX('Aviation Synfuel Data'!$G$4:$M$22,MATCH('Aviation Synfuel-TSData'!$B7&amp;'Aviation Synfuel-TSData'!$C7&amp;$D7,'Aviation Synfuel Data'!$C$4:$C$22&amp;'Aviation Synfuel Data'!$A$4:$A$22&amp;'Aviation Synfuel Data'!$D$4:$D$22,0),MATCH(AF$2,'Aviation Synfuel Data'!$G$3:$M$3,0)),"null")</f>
        <v>null</v>
      </c>
      <c r="AG7" s="82" cm="1">
        <f t="array" ref="AG7">_xlfn.IFNA(INDEX('Aviation Synfuel Data'!$G$4:$M$22,MATCH('Aviation Synfuel-TSData'!$B7&amp;'Aviation Synfuel-TSData'!$C7&amp;$D7,'Aviation Synfuel Data'!$C$4:$C$22&amp;'Aviation Synfuel Data'!$A$4:$A$22&amp;'Aviation Synfuel Data'!$D$4:$D$22,0),MATCH(AG$2,'Aviation Synfuel Data'!$G$3:$M$3,0)),"null")</f>
        <v>0</v>
      </c>
      <c r="AH7" s="82" t="str" cm="1">
        <f t="array" ref="AH7">_xlfn.IFNA(INDEX('Aviation Synfuel Data'!$G$4:$M$22,MATCH('Aviation Synfuel-TSData'!$B7&amp;'Aviation Synfuel-TSData'!$C7&amp;$D7,'Aviation Synfuel Data'!$C$4:$C$22&amp;'Aviation Synfuel Data'!$A$4:$A$22&amp;'Aviation Synfuel Data'!$D$4:$D$22,0),MATCH(AH$2,'Aviation Synfuel Data'!$G$3:$M$3,0)),"null")</f>
        <v>null</v>
      </c>
      <c r="AI7" s="82" t="str" cm="1">
        <f t="array" ref="AI7">_xlfn.IFNA(INDEX('Aviation Synfuel Data'!$G$4:$M$22,MATCH('Aviation Synfuel-TSData'!$B7&amp;'Aviation Synfuel-TSData'!$C7&amp;$D7,'Aviation Synfuel Data'!$C$4:$C$22&amp;'Aviation Synfuel Data'!$A$4:$A$22&amp;'Aviation Synfuel Data'!$D$4:$D$22,0),MATCH(AI$2,'Aviation Synfuel Data'!$G$3:$M$3,0)),"null")</f>
        <v>null</v>
      </c>
      <c r="AJ7" s="82" t="str" cm="1">
        <f t="array" ref="AJ7">_xlfn.IFNA(INDEX('Aviation Synfuel Data'!$G$4:$M$22,MATCH('Aviation Synfuel-TSData'!$B7&amp;'Aviation Synfuel-TSData'!$C7&amp;$D7,'Aviation Synfuel Data'!$C$4:$C$22&amp;'Aviation Synfuel Data'!$A$4:$A$22&amp;'Aviation Synfuel Data'!$D$4:$D$22,0),MATCH(AJ$2,'Aviation Synfuel Data'!$G$3:$M$3,0)),"null")</f>
        <v>null</v>
      </c>
      <c r="AK7" s="82" t="str" cm="1">
        <f t="array" ref="AK7">_xlfn.IFNA(INDEX('Aviation Synfuel Data'!$G$4:$M$22,MATCH('Aviation Synfuel-TSData'!$B7&amp;'Aviation Synfuel-TSData'!$C7&amp;$D7,'Aviation Synfuel Data'!$C$4:$C$22&amp;'Aviation Synfuel Data'!$A$4:$A$22&amp;'Aviation Synfuel Data'!$D$4:$D$22,0),MATCH(AK$2,'Aviation Synfuel Data'!$G$3:$M$3,0)),"null")</f>
        <v>null</v>
      </c>
      <c r="AL7" s="82" cm="1">
        <f t="array" ref="AL7">_xlfn.IFNA(INDEX('Aviation Synfuel Data'!$G$4:$M$22,MATCH('Aviation Synfuel-TSData'!$B7&amp;'Aviation Synfuel-TSData'!$C7&amp;$D7,'Aviation Synfuel Data'!$C$4:$C$22&amp;'Aviation Synfuel Data'!$A$4:$A$22&amp;'Aviation Synfuel Data'!$D$4:$D$22,0),MATCH(AL$2,'Aviation Synfuel Data'!$G$3:$M$3,0)),"null")</f>
        <v>0</v>
      </c>
      <c r="AM7" s="82" t="str" cm="1">
        <f t="array" ref="AM7">_xlfn.IFNA(INDEX('Aviation Synfuel Data'!$G$4:$M$22,MATCH('Aviation Synfuel-TSData'!$B7&amp;'Aviation Synfuel-TSData'!$C7&amp;$D7,'Aviation Synfuel Data'!$C$4:$C$22&amp;'Aviation Synfuel Data'!$A$4:$A$22&amp;'Aviation Synfuel Data'!$D$4:$D$22,0),MATCH(AM$2,'Aviation Synfuel Data'!$G$3:$M$3,0)),"null")</f>
        <v>null</v>
      </c>
      <c r="AN7" s="82" cm="1">
        <f t="array" ref="AN7">_xlfn.IFNA(INDEX('Aviation Synfuel Data'!$G$4:$M$22,MATCH('Aviation Synfuel-TSData'!$B7&amp;'Aviation Synfuel-TSData'!$C7&amp;$D7,'Aviation Synfuel Data'!$C$4:$C$22&amp;'Aviation Synfuel Data'!$A$4:$A$22&amp;'Aviation Synfuel Data'!$D$4:$D$22,0),MATCH(AN$2,'Aviation Synfuel Data'!$G$3:$M$3,0)),"null")</f>
        <v>0</v>
      </c>
      <c r="AO7" s="82" cm="1">
        <f t="array" ref="AO7">_xlfn.IFNA(INDEX('Aviation Synfuel Data'!$G$4:$M$22,MATCH('Aviation Synfuel-TSData'!$B7&amp;'Aviation Synfuel-TSData'!$C7&amp;$D7,'Aviation Synfuel Data'!$C$4:$C$22&amp;'Aviation Synfuel Data'!$A$4:$A$22&amp;'Aviation Synfuel Data'!$D$4:$D$22,0),MATCH(AO$2,'Aviation Synfuel Data'!$G$3:$M$3,0)),"null")</f>
        <v>0</v>
      </c>
      <c r="AP7" s="82" cm="1">
        <f t="array" ref="AP7">_xlfn.IFNA(INDEX('Aviation Synfuel Data'!$G$4:$M$22,MATCH('Aviation Synfuel-TSData'!$B7&amp;'Aviation Synfuel-TSData'!$C7&amp;$D7,'Aviation Synfuel Data'!$C$4:$C$22&amp;'Aviation Synfuel Data'!$A$4:$A$22&amp;'Aviation Synfuel Data'!$D$4:$D$22,0),MATCH(AP$2,'Aviation Synfuel Data'!$G$3:$M$3,0)),"null")</f>
        <v>0</v>
      </c>
    </row>
    <row r="8" spans="1:42" x14ac:dyDescent="0.25">
      <c r="B8" t="s">
        <v>249</v>
      </c>
      <c r="C8" t="s">
        <v>238</v>
      </c>
      <c r="D8" t="str">
        <f>'Aviation Synfuel Data'!D6</f>
        <v>UPSELC</v>
      </c>
      <c r="E8" t="s">
        <v>261</v>
      </c>
      <c r="F8" t="s">
        <v>236</v>
      </c>
      <c r="G8" t="s">
        <v>291</v>
      </c>
      <c r="H8" t="s">
        <v>295</v>
      </c>
      <c r="I8">
        <v>3</v>
      </c>
      <c r="J8" s="82" t="str" cm="1">
        <f t="array" ref="J8">_xlfn.IFNA(INDEX('Aviation Synfuel Data'!$G$4:$M$22,MATCH('Aviation Synfuel-TSData'!$B8&amp;'Aviation Synfuel-TSData'!$C8&amp;$D8,'Aviation Synfuel Data'!$C$4:$C$22&amp;'Aviation Synfuel Data'!$A$4:$A$22&amp;'Aviation Synfuel Data'!$D$4:$D$22,0),MATCH(J$2,'Aviation Synfuel Data'!$G$3:$M$3,0)),"null")</f>
        <v>null</v>
      </c>
      <c r="K8" s="82" t="str" cm="1">
        <f t="array" ref="K8">_xlfn.IFNA(INDEX('Aviation Synfuel Data'!$G$4:$M$22,MATCH('Aviation Synfuel-TSData'!$B8&amp;'Aviation Synfuel-TSData'!$C8&amp;$D8,'Aviation Synfuel Data'!$C$4:$C$22&amp;'Aviation Synfuel Data'!$A$4:$A$22&amp;'Aviation Synfuel Data'!$D$4:$D$22,0),MATCH(K$2,'Aviation Synfuel Data'!$G$3:$M$3,0)),"null")</f>
        <v>null</v>
      </c>
      <c r="L8" s="82" t="str" cm="1">
        <f t="array" ref="L8">_xlfn.IFNA(INDEX('Aviation Synfuel Data'!$G$4:$M$22,MATCH('Aviation Synfuel-TSData'!$B8&amp;'Aviation Synfuel-TSData'!$C8&amp;$D8,'Aviation Synfuel Data'!$C$4:$C$22&amp;'Aviation Synfuel Data'!$A$4:$A$22&amp;'Aviation Synfuel Data'!$D$4:$D$22,0),MATCH(L$2,'Aviation Synfuel Data'!$G$3:$M$3,0)),"null")</f>
        <v>null</v>
      </c>
      <c r="M8" s="82" t="str" cm="1">
        <f t="array" ref="M8">_xlfn.IFNA(INDEX('Aviation Synfuel Data'!$G$4:$M$22,MATCH('Aviation Synfuel-TSData'!$B8&amp;'Aviation Synfuel-TSData'!$C8&amp;$D8,'Aviation Synfuel Data'!$C$4:$C$22&amp;'Aviation Synfuel Data'!$A$4:$A$22&amp;'Aviation Synfuel Data'!$D$4:$D$22,0),MATCH(M$2,'Aviation Synfuel Data'!$G$3:$M$3,0)),"null")</f>
        <v>null</v>
      </c>
      <c r="N8" s="82" t="str" cm="1">
        <f t="array" ref="N8">_xlfn.IFNA(INDEX('Aviation Synfuel Data'!$G$4:$M$22,MATCH('Aviation Synfuel-TSData'!$B8&amp;'Aviation Synfuel-TSData'!$C8&amp;$D8,'Aviation Synfuel Data'!$C$4:$C$22&amp;'Aviation Synfuel Data'!$A$4:$A$22&amp;'Aviation Synfuel Data'!$D$4:$D$22,0),MATCH(N$2,'Aviation Synfuel Data'!$G$3:$M$3,0)),"null")</f>
        <v>null</v>
      </c>
      <c r="O8" s="82" t="str" cm="1">
        <f t="array" ref="O8">_xlfn.IFNA(INDEX('Aviation Synfuel Data'!$G$4:$M$22,MATCH('Aviation Synfuel-TSData'!$B8&amp;'Aviation Synfuel-TSData'!$C8&amp;$D8,'Aviation Synfuel Data'!$C$4:$C$22&amp;'Aviation Synfuel Data'!$A$4:$A$22&amp;'Aviation Synfuel Data'!$D$4:$D$22,0),MATCH(O$2,'Aviation Synfuel Data'!$G$3:$M$3,0)),"null")</f>
        <v>null</v>
      </c>
      <c r="P8" s="82" t="str" cm="1">
        <f t="array" ref="P8">_xlfn.IFNA(INDEX('Aviation Synfuel Data'!$G$4:$M$22,MATCH('Aviation Synfuel-TSData'!$B8&amp;'Aviation Synfuel-TSData'!$C8&amp;$D8,'Aviation Synfuel Data'!$C$4:$C$22&amp;'Aviation Synfuel Data'!$A$4:$A$22&amp;'Aviation Synfuel Data'!$D$4:$D$22,0),MATCH(P$2,'Aviation Synfuel Data'!$G$3:$M$3,0)),"null")</f>
        <v>null</v>
      </c>
      <c r="Q8" s="82" t="str" cm="1">
        <f t="array" ref="Q8">_xlfn.IFNA(INDEX('Aviation Synfuel Data'!$G$4:$M$22,MATCH('Aviation Synfuel-TSData'!$B8&amp;'Aviation Synfuel-TSData'!$C8&amp;$D8,'Aviation Synfuel Data'!$C$4:$C$22&amp;'Aviation Synfuel Data'!$A$4:$A$22&amp;'Aviation Synfuel Data'!$D$4:$D$22,0),MATCH(Q$2,'Aviation Synfuel Data'!$G$3:$M$3,0)),"null")</f>
        <v>null</v>
      </c>
      <c r="R8" s="82" cm="1">
        <f t="array" ref="R8">_xlfn.IFNA(INDEX('Aviation Synfuel Data'!$G$4:$M$22,MATCH('Aviation Synfuel-TSData'!$B8&amp;'Aviation Synfuel-TSData'!$C8&amp;$D8,'Aviation Synfuel Data'!$C$4:$C$22&amp;'Aviation Synfuel Data'!$A$4:$A$22&amp;'Aviation Synfuel Data'!$D$4:$D$22,0),MATCH(R$2,'Aviation Synfuel Data'!$G$3:$M$3,0)),"null")</f>
        <v>7.7782839184601632E-2</v>
      </c>
      <c r="S8" s="82" t="str" cm="1">
        <f t="array" ref="S8">_xlfn.IFNA(INDEX('Aviation Synfuel Data'!$G$4:$M$22,MATCH('Aviation Synfuel-TSData'!$B8&amp;'Aviation Synfuel-TSData'!$C8&amp;$D8,'Aviation Synfuel Data'!$C$4:$C$22&amp;'Aviation Synfuel Data'!$A$4:$A$22&amp;'Aviation Synfuel Data'!$D$4:$D$22,0),MATCH(S$2,'Aviation Synfuel Data'!$G$3:$M$3,0)),"null")</f>
        <v>null</v>
      </c>
      <c r="T8" s="82" t="str" cm="1">
        <f t="array" ref="T8">_xlfn.IFNA(INDEX('Aviation Synfuel Data'!$G$4:$M$22,MATCH('Aviation Synfuel-TSData'!$B8&amp;'Aviation Synfuel-TSData'!$C8&amp;$D8,'Aviation Synfuel Data'!$C$4:$C$22&amp;'Aviation Synfuel Data'!$A$4:$A$22&amp;'Aviation Synfuel Data'!$D$4:$D$22,0),MATCH(T$2,'Aviation Synfuel Data'!$G$3:$M$3,0)),"null")</f>
        <v>null</v>
      </c>
      <c r="U8" s="82" t="str" cm="1">
        <f t="array" ref="U8">_xlfn.IFNA(INDEX('Aviation Synfuel Data'!$G$4:$M$22,MATCH('Aviation Synfuel-TSData'!$B8&amp;'Aviation Synfuel-TSData'!$C8&amp;$D8,'Aviation Synfuel Data'!$C$4:$C$22&amp;'Aviation Synfuel Data'!$A$4:$A$22&amp;'Aviation Synfuel Data'!$D$4:$D$22,0),MATCH(U$2,'Aviation Synfuel Data'!$G$3:$M$3,0)),"null")</f>
        <v>null</v>
      </c>
      <c r="V8" s="82" t="str" cm="1">
        <f t="array" ref="V8">_xlfn.IFNA(INDEX('Aviation Synfuel Data'!$G$4:$M$22,MATCH('Aviation Synfuel-TSData'!$B8&amp;'Aviation Synfuel-TSData'!$C8&amp;$D8,'Aviation Synfuel Data'!$C$4:$C$22&amp;'Aviation Synfuel Data'!$A$4:$A$22&amp;'Aviation Synfuel Data'!$D$4:$D$22,0),MATCH(V$2,'Aviation Synfuel Data'!$G$3:$M$3,0)),"null")</f>
        <v>null</v>
      </c>
      <c r="W8" s="82" t="str" cm="1">
        <f t="array" ref="W8">_xlfn.IFNA(INDEX('Aviation Synfuel Data'!$G$4:$M$22,MATCH('Aviation Synfuel-TSData'!$B8&amp;'Aviation Synfuel-TSData'!$C8&amp;$D8,'Aviation Synfuel Data'!$C$4:$C$22&amp;'Aviation Synfuel Data'!$A$4:$A$22&amp;'Aviation Synfuel Data'!$D$4:$D$22,0),MATCH(W$2,'Aviation Synfuel Data'!$G$3:$M$3,0)),"null")</f>
        <v>null</v>
      </c>
      <c r="X8" s="82" t="str" cm="1">
        <f t="array" ref="X8">_xlfn.IFNA(INDEX('Aviation Synfuel Data'!$G$4:$M$22,MATCH('Aviation Synfuel-TSData'!$B8&amp;'Aviation Synfuel-TSData'!$C8&amp;$D8,'Aviation Synfuel Data'!$C$4:$C$22&amp;'Aviation Synfuel Data'!$A$4:$A$22&amp;'Aviation Synfuel Data'!$D$4:$D$22,0),MATCH(X$2,'Aviation Synfuel Data'!$G$3:$M$3,0)),"null")</f>
        <v>null</v>
      </c>
      <c r="Y8" s="82" t="str" cm="1">
        <f t="array" ref="Y8">_xlfn.IFNA(INDEX('Aviation Synfuel Data'!$G$4:$M$22,MATCH('Aviation Synfuel-TSData'!$B8&amp;'Aviation Synfuel-TSData'!$C8&amp;$D8,'Aviation Synfuel Data'!$C$4:$C$22&amp;'Aviation Synfuel Data'!$A$4:$A$22&amp;'Aviation Synfuel Data'!$D$4:$D$22,0),MATCH(Y$2,'Aviation Synfuel Data'!$G$3:$M$3,0)),"null")</f>
        <v>null</v>
      </c>
      <c r="Z8" s="82" t="str" cm="1">
        <f t="array" ref="Z8">_xlfn.IFNA(INDEX('Aviation Synfuel Data'!$G$4:$M$22,MATCH('Aviation Synfuel-TSData'!$B8&amp;'Aviation Synfuel-TSData'!$C8&amp;$D8,'Aviation Synfuel Data'!$C$4:$C$22&amp;'Aviation Synfuel Data'!$A$4:$A$22&amp;'Aviation Synfuel Data'!$D$4:$D$22,0),MATCH(Z$2,'Aviation Synfuel Data'!$G$3:$M$3,0)),"null")</f>
        <v>null</v>
      </c>
      <c r="AA8" s="82" t="str" cm="1">
        <f t="array" ref="AA8">_xlfn.IFNA(INDEX('Aviation Synfuel Data'!$G$4:$M$22,MATCH('Aviation Synfuel-TSData'!$B8&amp;'Aviation Synfuel-TSData'!$C8&amp;$D8,'Aviation Synfuel Data'!$C$4:$C$22&amp;'Aviation Synfuel Data'!$A$4:$A$22&amp;'Aviation Synfuel Data'!$D$4:$D$22,0),MATCH(AA$2,'Aviation Synfuel Data'!$G$3:$M$3,0)),"null")</f>
        <v>null</v>
      </c>
      <c r="AB8" s="82" cm="1">
        <f t="array" ref="AB8">_xlfn.IFNA(INDEX('Aviation Synfuel Data'!$G$4:$M$22,MATCH('Aviation Synfuel-TSData'!$B8&amp;'Aviation Synfuel-TSData'!$C8&amp;$D8,'Aviation Synfuel Data'!$C$4:$C$22&amp;'Aviation Synfuel Data'!$A$4:$A$22&amp;'Aviation Synfuel Data'!$D$4:$D$22,0),MATCH(AB$2,'Aviation Synfuel Data'!$G$3:$M$3,0)),"null")</f>
        <v>7.7782839184601632E-2</v>
      </c>
      <c r="AC8" s="82" t="str" cm="1">
        <f t="array" ref="AC8">_xlfn.IFNA(INDEX('Aviation Synfuel Data'!$G$4:$M$22,MATCH('Aviation Synfuel-TSData'!$B8&amp;'Aviation Synfuel-TSData'!$C8&amp;$D8,'Aviation Synfuel Data'!$C$4:$C$22&amp;'Aviation Synfuel Data'!$A$4:$A$22&amp;'Aviation Synfuel Data'!$D$4:$D$22,0),MATCH(AC$2,'Aviation Synfuel Data'!$G$3:$M$3,0)),"null")</f>
        <v>null</v>
      </c>
      <c r="AD8" s="82" t="str" cm="1">
        <f t="array" ref="AD8">_xlfn.IFNA(INDEX('Aviation Synfuel Data'!$G$4:$M$22,MATCH('Aviation Synfuel-TSData'!$B8&amp;'Aviation Synfuel-TSData'!$C8&amp;$D8,'Aviation Synfuel Data'!$C$4:$C$22&amp;'Aviation Synfuel Data'!$A$4:$A$22&amp;'Aviation Synfuel Data'!$D$4:$D$22,0),MATCH(AD$2,'Aviation Synfuel Data'!$G$3:$M$3,0)),"null")</f>
        <v>null</v>
      </c>
      <c r="AE8" s="82" t="str" cm="1">
        <f t="array" ref="AE8">_xlfn.IFNA(INDEX('Aviation Synfuel Data'!$G$4:$M$22,MATCH('Aviation Synfuel-TSData'!$B8&amp;'Aviation Synfuel-TSData'!$C8&amp;$D8,'Aviation Synfuel Data'!$C$4:$C$22&amp;'Aviation Synfuel Data'!$A$4:$A$22&amp;'Aviation Synfuel Data'!$D$4:$D$22,0),MATCH(AE$2,'Aviation Synfuel Data'!$G$3:$M$3,0)),"null")</f>
        <v>null</v>
      </c>
      <c r="AF8" s="82" t="str" cm="1">
        <f t="array" ref="AF8">_xlfn.IFNA(INDEX('Aviation Synfuel Data'!$G$4:$M$22,MATCH('Aviation Synfuel-TSData'!$B8&amp;'Aviation Synfuel-TSData'!$C8&amp;$D8,'Aviation Synfuel Data'!$C$4:$C$22&amp;'Aviation Synfuel Data'!$A$4:$A$22&amp;'Aviation Synfuel Data'!$D$4:$D$22,0),MATCH(AF$2,'Aviation Synfuel Data'!$G$3:$M$3,0)),"null")</f>
        <v>null</v>
      </c>
      <c r="AG8" s="82" cm="1">
        <f t="array" ref="AG8">_xlfn.IFNA(INDEX('Aviation Synfuel Data'!$G$4:$M$22,MATCH('Aviation Synfuel-TSData'!$B8&amp;'Aviation Synfuel-TSData'!$C8&amp;$D8,'Aviation Synfuel Data'!$C$4:$C$22&amp;'Aviation Synfuel Data'!$A$4:$A$22&amp;'Aviation Synfuel Data'!$D$4:$D$22,0),MATCH(AG$2,'Aviation Synfuel Data'!$G$3:$M$3,0)),"null")</f>
        <v>7.7782839184601632E-2</v>
      </c>
      <c r="AH8" s="82" t="str" cm="1">
        <f t="array" ref="AH8">_xlfn.IFNA(INDEX('Aviation Synfuel Data'!$G$4:$M$22,MATCH('Aviation Synfuel-TSData'!$B8&amp;'Aviation Synfuel-TSData'!$C8&amp;$D8,'Aviation Synfuel Data'!$C$4:$C$22&amp;'Aviation Synfuel Data'!$A$4:$A$22&amp;'Aviation Synfuel Data'!$D$4:$D$22,0),MATCH(AH$2,'Aviation Synfuel Data'!$G$3:$M$3,0)),"null")</f>
        <v>null</v>
      </c>
      <c r="AI8" s="82" t="str" cm="1">
        <f t="array" ref="AI8">_xlfn.IFNA(INDEX('Aviation Synfuel Data'!$G$4:$M$22,MATCH('Aviation Synfuel-TSData'!$B8&amp;'Aviation Synfuel-TSData'!$C8&amp;$D8,'Aviation Synfuel Data'!$C$4:$C$22&amp;'Aviation Synfuel Data'!$A$4:$A$22&amp;'Aviation Synfuel Data'!$D$4:$D$22,0),MATCH(AI$2,'Aviation Synfuel Data'!$G$3:$M$3,0)),"null")</f>
        <v>null</v>
      </c>
      <c r="AJ8" s="82" t="str" cm="1">
        <f t="array" ref="AJ8">_xlfn.IFNA(INDEX('Aviation Synfuel Data'!$G$4:$M$22,MATCH('Aviation Synfuel-TSData'!$B8&amp;'Aviation Synfuel-TSData'!$C8&amp;$D8,'Aviation Synfuel Data'!$C$4:$C$22&amp;'Aviation Synfuel Data'!$A$4:$A$22&amp;'Aviation Synfuel Data'!$D$4:$D$22,0),MATCH(AJ$2,'Aviation Synfuel Data'!$G$3:$M$3,0)),"null")</f>
        <v>null</v>
      </c>
      <c r="AK8" s="82" t="str" cm="1">
        <f t="array" ref="AK8">_xlfn.IFNA(INDEX('Aviation Synfuel Data'!$G$4:$M$22,MATCH('Aviation Synfuel-TSData'!$B8&amp;'Aviation Synfuel-TSData'!$C8&amp;$D8,'Aviation Synfuel Data'!$C$4:$C$22&amp;'Aviation Synfuel Data'!$A$4:$A$22&amp;'Aviation Synfuel Data'!$D$4:$D$22,0),MATCH(AK$2,'Aviation Synfuel Data'!$G$3:$M$3,0)),"null")</f>
        <v>null</v>
      </c>
      <c r="AL8" s="82" cm="1">
        <f t="array" ref="AL8">_xlfn.IFNA(INDEX('Aviation Synfuel Data'!$G$4:$M$22,MATCH('Aviation Synfuel-TSData'!$B8&amp;'Aviation Synfuel-TSData'!$C8&amp;$D8,'Aviation Synfuel Data'!$C$4:$C$22&amp;'Aviation Synfuel Data'!$A$4:$A$22&amp;'Aviation Synfuel Data'!$D$4:$D$22,0),MATCH(AL$2,'Aviation Synfuel Data'!$G$3:$M$3,0)),"null")</f>
        <v>7.7782839184601632E-2</v>
      </c>
      <c r="AM8" s="82" t="str" cm="1">
        <f t="array" ref="AM8">_xlfn.IFNA(INDEX('Aviation Synfuel Data'!$G$4:$M$22,MATCH('Aviation Synfuel-TSData'!$B8&amp;'Aviation Synfuel-TSData'!$C8&amp;$D8,'Aviation Synfuel Data'!$C$4:$C$22&amp;'Aviation Synfuel Data'!$A$4:$A$22&amp;'Aviation Synfuel Data'!$D$4:$D$22,0),MATCH(AM$2,'Aviation Synfuel Data'!$G$3:$M$3,0)),"null")</f>
        <v>null</v>
      </c>
      <c r="AN8" s="82" cm="1">
        <f t="array" ref="AN8">_xlfn.IFNA(INDEX('Aviation Synfuel Data'!$G$4:$M$22,MATCH('Aviation Synfuel-TSData'!$B8&amp;'Aviation Synfuel-TSData'!$C8&amp;$D8,'Aviation Synfuel Data'!$C$4:$C$22&amp;'Aviation Synfuel Data'!$A$4:$A$22&amp;'Aviation Synfuel Data'!$D$4:$D$22,0),MATCH(AN$2,'Aviation Synfuel Data'!$G$3:$M$3,0)),"null")</f>
        <v>7.7782839184601632E-2</v>
      </c>
      <c r="AO8" s="82" cm="1">
        <f t="array" ref="AO8">_xlfn.IFNA(INDEX('Aviation Synfuel Data'!$G$4:$M$22,MATCH('Aviation Synfuel-TSData'!$B8&amp;'Aviation Synfuel-TSData'!$C8&amp;$D8,'Aviation Synfuel Data'!$C$4:$C$22&amp;'Aviation Synfuel Data'!$A$4:$A$22&amp;'Aviation Synfuel Data'!$D$4:$D$22,0),MATCH(AO$2,'Aviation Synfuel Data'!$G$3:$M$3,0)),"null")</f>
        <v>7.7782839184601632E-2</v>
      </c>
      <c r="AP8" s="82" cm="1">
        <f t="array" ref="AP8">_xlfn.IFNA(INDEX('Aviation Synfuel Data'!$G$4:$M$22,MATCH('Aviation Synfuel-TSData'!$B8&amp;'Aviation Synfuel-TSData'!$C8&amp;$D8,'Aviation Synfuel Data'!$C$4:$C$22&amp;'Aviation Synfuel Data'!$A$4:$A$22&amp;'Aviation Synfuel Data'!$D$4:$D$22,0),MATCH(AP$2,'Aviation Synfuel Data'!$G$3:$M$3,0)),"null")</f>
        <v>7.7782839184601632E-2</v>
      </c>
    </row>
    <row r="9" spans="1:42" x14ac:dyDescent="0.25">
      <c r="B9" t="s">
        <v>249</v>
      </c>
      <c r="C9" t="s">
        <v>238</v>
      </c>
      <c r="D9" t="str">
        <f>'Aviation Synfuel Data'!D7</f>
        <v>HGN</v>
      </c>
      <c r="E9" t="s">
        <v>261</v>
      </c>
      <c r="F9" t="s">
        <v>236</v>
      </c>
      <c r="G9" t="s">
        <v>291</v>
      </c>
      <c r="H9" t="s">
        <v>295</v>
      </c>
      <c r="I9">
        <v>3</v>
      </c>
      <c r="J9" s="82" t="str" cm="1">
        <f t="array" ref="J9">_xlfn.IFNA(INDEX('Aviation Synfuel Data'!$G$4:$M$22,MATCH('Aviation Synfuel-TSData'!$B9&amp;'Aviation Synfuel-TSData'!$C9&amp;$D9,'Aviation Synfuel Data'!$C$4:$C$22&amp;'Aviation Synfuel Data'!$A$4:$A$22&amp;'Aviation Synfuel Data'!$D$4:$D$22,0),MATCH(J$2,'Aviation Synfuel Data'!$G$3:$M$3,0)),"null")</f>
        <v>null</v>
      </c>
      <c r="K9" s="82" t="str" cm="1">
        <f t="array" ref="K9">_xlfn.IFNA(INDEX('Aviation Synfuel Data'!$G$4:$M$22,MATCH('Aviation Synfuel-TSData'!$B9&amp;'Aviation Synfuel-TSData'!$C9&amp;$D9,'Aviation Synfuel Data'!$C$4:$C$22&amp;'Aviation Synfuel Data'!$A$4:$A$22&amp;'Aviation Synfuel Data'!$D$4:$D$22,0),MATCH(K$2,'Aviation Synfuel Data'!$G$3:$M$3,0)),"null")</f>
        <v>null</v>
      </c>
      <c r="L9" s="82" t="str" cm="1">
        <f t="array" ref="L9">_xlfn.IFNA(INDEX('Aviation Synfuel Data'!$G$4:$M$22,MATCH('Aviation Synfuel-TSData'!$B9&amp;'Aviation Synfuel-TSData'!$C9&amp;$D9,'Aviation Synfuel Data'!$C$4:$C$22&amp;'Aviation Synfuel Data'!$A$4:$A$22&amp;'Aviation Synfuel Data'!$D$4:$D$22,0),MATCH(L$2,'Aviation Synfuel Data'!$G$3:$M$3,0)),"null")</f>
        <v>null</v>
      </c>
      <c r="M9" s="82" t="str" cm="1">
        <f t="array" ref="M9">_xlfn.IFNA(INDEX('Aviation Synfuel Data'!$G$4:$M$22,MATCH('Aviation Synfuel-TSData'!$B9&amp;'Aviation Synfuel-TSData'!$C9&amp;$D9,'Aviation Synfuel Data'!$C$4:$C$22&amp;'Aviation Synfuel Data'!$A$4:$A$22&amp;'Aviation Synfuel Data'!$D$4:$D$22,0),MATCH(M$2,'Aviation Synfuel Data'!$G$3:$M$3,0)),"null")</f>
        <v>null</v>
      </c>
      <c r="N9" s="82" t="str" cm="1">
        <f t="array" ref="N9">_xlfn.IFNA(INDEX('Aviation Synfuel Data'!$G$4:$M$22,MATCH('Aviation Synfuel-TSData'!$B9&amp;'Aviation Synfuel-TSData'!$C9&amp;$D9,'Aviation Synfuel Data'!$C$4:$C$22&amp;'Aviation Synfuel Data'!$A$4:$A$22&amp;'Aviation Synfuel Data'!$D$4:$D$22,0),MATCH(N$2,'Aviation Synfuel Data'!$G$3:$M$3,0)),"null")</f>
        <v>null</v>
      </c>
      <c r="O9" s="82" t="str" cm="1">
        <f t="array" ref="O9">_xlfn.IFNA(INDEX('Aviation Synfuel Data'!$G$4:$M$22,MATCH('Aviation Synfuel-TSData'!$B9&amp;'Aviation Synfuel-TSData'!$C9&amp;$D9,'Aviation Synfuel Data'!$C$4:$C$22&amp;'Aviation Synfuel Data'!$A$4:$A$22&amp;'Aviation Synfuel Data'!$D$4:$D$22,0),MATCH(O$2,'Aviation Synfuel Data'!$G$3:$M$3,0)),"null")</f>
        <v>null</v>
      </c>
      <c r="P9" s="82" t="str" cm="1">
        <f t="array" ref="P9">_xlfn.IFNA(INDEX('Aviation Synfuel Data'!$G$4:$M$22,MATCH('Aviation Synfuel-TSData'!$B9&amp;'Aviation Synfuel-TSData'!$C9&amp;$D9,'Aviation Synfuel Data'!$C$4:$C$22&amp;'Aviation Synfuel Data'!$A$4:$A$22&amp;'Aviation Synfuel Data'!$D$4:$D$22,0),MATCH(P$2,'Aviation Synfuel Data'!$G$3:$M$3,0)),"null")</f>
        <v>null</v>
      </c>
      <c r="Q9" s="82" t="str" cm="1">
        <f t="array" ref="Q9">_xlfn.IFNA(INDEX('Aviation Synfuel Data'!$G$4:$M$22,MATCH('Aviation Synfuel-TSData'!$B9&amp;'Aviation Synfuel-TSData'!$C9&amp;$D9,'Aviation Synfuel Data'!$C$4:$C$22&amp;'Aviation Synfuel Data'!$A$4:$A$22&amp;'Aviation Synfuel Data'!$D$4:$D$22,0),MATCH(Q$2,'Aviation Synfuel Data'!$G$3:$M$3,0)),"null")</f>
        <v>null</v>
      </c>
      <c r="R9" s="82" cm="1">
        <f t="array" ref="R9">_xlfn.IFNA(INDEX('Aviation Synfuel Data'!$G$4:$M$22,MATCH('Aviation Synfuel-TSData'!$B9&amp;'Aviation Synfuel-TSData'!$C9&amp;$D9,'Aviation Synfuel Data'!$C$4:$C$22&amp;'Aviation Synfuel Data'!$A$4:$A$22&amp;'Aviation Synfuel Data'!$D$4:$D$22,0),MATCH(R$2,'Aviation Synfuel Data'!$G$3:$M$3,0)),"null")</f>
        <v>0.92221716081539828</v>
      </c>
      <c r="S9" s="82" t="str" cm="1">
        <f t="array" ref="S9">_xlfn.IFNA(INDEX('Aviation Synfuel Data'!$G$4:$M$22,MATCH('Aviation Synfuel-TSData'!$B9&amp;'Aviation Synfuel-TSData'!$C9&amp;$D9,'Aviation Synfuel Data'!$C$4:$C$22&amp;'Aviation Synfuel Data'!$A$4:$A$22&amp;'Aviation Synfuel Data'!$D$4:$D$22,0),MATCH(S$2,'Aviation Synfuel Data'!$G$3:$M$3,0)),"null")</f>
        <v>null</v>
      </c>
      <c r="T9" s="82" t="str" cm="1">
        <f t="array" ref="T9">_xlfn.IFNA(INDEX('Aviation Synfuel Data'!$G$4:$M$22,MATCH('Aviation Synfuel-TSData'!$B9&amp;'Aviation Synfuel-TSData'!$C9&amp;$D9,'Aviation Synfuel Data'!$C$4:$C$22&amp;'Aviation Synfuel Data'!$A$4:$A$22&amp;'Aviation Synfuel Data'!$D$4:$D$22,0),MATCH(T$2,'Aviation Synfuel Data'!$G$3:$M$3,0)),"null")</f>
        <v>null</v>
      </c>
      <c r="U9" s="82" t="str" cm="1">
        <f t="array" ref="U9">_xlfn.IFNA(INDEX('Aviation Synfuel Data'!$G$4:$M$22,MATCH('Aviation Synfuel-TSData'!$B9&amp;'Aviation Synfuel-TSData'!$C9&amp;$D9,'Aviation Synfuel Data'!$C$4:$C$22&amp;'Aviation Synfuel Data'!$A$4:$A$22&amp;'Aviation Synfuel Data'!$D$4:$D$22,0),MATCH(U$2,'Aviation Synfuel Data'!$G$3:$M$3,0)),"null")</f>
        <v>null</v>
      </c>
      <c r="V9" s="82" t="str" cm="1">
        <f t="array" ref="V9">_xlfn.IFNA(INDEX('Aviation Synfuel Data'!$G$4:$M$22,MATCH('Aviation Synfuel-TSData'!$B9&amp;'Aviation Synfuel-TSData'!$C9&amp;$D9,'Aviation Synfuel Data'!$C$4:$C$22&amp;'Aviation Synfuel Data'!$A$4:$A$22&amp;'Aviation Synfuel Data'!$D$4:$D$22,0),MATCH(V$2,'Aviation Synfuel Data'!$G$3:$M$3,0)),"null")</f>
        <v>null</v>
      </c>
      <c r="W9" s="82" t="str" cm="1">
        <f t="array" ref="W9">_xlfn.IFNA(INDEX('Aviation Synfuel Data'!$G$4:$M$22,MATCH('Aviation Synfuel-TSData'!$B9&amp;'Aviation Synfuel-TSData'!$C9&amp;$D9,'Aviation Synfuel Data'!$C$4:$C$22&amp;'Aviation Synfuel Data'!$A$4:$A$22&amp;'Aviation Synfuel Data'!$D$4:$D$22,0),MATCH(W$2,'Aviation Synfuel Data'!$G$3:$M$3,0)),"null")</f>
        <v>null</v>
      </c>
      <c r="X9" s="82" t="str" cm="1">
        <f t="array" ref="X9">_xlfn.IFNA(INDEX('Aviation Synfuel Data'!$G$4:$M$22,MATCH('Aviation Synfuel-TSData'!$B9&amp;'Aviation Synfuel-TSData'!$C9&amp;$D9,'Aviation Synfuel Data'!$C$4:$C$22&amp;'Aviation Synfuel Data'!$A$4:$A$22&amp;'Aviation Synfuel Data'!$D$4:$D$22,0),MATCH(X$2,'Aviation Synfuel Data'!$G$3:$M$3,0)),"null")</f>
        <v>null</v>
      </c>
      <c r="Y9" s="82" t="str" cm="1">
        <f t="array" ref="Y9">_xlfn.IFNA(INDEX('Aviation Synfuel Data'!$G$4:$M$22,MATCH('Aviation Synfuel-TSData'!$B9&amp;'Aviation Synfuel-TSData'!$C9&amp;$D9,'Aviation Synfuel Data'!$C$4:$C$22&amp;'Aviation Synfuel Data'!$A$4:$A$22&amp;'Aviation Synfuel Data'!$D$4:$D$22,0),MATCH(Y$2,'Aviation Synfuel Data'!$G$3:$M$3,0)),"null")</f>
        <v>null</v>
      </c>
      <c r="Z9" s="82" t="str" cm="1">
        <f t="array" ref="Z9">_xlfn.IFNA(INDEX('Aviation Synfuel Data'!$G$4:$M$22,MATCH('Aviation Synfuel-TSData'!$B9&amp;'Aviation Synfuel-TSData'!$C9&amp;$D9,'Aviation Synfuel Data'!$C$4:$C$22&amp;'Aviation Synfuel Data'!$A$4:$A$22&amp;'Aviation Synfuel Data'!$D$4:$D$22,0),MATCH(Z$2,'Aviation Synfuel Data'!$G$3:$M$3,0)),"null")</f>
        <v>null</v>
      </c>
      <c r="AA9" s="82" t="str" cm="1">
        <f t="array" ref="AA9">_xlfn.IFNA(INDEX('Aviation Synfuel Data'!$G$4:$M$22,MATCH('Aviation Synfuel-TSData'!$B9&amp;'Aviation Synfuel-TSData'!$C9&amp;$D9,'Aviation Synfuel Data'!$C$4:$C$22&amp;'Aviation Synfuel Data'!$A$4:$A$22&amp;'Aviation Synfuel Data'!$D$4:$D$22,0),MATCH(AA$2,'Aviation Synfuel Data'!$G$3:$M$3,0)),"null")</f>
        <v>null</v>
      </c>
      <c r="AB9" s="82" cm="1">
        <f t="array" ref="AB9">_xlfn.IFNA(INDEX('Aviation Synfuel Data'!$G$4:$M$22,MATCH('Aviation Synfuel-TSData'!$B9&amp;'Aviation Synfuel-TSData'!$C9&amp;$D9,'Aviation Synfuel Data'!$C$4:$C$22&amp;'Aviation Synfuel Data'!$A$4:$A$22&amp;'Aviation Synfuel Data'!$D$4:$D$22,0),MATCH(AB$2,'Aviation Synfuel Data'!$G$3:$M$3,0)),"null")</f>
        <v>0.92221716081539828</v>
      </c>
      <c r="AC9" s="82" t="str" cm="1">
        <f t="array" ref="AC9">_xlfn.IFNA(INDEX('Aviation Synfuel Data'!$G$4:$M$22,MATCH('Aviation Synfuel-TSData'!$B9&amp;'Aviation Synfuel-TSData'!$C9&amp;$D9,'Aviation Synfuel Data'!$C$4:$C$22&amp;'Aviation Synfuel Data'!$A$4:$A$22&amp;'Aviation Synfuel Data'!$D$4:$D$22,0),MATCH(AC$2,'Aviation Synfuel Data'!$G$3:$M$3,0)),"null")</f>
        <v>null</v>
      </c>
      <c r="AD9" s="82" t="str" cm="1">
        <f t="array" ref="AD9">_xlfn.IFNA(INDEX('Aviation Synfuel Data'!$G$4:$M$22,MATCH('Aviation Synfuel-TSData'!$B9&amp;'Aviation Synfuel-TSData'!$C9&amp;$D9,'Aviation Synfuel Data'!$C$4:$C$22&amp;'Aviation Synfuel Data'!$A$4:$A$22&amp;'Aviation Synfuel Data'!$D$4:$D$22,0),MATCH(AD$2,'Aviation Synfuel Data'!$G$3:$M$3,0)),"null")</f>
        <v>null</v>
      </c>
      <c r="AE9" s="82" t="str" cm="1">
        <f t="array" ref="AE9">_xlfn.IFNA(INDEX('Aviation Synfuel Data'!$G$4:$M$22,MATCH('Aviation Synfuel-TSData'!$B9&amp;'Aviation Synfuel-TSData'!$C9&amp;$D9,'Aviation Synfuel Data'!$C$4:$C$22&amp;'Aviation Synfuel Data'!$A$4:$A$22&amp;'Aviation Synfuel Data'!$D$4:$D$22,0),MATCH(AE$2,'Aviation Synfuel Data'!$G$3:$M$3,0)),"null")</f>
        <v>null</v>
      </c>
      <c r="AF9" s="82" t="str" cm="1">
        <f t="array" ref="AF9">_xlfn.IFNA(INDEX('Aviation Synfuel Data'!$G$4:$M$22,MATCH('Aviation Synfuel-TSData'!$B9&amp;'Aviation Synfuel-TSData'!$C9&amp;$D9,'Aviation Synfuel Data'!$C$4:$C$22&amp;'Aviation Synfuel Data'!$A$4:$A$22&amp;'Aviation Synfuel Data'!$D$4:$D$22,0),MATCH(AF$2,'Aviation Synfuel Data'!$G$3:$M$3,0)),"null")</f>
        <v>null</v>
      </c>
      <c r="AG9" s="82" cm="1">
        <f t="array" ref="AG9">_xlfn.IFNA(INDEX('Aviation Synfuel Data'!$G$4:$M$22,MATCH('Aviation Synfuel-TSData'!$B9&amp;'Aviation Synfuel-TSData'!$C9&amp;$D9,'Aviation Synfuel Data'!$C$4:$C$22&amp;'Aviation Synfuel Data'!$A$4:$A$22&amp;'Aviation Synfuel Data'!$D$4:$D$22,0),MATCH(AG$2,'Aviation Synfuel Data'!$G$3:$M$3,0)),"null")</f>
        <v>0.92221716081539828</v>
      </c>
      <c r="AH9" s="82" t="str" cm="1">
        <f t="array" ref="AH9">_xlfn.IFNA(INDEX('Aviation Synfuel Data'!$G$4:$M$22,MATCH('Aviation Synfuel-TSData'!$B9&amp;'Aviation Synfuel-TSData'!$C9&amp;$D9,'Aviation Synfuel Data'!$C$4:$C$22&amp;'Aviation Synfuel Data'!$A$4:$A$22&amp;'Aviation Synfuel Data'!$D$4:$D$22,0),MATCH(AH$2,'Aviation Synfuel Data'!$G$3:$M$3,0)),"null")</f>
        <v>null</v>
      </c>
      <c r="AI9" s="82" t="str" cm="1">
        <f t="array" ref="AI9">_xlfn.IFNA(INDEX('Aviation Synfuel Data'!$G$4:$M$22,MATCH('Aviation Synfuel-TSData'!$B9&amp;'Aviation Synfuel-TSData'!$C9&amp;$D9,'Aviation Synfuel Data'!$C$4:$C$22&amp;'Aviation Synfuel Data'!$A$4:$A$22&amp;'Aviation Synfuel Data'!$D$4:$D$22,0),MATCH(AI$2,'Aviation Synfuel Data'!$G$3:$M$3,0)),"null")</f>
        <v>null</v>
      </c>
      <c r="AJ9" s="82" t="str" cm="1">
        <f t="array" ref="AJ9">_xlfn.IFNA(INDEX('Aviation Synfuel Data'!$G$4:$M$22,MATCH('Aviation Synfuel-TSData'!$B9&amp;'Aviation Synfuel-TSData'!$C9&amp;$D9,'Aviation Synfuel Data'!$C$4:$C$22&amp;'Aviation Synfuel Data'!$A$4:$A$22&amp;'Aviation Synfuel Data'!$D$4:$D$22,0),MATCH(AJ$2,'Aviation Synfuel Data'!$G$3:$M$3,0)),"null")</f>
        <v>null</v>
      </c>
      <c r="AK9" s="82" t="str" cm="1">
        <f t="array" ref="AK9">_xlfn.IFNA(INDEX('Aviation Synfuel Data'!$G$4:$M$22,MATCH('Aviation Synfuel-TSData'!$B9&amp;'Aviation Synfuel-TSData'!$C9&amp;$D9,'Aviation Synfuel Data'!$C$4:$C$22&amp;'Aviation Synfuel Data'!$A$4:$A$22&amp;'Aviation Synfuel Data'!$D$4:$D$22,0),MATCH(AK$2,'Aviation Synfuel Data'!$G$3:$M$3,0)),"null")</f>
        <v>null</v>
      </c>
      <c r="AL9" s="82" cm="1">
        <f t="array" ref="AL9">_xlfn.IFNA(INDEX('Aviation Synfuel Data'!$G$4:$M$22,MATCH('Aviation Synfuel-TSData'!$B9&amp;'Aviation Synfuel-TSData'!$C9&amp;$D9,'Aviation Synfuel Data'!$C$4:$C$22&amp;'Aviation Synfuel Data'!$A$4:$A$22&amp;'Aviation Synfuel Data'!$D$4:$D$22,0),MATCH(AL$2,'Aviation Synfuel Data'!$G$3:$M$3,0)),"null")</f>
        <v>0.92221716081539828</v>
      </c>
      <c r="AM9" s="82" t="str" cm="1">
        <f t="array" ref="AM9">_xlfn.IFNA(INDEX('Aviation Synfuel Data'!$G$4:$M$22,MATCH('Aviation Synfuel-TSData'!$B9&amp;'Aviation Synfuel-TSData'!$C9&amp;$D9,'Aviation Synfuel Data'!$C$4:$C$22&amp;'Aviation Synfuel Data'!$A$4:$A$22&amp;'Aviation Synfuel Data'!$D$4:$D$22,0),MATCH(AM$2,'Aviation Synfuel Data'!$G$3:$M$3,0)),"null")</f>
        <v>null</v>
      </c>
      <c r="AN9" s="82" cm="1">
        <f t="array" ref="AN9">_xlfn.IFNA(INDEX('Aviation Synfuel Data'!$G$4:$M$22,MATCH('Aviation Synfuel-TSData'!$B9&amp;'Aviation Synfuel-TSData'!$C9&amp;$D9,'Aviation Synfuel Data'!$C$4:$C$22&amp;'Aviation Synfuel Data'!$A$4:$A$22&amp;'Aviation Synfuel Data'!$D$4:$D$22,0),MATCH(AN$2,'Aviation Synfuel Data'!$G$3:$M$3,0)),"null")</f>
        <v>0.92221716081539828</v>
      </c>
      <c r="AO9" s="82" cm="1">
        <f t="array" ref="AO9">_xlfn.IFNA(INDEX('Aviation Synfuel Data'!$G$4:$M$22,MATCH('Aviation Synfuel-TSData'!$B9&amp;'Aviation Synfuel-TSData'!$C9&amp;$D9,'Aviation Synfuel Data'!$C$4:$C$22&amp;'Aviation Synfuel Data'!$A$4:$A$22&amp;'Aviation Synfuel Data'!$D$4:$D$22,0),MATCH(AO$2,'Aviation Synfuel Data'!$G$3:$M$3,0)),"null")</f>
        <v>0.92221716081539828</v>
      </c>
      <c r="AP9" s="82" cm="1">
        <f t="array" ref="AP9">_xlfn.IFNA(INDEX('Aviation Synfuel Data'!$G$4:$M$22,MATCH('Aviation Synfuel-TSData'!$B9&amp;'Aviation Synfuel-TSData'!$C9&amp;$D9,'Aviation Synfuel Data'!$C$4:$C$22&amp;'Aviation Synfuel Data'!$A$4:$A$22&amp;'Aviation Synfuel Data'!$D$4:$D$22,0),MATCH(AP$2,'Aviation Synfuel Data'!$G$3:$M$3,0)),"null")</f>
        <v>0.92221716081539828</v>
      </c>
    </row>
    <row r="10" spans="1:42" x14ac:dyDescent="0.25">
      <c r="B10" t="s">
        <v>46</v>
      </c>
      <c r="C10" t="s">
        <v>238</v>
      </c>
      <c r="D10" t="s">
        <v>236</v>
      </c>
      <c r="E10" t="s">
        <v>236</v>
      </c>
      <c r="F10" t="s">
        <v>236</v>
      </c>
      <c r="G10" t="s">
        <v>236</v>
      </c>
      <c r="H10" t="s">
        <v>241</v>
      </c>
      <c r="I10">
        <v>3</v>
      </c>
      <c r="J10" s="82" t="str">
        <f t="array" ref="J10">_xlfn.IFNA(INDEX('Aviation Synfuel Data'!$G$4:$M$22,MATCH('Aviation Synfuel-TSData'!$B10&amp;'Aviation Synfuel-TSData'!$C10&amp;$H10,'Aviation Synfuel Data'!$C$4:$C$22&amp;'Aviation Synfuel Data'!$A$4:$A$22&amp;'Aviation Synfuel Data'!$D$4:$D$22,0),MATCH(J$2,'Aviation Synfuel Data'!$G$3:$M$3,0)),"null")</f>
        <v>null</v>
      </c>
      <c r="K10" s="82" t="str">
        <f t="array" ref="K10">_xlfn.IFNA(INDEX('Aviation Synfuel Data'!$G$4:$M$22,MATCH('Aviation Synfuel-TSData'!$B10&amp;'Aviation Synfuel-TSData'!$C10&amp;$H10,'Aviation Synfuel Data'!$C$4:$C$22&amp;'Aviation Synfuel Data'!$A$4:$A$22&amp;'Aviation Synfuel Data'!$D$4:$D$22,0),MATCH(K$2,'Aviation Synfuel Data'!$G$3:$M$3,0)),"null")</f>
        <v>null</v>
      </c>
      <c r="L10" s="82" t="str">
        <f t="array" ref="L10">_xlfn.IFNA(INDEX('Aviation Synfuel Data'!$G$4:$M$22,MATCH('Aviation Synfuel-TSData'!$B10&amp;'Aviation Synfuel-TSData'!$C10&amp;$H10,'Aviation Synfuel Data'!$C$4:$C$22&amp;'Aviation Synfuel Data'!$A$4:$A$22&amp;'Aviation Synfuel Data'!$D$4:$D$22,0),MATCH(L$2,'Aviation Synfuel Data'!$G$3:$M$3,0)),"null")</f>
        <v>null</v>
      </c>
      <c r="M10" s="82" t="str">
        <f t="array" ref="M10">_xlfn.IFNA(INDEX('Aviation Synfuel Data'!$G$4:$M$22,MATCH('Aviation Synfuel-TSData'!$B10&amp;'Aviation Synfuel-TSData'!$C10&amp;$H10,'Aviation Synfuel Data'!$C$4:$C$22&amp;'Aviation Synfuel Data'!$A$4:$A$22&amp;'Aviation Synfuel Data'!$D$4:$D$22,0),MATCH(M$2,'Aviation Synfuel Data'!$G$3:$M$3,0)),"null")</f>
        <v>null</v>
      </c>
      <c r="N10" s="82" t="str">
        <f t="array" ref="N10">_xlfn.IFNA(INDEX('Aviation Synfuel Data'!$G$4:$M$22,MATCH('Aviation Synfuel-TSData'!$B10&amp;'Aviation Synfuel-TSData'!$C10&amp;$H10,'Aviation Synfuel Data'!$C$4:$C$22&amp;'Aviation Synfuel Data'!$A$4:$A$22&amp;'Aviation Synfuel Data'!$D$4:$D$22,0),MATCH(N$2,'Aviation Synfuel Data'!$G$3:$M$3,0)),"null")</f>
        <v>null</v>
      </c>
      <c r="O10" s="82" t="str">
        <f t="array" ref="O10">_xlfn.IFNA(INDEX('Aviation Synfuel Data'!$G$4:$M$22,MATCH('Aviation Synfuel-TSData'!$B10&amp;'Aviation Synfuel-TSData'!$C10&amp;$H10,'Aviation Synfuel Data'!$C$4:$C$22&amp;'Aviation Synfuel Data'!$A$4:$A$22&amp;'Aviation Synfuel Data'!$D$4:$D$22,0),MATCH(O$2,'Aviation Synfuel Data'!$G$3:$M$3,0)),"null")</f>
        <v>null</v>
      </c>
      <c r="P10" s="82" t="str">
        <f t="array" ref="P10">_xlfn.IFNA(INDEX('Aviation Synfuel Data'!$G$4:$M$22,MATCH('Aviation Synfuel-TSData'!$B10&amp;'Aviation Synfuel-TSData'!$C10&amp;$H10,'Aviation Synfuel Data'!$C$4:$C$22&amp;'Aviation Synfuel Data'!$A$4:$A$22&amp;'Aviation Synfuel Data'!$D$4:$D$22,0),MATCH(P$2,'Aviation Synfuel Data'!$G$3:$M$3,0)),"null")</f>
        <v>null</v>
      </c>
      <c r="Q10" s="82" t="str">
        <f t="array" ref="Q10">_xlfn.IFNA(INDEX('Aviation Synfuel Data'!$G$4:$M$22,MATCH('Aviation Synfuel-TSData'!$B10&amp;'Aviation Synfuel-TSData'!$C10&amp;$H10,'Aviation Synfuel Data'!$C$4:$C$22&amp;'Aviation Synfuel Data'!$A$4:$A$22&amp;'Aviation Synfuel Data'!$D$4:$D$22,0),MATCH(Q$2,'Aviation Synfuel Data'!$G$3:$M$3,0)),"null")</f>
        <v>null</v>
      </c>
      <c r="R10" s="82">
        <f t="array" ref="R10">_xlfn.IFNA(INDEX('Aviation Synfuel Data'!$G$4:$M$22,MATCH('Aviation Synfuel-TSData'!$B10&amp;'Aviation Synfuel-TSData'!$C10&amp;$H10,'Aviation Synfuel Data'!$C$4:$C$22&amp;'Aviation Synfuel Data'!$A$4:$A$22&amp;'Aviation Synfuel Data'!$D$4:$D$22,0),MATCH(R$2,'Aviation Synfuel Data'!$G$3:$M$3,0)),"null")</f>
        <v>0.5</v>
      </c>
      <c r="S10" s="82" t="str">
        <f t="array" ref="S10">_xlfn.IFNA(INDEX('Aviation Synfuel Data'!$G$4:$M$22,MATCH('Aviation Synfuel-TSData'!$B10&amp;'Aviation Synfuel-TSData'!$C10&amp;$H10,'Aviation Synfuel Data'!$C$4:$C$22&amp;'Aviation Synfuel Data'!$A$4:$A$22&amp;'Aviation Synfuel Data'!$D$4:$D$22,0),MATCH(S$2,'Aviation Synfuel Data'!$G$3:$M$3,0)),"null")</f>
        <v>null</v>
      </c>
      <c r="T10" s="82" t="str">
        <f t="array" ref="T10">_xlfn.IFNA(INDEX('Aviation Synfuel Data'!$G$4:$M$22,MATCH('Aviation Synfuel-TSData'!$B10&amp;'Aviation Synfuel-TSData'!$C10&amp;$H10,'Aviation Synfuel Data'!$C$4:$C$22&amp;'Aviation Synfuel Data'!$A$4:$A$22&amp;'Aviation Synfuel Data'!$D$4:$D$22,0),MATCH(T$2,'Aviation Synfuel Data'!$G$3:$M$3,0)),"null")</f>
        <v>null</v>
      </c>
      <c r="U10" s="82" t="str">
        <f t="array" ref="U10">_xlfn.IFNA(INDEX('Aviation Synfuel Data'!$G$4:$M$22,MATCH('Aviation Synfuel-TSData'!$B10&amp;'Aviation Synfuel-TSData'!$C10&amp;$H10,'Aviation Synfuel Data'!$C$4:$C$22&amp;'Aviation Synfuel Data'!$A$4:$A$22&amp;'Aviation Synfuel Data'!$D$4:$D$22,0),MATCH(U$2,'Aviation Synfuel Data'!$G$3:$M$3,0)),"null")</f>
        <v>null</v>
      </c>
      <c r="V10" s="82" t="str">
        <f t="array" ref="V10">_xlfn.IFNA(INDEX('Aviation Synfuel Data'!$G$4:$M$22,MATCH('Aviation Synfuel-TSData'!$B10&amp;'Aviation Synfuel-TSData'!$C10&amp;$H10,'Aviation Synfuel Data'!$C$4:$C$22&amp;'Aviation Synfuel Data'!$A$4:$A$22&amp;'Aviation Synfuel Data'!$D$4:$D$22,0),MATCH(V$2,'Aviation Synfuel Data'!$G$3:$M$3,0)),"null")</f>
        <v>null</v>
      </c>
      <c r="W10" s="82" t="str">
        <f t="array" ref="W10">_xlfn.IFNA(INDEX('Aviation Synfuel Data'!$G$4:$M$22,MATCH('Aviation Synfuel-TSData'!$B10&amp;'Aviation Synfuel-TSData'!$C10&amp;$H10,'Aviation Synfuel Data'!$C$4:$C$22&amp;'Aviation Synfuel Data'!$A$4:$A$22&amp;'Aviation Synfuel Data'!$D$4:$D$22,0),MATCH(W$2,'Aviation Synfuel Data'!$G$3:$M$3,0)),"null")</f>
        <v>null</v>
      </c>
      <c r="X10" s="82" t="str">
        <f t="array" ref="X10">_xlfn.IFNA(INDEX('Aviation Synfuel Data'!$G$4:$M$22,MATCH('Aviation Synfuel-TSData'!$B10&amp;'Aviation Synfuel-TSData'!$C10&amp;$H10,'Aviation Synfuel Data'!$C$4:$C$22&amp;'Aviation Synfuel Data'!$A$4:$A$22&amp;'Aviation Synfuel Data'!$D$4:$D$22,0),MATCH(X$2,'Aviation Synfuel Data'!$G$3:$M$3,0)),"null")</f>
        <v>null</v>
      </c>
      <c r="Y10" s="82" t="str">
        <f t="array" ref="Y10">_xlfn.IFNA(INDEX('Aviation Synfuel Data'!$G$4:$M$22,MATCH('Aviation Synfuel-TSData'!$B10&amp;'Aviation Synfuel-TSData'!$C10&amp;$H10,'Aviation Synfuel Data'!$C$4:$C$22&amp;'Aviation Synfuel Data'!$A$4:$A$22&amp;'Aviation Synfuel Data'!$D$4:$D$22,0),MATCH(Y$2,'Aviation Synfuel Data'!$G$3:$M$3,0)),"null")</f>
        <v>null</v>
      </c>
      <c r="Z10" s="82" t="str">
        <f t="array" ref="Z10">_xlfn.IFNA(INDEX('Aviation Synfuel Data'!$G$4:$M$22,MATCH('Aviation Synfuel-TSData'!$B10&amp;'Aviation Synfuel-TSData'!$C10&amp;$H10,'Aviation Synfuel Data'!$C$4:$C$22&amp;'Aviation Synfuel Data'!$A$4:$A$22&amp;'Aviation Synfuel Data'!$D$4:$D$22,0),MATCH(Z$2,'Aviation Synfuel Data'!$G$3:$M$3,0)),"null")</f>
        <v>null</v>
      </c>
      <c r="AA10" s="82" t="str">
        <f t="array" ref="AA10">_xlfn.IFNA(INDEX('Aviation Synfuel Data'!$G$4:$M$22,MATCH('Aviation Synfuel-TSData'!$B10&amp;'Aviation Synfuel-TSData'!$C10&amp;$H10,'Aviation Synfuel Data'!$C$4:$C$22&amp;'Aviation Synfuel Data'!$A$4:$A$22&amp;'Aviation Synfuel Data'!$D$4:$D$22,0),MATCH(AA$2,'Aviation Synfuel Data'!$G$3:$M$3,0)),"null")</f>
        <v>null</v>
      </c>
      <c r="AB10" s="82">
        <f t="array" ref="AB10">_xlfn.IFNA(INDEX('Aviation Synfuel Data'!$G$4:$M$22,MATCH('Aviation Synfuel-TSData'!$B10&amp;'Aviation Synfuel-TSData'!$C10&amp;$H10,'Aviation Synfuel Data'!$C$4:$C$22&amp;'Aviation Synfuel Data'!$A$4:$A$22&amp;'Aviation Synfuel Data'!$D$4:$D$22,0),MATCH(AB$2,'Aviation Synfuel Data'!$G$3:$M$3,0)),"null")</f>
        <v>0.5</v>
      </c>
      <c r="AC10" s="82" t="str">
        <f t="array" ref="AC10">_xlfn.IFNA(INDEX('Aviation Synfuel Data'!$G$4:$M$22,MATCH('Aviation Synfuel-TSData'!$B10&amp;'Aviation Synfuel-TSData'!$C10&amp;$H10,'Aviation Synfuel Data'!$C$4:$C$22&amp;'Aviation Synfuel Data'!$A$4:$A$22&amp;'Aviation Synfuel Data'!$D$4:$D$22,0),MATCH(AC$2,'Aviation Synfuel Data'!$G$3:$M$3,0)),"null")</f>
        <v>null</v>
      </c>
      <c r="AD10" s="82" t="str">
        <f t="array" ref="AD10">_xlfn.IFNA(INDEX('Aviation Synfuel Data'!$G$4:$M$22,MATCH('Aviation Synfuel-TSData'!$B10&amp;'Aviation Synfuel-TSData'!$C10&amp;$H10,'Aviation Synfuel Data'!$C$4:$C$22&amp;'Aviation Synfuel Data'!$A$4:$A$22&amp;'Aviation Synfuel Data'!$D$4:$D$22,0),MATCH(AD$2,'Aviation Synfuel Data'!$G$3:$M$3,0)),"null")</f>
        <v>null</v>
      </c>
      <c r="AE10" s="82" t="str">
        <f t="array" ref="AE10">_xlfn.IFNA(INDEX('Aviation Synfuel Data'!$G$4:$M$22,MATCH('Aviation Synfuel-TSData'!$B10&amp;'Aviation Synfuel-TSData'!$C10&amp;$H10,'Aviation Synfuel Data'!$C$4:$C$22&amp;'Aviation Synfuel Data'!$A$4:$A$22&amp;'Aviation Synfuel Data'!$D$4:$D$22,0),MATCH(AE$2,'Aviation Synfuel Data'!$G$3:$M$3,0)),"null")</f>
        <v>null</v>
      </c>
      <c r="AF10" s="82" t="str">
        <f t="array" ref="AF10">_xlfn.IFNA(INDEX('Aviation Synfuel Data'!$G$4:$M$22,MATCH('Aviation Synfuel-TSData'!$B10&amp;'Aviation Synfuel-TSData'!$C10&amp;$H10,'Aviation Synfuel Data'!$C$4:$C$22&amp;'Aviation Synfuel Data'!$A$4:$A$22&amp;'Aviation Synfuel Data'!$D$4:$D$22,0),MATCH(AF$2,'Aviation Synfuel Data'!$G$3:$M$3,0)),"null")</f>
        <v>null</v>
      </c>
      <c r="AG10" s="82">
        <f t="array" ref="AG10">_xlfn.IFNA(INDEX('Aviation Synfuel Data'!$G$4:$M$22,MATCH('Aviation Synfuel-TSData'!$B10&amp;'Aviation Synfuel-TSData'!$C10&amp;$H10,'Aviation Synfuel Data'!$C$4:$C$22&amp;'Aviation Synfuel Data'!$A$4:$A$22&amp;'Aviation Synfuel Data'!$D$4:$D$22,0),MATCH(AG$2,'Aviation Synfuel Data'!$G$3:$M$3,0)),"null")</f>
        <v>0.5</v>
      </c>
      <c r="AH10" s="82" t="str">
        <f t="array" ref="AH10">_xlfn.IFNA(INDEX('Aviation Synfuel Data'!$G$4:$M$22,MATCH('Aviation Synfuel-TSData'!$B10&amp;'Aviation Synfuel-TSData'!$C10&amp;$H10,'Aviation Synfuel Data'!$C$4:$C$22&amp;'Aviation Synfuel Data'!$A$4:$A$22&amp;'Aviation Synfuel Data'!$D$4:$D$22,0),MATCH(AH$2,'Aviation Synfuel Data'!$G$3:$M$3,0)),"null")</f>
        <v>null</v>
      </c>
      <c r="AI10" s="82" t="str">
        <f t="array" ref="AI10">_xlfn.IFNA(INDEX('Aviation Synfuel Data'!$G$4:$M$22,MATCH('Aviation Synfuel-TSData'!$B10&amp;'Aviation Synfuel-TSData'!$C10&amp;$H10,'Aviation Synfuel Data'!$C$4:$C$22&amp;'Aviation Synfuel Data'!$A$4:$A$22&amp;'Aviation Synfuel Data'!$D$4:$D$22,0),MATCH(AI$2,'Aviation Synfuel Data'!$G$3:$M$3,0)),"null")</f>
        <v>null</v>
      </c>
      <c r="AJ10" s="82" t="str">
        <f t="array" ref="AJ10">_xlfn.IFNA(INDEX('Aviation Synfuel Data'!$G$4:$M$22,MATCH('Aviation Synfuel-TSData'!$B10&amp;'Aviation Synfuel-TSData'!$C10&amp;$H10,'Aviation Synfuel Data'!$C$4:$C$22&amp;'Aviation Synfuel Data'!$A$4:$A$22&amp;'Aviation Synfuel Data'!$D$4:$D$22,0),MATCH(AJ$2,'Aviation Synfuel Data'!$G$3:$M$3,0)),"null")</f>
        <v>null</v>
      </c>
      <c r="AK10" s="82" t="str">
        <f t="array" ref="AK10">_xlfn.IFNA(INDEX('Aviation Synfuel Data'!$G$4:$M$22,MATCH('Aviation Synfuel-TSData'!$B10&amp;'Aviation Synfuel-TSData'!$C10&amp;$H10,'Aviation Synfuel Data'!$C$4:$C$22&amp;'Aviation Synfuel Data'!$A$4:$A$22&amp;'Aviation Synfuel Data'!$D$4:$D$22,0),MATCH(AK$2,'Aviation Synfuel Data'!$G$3:$M$3,0)),"null")</f>
        <v>null</v>
      </c>
      <c r="AL10" s="82">
        <f t="array" ref="AL10">_xlfn.IFNA(INDEX('Aviation Synfuel Data'!$G$4:$M$22,MATCH('Aviation Synfuel-TSData'!$B10&amp;'Aviation Synfuel-TSData'!$C10&amp;$H10,'Aviation Synfuel Data'!$C$4:$C$22&amp;'Aviation Synfuel Data'!$A$4:$A$22&amp;'Aviation Synfuel Data'!$D$4:$D$22,0),MATCH(AL$2,'Aviation Synfuel Data'!$G$3:$M$3,0)),"null")</f>
        <v>0.5</v>
      </c>
      <c r="AM10" s="82" t="str">
        <f t="array" ref="AM10">_xlfn.IFNA(INDEX('Aviation Synfuel Data'!$G$4:$M$22,MATCH('Aviation Synfuel-TSData'!$B10&amp;'Aviation Synfuel-TSData'!$C10&amp;$H10,'Aviation Synfuel Data'!$C$4:$C$22&amp;'Aviation Synfuel Data'!$A$4:$A$22&amp;'Aviation Synfuel Data'!$D$4:$D$22,0),MATCH(AM$2,'Aviation Synfuel Data'!$G$3:$M$3,0)),"null")</f>
        <v>null</v>
      </c>
      <c r="AN10" s="82">
        <f t="array" ref="AN10">_xlfn.IFNA(INDEX('Aviation Synfuel Data'!$G$4:$M$22,MATCH('Aviation Synfuel-TSData'!$B10&amp;'Aviation Synfuel-TSData'!$C10&amp;$H10,'Aviation Synfuel Data'!$C$4:$C$22&amp;'Aviation Synfuel Data'!$A$4:$A$22&amp;'Aviation Synfuel Data'!$D$4:$D$22,0),MATCH(AN$2,'Aviation Synfuel Data'!$G$3:$M$3,0)),"null")</f>
        <v>0.5</v>
      </c>
      <c r="AO10" s="82">
        <f t="array" ref="AO10">_xlfn.IFNA(INDEX('Aviation Synfuel Data'!$G$4:$M$22,MATCH('Aviation Synfuel-TSData'!$B10&amp;'Aviation Synfuel-TSData'!$C10&amp;$H10,'Aviation Synfuel Data'!$C$4:$C$22&amp;'Aviation Synfuel Data'!$A$4:$A$22&amp;'Aviation Synfuel Data'!$D$4:$D$22,0),MATCH(AO$2,'Aviation Synfuel Data'!$G$3:$M$3,0)),"null")</f>
        <v>0.5</v>
      </c>
      <c r="AP10" s="82">
        <f t="array" ref="AP10">_xlfn.IFNA(INDEX('Aviation Synfuel Data'!$G$4:$M$22,MATCH('Aviation Synfuel-TSData'!$B10&amp;'Aviation Synfuel-TSData'!$C10&amp;$H10,'Aviation Synfuel Data'!$C$4:$C$22&amp;'Aviation Synfuel Data'!$A$4:$A$22&amp;'Aviation Synfuel Data'!$D$4:$D$22,0),MATCH(AP$2,'Aviation Synfuel Data'!$G$3:$M$3,0)),"null")</f>
        <v>0.5</v>
      </c>
    </row>
    <row r="11" spans="1:42" x14ac:dyDescent="0.25">
      <c r="B11" t="s">
        <v>46</v>
      </c>
      <c r="C11" t="s">
        <v>238</v>
      </c>
      <c r="D11" t="s">
        <v>236</v>
      </c>
      <c r="E11" t="s">
        <v>236</v>
      </c>
      <c r="F11" t="s">
        <v>236</v>
      </c>
      <c r="G11" t="s">
        <v>236</v>
      </c>
      <c r="H11" t="s">
        <v>243</v>
      </c>
      <c r="I11">
        <v>3</v>
      </c>
      <c r="J11" s="82" t="str">
        <f t="array" ref="J11">_xlfn.IFNA(INDEX('Aviation Synfuel Data'!$G$4:$M$22,MATCH('Aviation Synfuel-TSData'!$B11&amp;'Aviation Synfuel-TSData'!$C11&amp;$H11,'Aviation Synfuel Data'!$C$4:$C$22&amp;'Aviation Synfuel Data'!$A$4:$A$22&amp;'Aviation Synfuel Data'!$D$4:$D$22,0),MATCH(J$2,'Aviation Synfuel Data'!$G$3:$M$3,0)),"null")</f>
        <v>null</v>
      </c>
      <c r="K11" s="82" t="str">
        <f t="array" ref="K11">_xlfn.IFNA(INDEX('Aviation Synfuel Data'!$G$4:$M$22,MATCH('Aviation Synfuel-TSData'!$B11&amp;'Aviation Synfuel-TSData'!$C11&amp;$H11,'Aviation Synfuel Data'!$C$4:$C$22&amp;'Aviation Synfuel Data'!$A$4:$A$22&amp;'Aviation Synfuel Data'!$D$4:$D$22,0),MATCH(K$2,'Aviation Synfuel Data'!$G$3:$M$3,0)),"null")</f>
        <v>null</v>
      </c>
      <c r="L11" s="82" t="str">
        <f t="array" ref="L11">_xlfn.IFNA(INDEX('Aviation Synfuel Data'!$G$4:$M$22,MATCH('Aviation Synfuel-TSData'!$B11&amp;'Aviation Synfuel-TSData'!$C11&amp;$H11,'Aviation Synfuel Data'!$C$4:$C$22&amp;'Aviation Synfuel Data'!$A$4:$A$22&amp;'Aviation Synfuel Data'!$D$4:$D$22,0),MATCH(L$2,'Aviation Synfuel Data'!$G$3:$M$3,0)),"null")</f>
        <v>null</v>
      </c>
      <c r="M11" s="82" t="str">
        <f t="array" ref="M11">_xlfn.IFNA(INDEX('Aviation Synfuel Data'!$G$4:$M$22,MATCH('Aviation Synfuel-TSData'!$B11&amp;'Aviation Synfuel-TSData'!$C11&amp;$H11,'Aviation Synfuel Data'!$C$4:$C$22&amp;'Aviation Synfuel Data'!$A$4:$A$22&amp;'Aviation Synfuel Data'!$D$4:$D$22,0),MATCH(M$2,'Aviation Synfuel Data'!$G$3:$M$3,0)),"null")</f>
        <v>null</v>
      </c>
      <c r="N11" s="82" t="str">
        <f t="array" ref="N11">_xlfn.IFNA(INDEX('Aviation Synfuel Data'!$G$4:$M$22,MATCH('Aviation Synfuel-TSData'!$B11&amp;'Aviation Synfuel-TSData'!$C11&amp;$H11,'Aviation Synfuel Data'!$C$4:$C$22&amp;'Aviation Synfuel Data'!$A$4:$A$22&amp;'Aviation Synfuel Data'!$D$4:$D$22,0),MATCH(N$2,'Aviation Synfuel Data'!$G$3:$M$3,0)),"null")</f>
        <v>null</v>
      </c>
      <c r="O11" s="82" t="str">
        <f t="array" ref="O11">_xlfn.IFNA(INDEX('Aviation Synfuel Data'!$G$4:$M$22,MATCH('Aviation Synfuel-TSData'!$B11&amp;'Aviation Synfuel-TSData'!$C11&amp;$H11,'Aviation Synfuel Data'!$C$4:$C$22&amp;'Aviation Synfuel Data'!$A$4:$A$22&amp;'Aviation Synfuel Data'!$D$4:$D$22,0),MATCH(O$2,'Aviation Synfuel Data'!$G$3:$M$3,0)),"null")</f>
        <v>null</v>
      </c>
      <c r="P11" s="82" t="str">
        <f t="array" ref="P11">_xlfn.IFNA(INDEX('Aviation Synfuel Data'!$G$4:$M$22,MATCH('Aviation Synfuel-TSData'!$B11&amp;'Aviation Synfuel-TSData'!$C11&amp;$H11,'Aviation Synfuel Data'!$C$4:$C$22&amp;'Aviation Synfuel Data'!$A$4:$A$22&amp;'Aviation Synfuel Data'!$D$4:$D$22,0),MATCH(P$2,'Aviation Synfuel Data'!$G$3:$M$3,0)),"null")</f>
        <v>null</v>
      </c>
      <c r="Q11" s="82" t="str">
        <f t="array" ref="Q11">_xlfn.IFNA(INDEX('Aviation Synfuel Data'!$G$4:$M$22,MATCH('Aviation Synfuel-TSData'!$B11&amp;'Aviation Synfuel-TSData'!$C11&amp;$H11,'Aviation Synfuel Data'!$C$4:$C$22&amp;'Aviation Synfuel Data'!$A$4:$A$22&amp;'Aviation Synfuel Data'!$D$4:$D$22,0),MATCH(Q$2,'Aviation Synfuel Data'!$G$3:$M$3,0)),"null")</f>
        <v>null</v>
      </c>
      <c r="R11" s="82">
        <f t="array" ref="R11">_xlfn.IFNA(INDEX('Aviation Synfuel Data'!$G$4:$M$22,MATCH('Aviation Synfuel-TSData'!$B11&amp;'Aviation Synfuel-TSData'!$C11&amp;$H11,'Aviation Synfuel Data'!$C$4:$C$22&amp;'Aviation Synfuel Data'!$A$4:$A$22&amp;'Aviation Synfuel Data'!$D$4:$D$22,0),MATCH(R$2,'Aviation Synfuel Data'!$G$3:$M$3,0)),"null")</f>
        <v>0.91324200913242004</v>
      </c>
      <c r="S11" s="82" t="str">
        <f t="array" ref="S11">_xlfn.IFNA(INDEX('Aviation Synfuel Data'!$G$4:$M$22,MATCH('Aviation Synfuel-TSData'!$B11&amp;'Aviation Synfuel-TSData'!$C11&amp;$H11,'Aviation Synfuel Data'!$C$4:$C$22&amp;'Aviation Synfuel Data'!$A$4:$A$22&amp;'Aviation Synfuel Data'!$D$4:$D$22,0),MATCH(S$2,'Aviation Synfuel Data'!$G$3:$M$3,0)),"null")</f>
        <v>null</v>
      </c>
      <c r="T11" s="82" t="str">
        <f t="array" ref="T11">_xlfn.IFNA(INDEX('Aviation Synfuel Data'!$G$4:$M$22,MATCH('Aviation Synfuel-TSData'!$B11&amp;'Aviation Synfuel-TSData'!$C11&amp;$H11,'Aviation Synfuel Data'!$C$4:$C$22&amp;'Aviation Synfuel Data'!$A$4:$A$22&amp;'Aviation Synfuel Data'!$D$4:$D$22,0),MATCH(T$2,'Aviation Synfuel Data'!$G$3:$M$3,0)),"null")</f>
        <v>null</v>
      </c>
      <c r="U11" s="82" t="str">
        <f t="array" ref="U11">_xlfn.IFNA(INDEX('Aviation Synfuel Data'!$G$4:$M$22,MATCH('Aviation Synfuel-TSData'!$B11&amp;'Aviation Synfuel-TSData'!$C11&amp;$H11,'Aviation Synfuel Data'!$C$4:$C$22&amp;'Aviation Synfuel Data'!$A$4:$A$22&amp;'Aviation Synfuel Data'!$D$4:$D$22,0),MATCH(U$2,'Aviation Synfuel Data'!$G$3:$M$3,0)),"null")</f>
        <v>null</v>
      </c>
      <c r="V11" s="82" t="str">
        <f t="array" ref="V11">_xlfn.IFNA(INDEX('Aviation Synfuel Data'!$G$4:$M$22,MATCH('Aviation Synfuel-TSData'!$B11&amp;'Aviation Synfuel-TSData'!$C11&amp;$H11,'Aviation Synfuel Data'!$C$4:$C$22&amp;'Aviation Synfuel Data'!$A$4:$A$22&amp;'Aviation Synfuel Data'!$D$4:$D$22,0),MATCH(V$2,'Aviation Synfuel Data'!$G$3:$M$3,0)),"null")</f>
        <v>null</v>
      </c>
      <c r="W11" s="82" t="str">
        <f t="array" ref="W11">_xlfn.IFNA(INDEX('Aviation Synfuel Data'!$G$4:$M$22,MATCH('Aviation Synfuel-TSData'!$B11&amp;'Aviation Synfuel-TSData'!$C11&amp;$H11,'Aviation Synfuel Data'!$C$4:$C$22&amp;'Aviation Synfuel Data'!$A$4:$A$22&amp;'Aviation Synfuel Data'!$D$4:$D$22,0),MATCH(W$2,'Aviation Synfuel Data'!$G$3:$M$3,0)),"null")</f>
        <v>null</v>
      </c>
      <c r="X11" s="82" t="str">
        <f t="array" ref="X11">_xlfn.IFNA(INDEX('Aviation Synfuel Data'!$G$4:$M$22,MATCH('Aviation Synfuel-TSData'!$B11&amp;'Aviation Synfuel-TSData'!$C11&amp;$H11,'Aviation Synfuel Data'!$C$4:$C$22&amp;'Aviation Synfuel Data'!$A$4:$A$22&amp;'Aviation Synfuel Data'!$D$4:$D$22,0),MATCH(X$2,'Aviation Synfuel Data'!$G$3:$M$3,0)),"null")</f>
        <v>null</v>
      </c>
      <c r="Y11" s="82" t="str">
        <f t="array" ref="Y11">_xlfn.IFNA(INDEX('Aviation Synfuel Data'!$G$4:$M$22,MATCH('Aviation Synfuel-TSData'!$B11&amp;'Aviation Synfuel-TSData'!$C11&amp;$H11,'Aviation Synfuel Data'!$C$4:$C$22&amp;'Aviation Synfuel Data'!$A$4:$A$22&amp;'Aviation Synfuel Data'!$D$4:$D$22,0),MATCH(Y$2,'Aviation Synfuel Data'!$G$3:$M$3,0)),"null")</f>
        <v>null</v>
      </c>
      <c r="Z11" s="82" t="str">
        <f t="array" ref="Z11">_xlfn.IFNA(INDEX('Aviation Synfuel Data'!$G$4:$M$22,MATCH('Aviation Synfuel-TSData'!$B11&amp;'Aviation Synfuel-TSData'!$C11&amp;$H11,'Aviation Synfuel Data'!$C$4:$C$22&amp;'Aviation Synfuel Data'!$A$4:$A$22&amp;'Aviation Synfuel Data'!$D$4:$D$22,0),MATCH(Z$2,'Aviation Synfuel Data'!$G$3:$M$3,0)),"null")</f>
        <v>null</v>
      </c>
      <c r="AA11" s="82" t="str">
        <f t="array" ref="AA11">_xlfn.IFNA(INDEX('Aviation Synfuel Data'!$G$4:$M$22,MATCH('Aviation Synfuel-TSData'!$B11&amp;'Aviation Synfuel-TSData'!$C11&amp;$H11,'Aviation Synfuel Data'!$C$4:$C$22&amp;'Aviation Synfuel Data'!$A$4:$A$22&amp;'Aviation Synfuel Data'!$D$4:$D$22,0),MATCH(AA$2,'Aviation Synfuel Data'!$G$3:$M$3,0)),"null")</f>
        <v>null</v>
      </c>
      <c r="AB11" s="82">
        <f t="array" ref="AB11">_xlfn.IFNA(INDEX('Aviation Synfuel Data'!$G$4:$M$22,MATCH('Aviation Synfuel-TSData'!$B11&amp;'Aviation Synfuel-TSData'!$C11&amp;$H11,'Aviation Synfuel Data'!$C$4:$C$22&amp;'Aviation Synfuel Data'!$A$4:$A$22&amp;'Aviation Synfuel Data'!$D$4:$D$22,0),MATCH(AB$2,'Aviation Synfuel Data'!$G$3:$M$3,0)),"null")</f>
        <v>0.91324200913242004</v>
      </c>
      <c r="AC11" s="82" t="str">
        <f t="array" ref="AC11">_xlfn.IFNA(INDEX('Aviation Synfuel Data'!$G$4:$M$22,MATCH('Aviation Synfuel-TSData'!$B11&amp;'Aviation Synfuel-TSData'!$C11&amp;$H11,'Aviation Synfuel Data'!$C$4:$C$22&amp;'Aviation Synfuel Data'!$A$4:$A$22&amp;'Aviation Synfuel Data'!$D$4:$D$22,0),MATCH(AC$2,'Aviation Synfuel Data'!$G$3:$M$3,0)),"null")</f>
        <v>null</v>
      </c>
      <c r="AD11" s="82" t="str">
        <f t="array" ref="AD11">_xlfn.IFNA(INDEX('Aviation Synfuel Data'!$G$4:$M$22,MATCH('Aviation Synfuel-TSData'!$B11&amp;'Aviation Synfuel-TSData'!$C11&amp;$H11,'Aviation Synfuel Data'!$C$4:$C$22&amp;'Aviation Synfuel Data'!$A$4:$A$22&amp;'Aviation Synfuel Data'!$D$4:$D$22,0),MATCH(AD$2,'Aviation Synfuel Data'!$G$3:$M$3,0)),"null")</f>
        <v>null</v>
      </c>
      <c r="AE11" s="82" t="str">
        <f t="array" ref="AE11">_xlfn.IFNA(INDEX('Aviation Synfuel Data'!$G$4:$M$22,MATCH('Aviation Synfuel-TSData'!$B11&amp;'Aviation Synfuel-TSData'!$C11&amp;$H11,'Aviation Synfuel Data'!$C$4:$C$22&amp;'Aviation Synfuel Data'!$A$4:$A$22&amp;'Aviation Synfuel Data'!$D$4:$D$22,0),MATCH(AE$2,'Aviation Synfuel Data'!$G$3:$M$3,0)),"null")</f>
        <v>null</v>
      </c>
      <c r="AF11" s="82" t="str">
        <f t="array" ref="AF11">_xlfn.IFNA(INDEX('Aviation Synfuel Data'!$G$4:$M$22,MATCH('Aviation Synfuel-TSData'!$B11&amp;'Aviation Synfuel-TSData'!$C11&amp;$H11,'Aviation Synfuel Data'!$C$4:$C$22&amp;'Aviation Synfuel Data'!$A$4:$A$22&amp;'Aviation Synfuel Data'!$D$4:$D$22,0),MATCH(AF$2,'Aviation Synfuel Data'!$G$3:$M$3,0)),"null")</f>
        <v>null</v>
      </c>
      <c r="AG11" s="82">
        <f t="array" ref="AG11">_xlfn.IFNA(INDEX('Aviation Synfuel Data'!$G$4:$M$22,MATCH('Aviation Synfuel-TSData'!$B11&amp;'Aviation Synfuel-TSData'!$C11&amp;$H11,'Aviation Synfuel Data'!$C$4:$C$22&amp;'Aviation Synfuel Data'!$A$4:$A$22&amp;'Aviation Synfuel Data'!$D$4:$D$22,0),MATCH(AG$2,'Aviation Synfuel Data'!$G$3:$M$3,0)),"null")</f>
        <v>0.91324200913242004</v>
      </c>
      <c r="AH11" s="82" t="str">
        <f t="array" ref="AH11">_xlfn.IFNA(INDEX('Aviation Synfuel Data'!$G$4:$M$22,MATCH('Aviation Synfuel-TSData'!$B11&amp;'Aviation Synfuel-TSData'!$C11&amp;$H11,'Aviation Synfuel Data'!$C$4:$C$22&amp;'Aviation Synfuel Data'!$A$4:$A$22&amp;'Aviation Synfuel Data'!$D$4:$D$22,0),MATCH(AH$2,'Aviation Synfuel Data'!$G$3:$M$3,0)),"null")</f>
        <v>null</v>
      </c>
      <c r="AI11" s="82" t="str">
        <f t="array" ref="AI11">_xlfn.IFNA(INDEX('Aviation Synfuel Data'!$G$4:$M$22,MATCH('Aviation Synfuel-TSData'!$B11&amp;'Aviation Synfuel-TSData'!$C11&amp;$H11,'Aviation Synfuel Data'!$C$4:$C$22&amp;'Aviation Synfuel Data'!$A$4:$A$22&amp;'Aviation Synfuel Data'!$D$4:$D$22,0),MATCH(AI$2,'Aviation Synfuel Data'!$G$3:$M$3,0)),"null")</f>
        <v>null</v>
      </c>
      <c r="AJ11" s="82" t="str">
        <f t="array" ref="AJ11">_xlfn.IFNA(INDEX('Aviation Synfuel Data'!$G$4:$M$22,MATCH('Aviation Synfuel-TSData'!$B11&amp;'Aviation Synfuel-TSData'!$C11&amp;$H11,'Aviation Synfuel Data'!$C$4:$C$22&amp;'Aviation Synfuel Data'!$A$4:$A$22&amp;'Aviation Synfuel Data'!$D$4:$D$22,0),MATCH(AJ$2,'Aviation Synfuel Data'!$G$3:$M$3,0)),"null")</f>
        <v>null</v>
      </c>
      <c r="AK11" s="82" t="str">
        <f t="array" ref="AK11">_xlfn.IFNA(INDEX('Aviation Synfuel Data'!$G$4:$M$22,MATCH('Aviation Synfuel-TSData'!$B11&amp;'Aviation Synfuel-TSData'!$C11&amp;$H11,'Aviation Synfuel Data'!$C$4:$C$22&amp;'Aviation Synfuel Data'!$A$4:$A$22&amp;'Aviation Synfuel Data'!$D$4:$D$22,0),MATCH(AK$2,'Aviation Synfuel Data'!$G$3:$M$3,0)),"null")</f>
        <v>null</v>
      </c>
      <c r="AL11" s="82">
        <f t="array" ref="AL11">_xlfn.IFNA(INDEX('Aviation Synfuel Data'!$G$4:$M$22,MATCH('Aviation Synfuel-TSData'!$B11&amp;'Aviation Synfuel-TSData'!$C11&amp;$H11,'Aviation Synfuel Data'!$C$4:$C$22&amp;'Aviation Synfuel Data'!$A$4:$A$22&amp;'Aviation Synfuel Data'!$D$4:$D$22,0),MATCH(AL$2,'Aviation Synfuel Data'!$G$3:$M$3,0)),"null")</f>
        <v>0.91324200913242004</v>
      </c>
      <c r="AM11" s="82" t="str">
        <f t="array" ref="AM11">_xlfn.IFNA(INDEX('Aviation Synfuel Data'!$G$4:$M$22,MATCH('Aviation Synfuel-TSData'!$B11&amp;'Aviation Synfuel-TSData'!$C11&amp;$H11,'Aviation Synfuel Data'!$C$4:$C$22&amp;'Aviation Synfuel Data'!$A$4:$A$22&amp;'Aviation Synfuel Data'!$D$4:$D$22,0),MATCH(AM$2,'Aviation Synfuel Data'!$G$3:$M$3,0)),"null")</f>
        <v>null</v>
      </c>
      <c r="AN11" s="82">
        <f t="array" ref="AN11">_xlfn.IFNA(INDEX('Aviation Synfuel Data'!$G$4:$M$22,MATCH('Aviation Synfuel-TSData'!$B11&amp;'Aviation Synfuel-TSData'!$C11&amp;$H11,'Aviation Synfuel Data'!$C$4:$C$22&amp;'Aviation Synfuel Data'!$A$4:$A$22&amp;'Aviation Synfuel Data'!$D$4:$D$22,0),MATCH(AN$2,'Aviation Synfuel Data'!$G$3:$M$3,0)),"null")</f>
        <v>0.91324200913242004</v>
      </c>
      <c r="AO11" s="82">
        <f t="array" ref="AO11">_xlfn.IFNA(INDEX('Aviation Synfuel Data'!$G$4:$M$22,MATCH('Aviation Synfuel-TSData'!$B11&amp;'Aviation Synfuel-TSData'!$C11&amp;$H11,'Aviation Synfuel Data'!$C$4:$C$22&amp;'Aviation Synfuel Data'!$A$4:$A$22&amp;'Aviation Synfuel Data'!$D$4:$D$22,0),MATCH(AO$2,'Aviation Synfuel Data'!$G$3:$M$3,0)),"null")</f>
        <v>0.91324200913242004</v>
      </c>
      <c r="AP11" s="82">
        <f t="array" ref="AP11">_xlfn.IFNA(INDEX('Aviation Synfuel Data'!$G$4:$M$22,MATCH('Aviation Synfuel-TSData'!$B11&amp;'Aviation Synfuel-TSData'!$C11&amp;$H11,'Aviation Synfuel Data'!$C$4:$C$22&amp;'Aviation Synfuel Data'!$A$4:$A$22&amp;'Aviation Synfuel Data'!$D$4:$D$22,0),MATCH(AP$2,'Aviation Synfuel Data'!$G$3:$M$3,0)),"null")</f>
        <v>0.91324200913242004</v>
      </c>
    </row>
    <row r="12" spans="1:42" x14ac:dyDescent="0.25">
      <c r="B12" t="s">
        <v>24</v>
      </c>
      <c r="C12" t="s">
        <v>238</v>
      </c>
      <c r="D12" t="s">
        <v>236</v>
      </c>
      <c r="E12" t="s">
        <v>236</v>
      </c>
      <c r="F12" t="s">
        <v>236</v>
      </c>
      <c r="G12" t="s">
        <v>236</v>
      </c>
      <c r="H12" t="s">
        <v>236</v>
      </c>
      <c r="I12">
        <v>0</v>
      </c>
      <c r="J12" s="82" t="str" cm="1">
        <f t="array" ref="J12">_xlfn.IFNA(INDEX('Aviation Synfuel Data'!$G$4:$M$22,MATCH('Aviation Synfuel-TSData'!$B12&amp;'Aviation Synfuel-TSData'!$C12&amp;$D12,'Aviation Synfuel Data'!$C$4:$C$22&amp;'Aviation Synfuel Data'!$A$4:$A$22&amp;'Aviation Synfuel Data'!$D$4:$D$22,0),MATCH(J$2,'Aviation Synfuel Data'!$G$3:$M$3,0)),"null")</f>
        <v>null</v>
      </c>
      <c r="K12" s="82" t="str" cm="1">
        <f t="array" ref="K12">_xlfn.IFNA(INDEX('Aviation Synfuel Data'!$G$4:$M$22,MATCH('Aviation Synfuel-TSData'!$B12&amp;'Aviation Synfuel-TSData'!$C12&amp;$D12,'Aviation Synfuel Data'!$C$4:$C$22&amp;'Aviation Synfuel Data'!$A$4:$A$22&amp;'Aviation Synfuel Data'!$D$4:$D$22,0),MATCH(K$2,'Aviation Synfuel Data'!$G$3:$M$3,0)),"null")</f>
        <v>null</v>
      </c>
      <c r="L12" s="82" t="str" cm="1">
        <f t="array" ref="L12">_xlfn.IFNA(INDEX('Aviation Synfuel Data'!$G$4:$M$22,MATCH('Aviation Synfuel-TSData'!$B12&amp;'Aviation Synfuel-TSData'!$C12&amp;$D12,'Aviation Synfuel Data'!$C$4:$C$22&amp;'Aviation Synfuel Data'!$A$4:$A$22&amp;'Aviation Synfuel Data'!$D$4:$D$22,0),MATCH(L$2,'Aviation Synfuel Data'!$G$3:$M$3,0)),"null")</f>
        <v>null</v>
      </c>
      <c r="M12" s="82" t="str" cm="1">
        <f t="array" ref="M12">_xlfn.IFNA(INDEX('Aviation Synfuel Data'!$G$4:$M$22,MATCH('Aviation Synfuel-TSData'!$B12&amp;'Aviation Synfuel-TSData'!$C12&amp;$D12,'Aviation Synfuel Data'!$C$4:$C$22&amp;'Aviation Synfuel Data'!$A$4:$A$22&amp;'Aviation Synfuel Data'!$D$4:$D$22,0),MATCH(M$2,'Aviation Synfuel Data'!$G$3:$M$3,0)),"null")</f>
        <v>null</v>
      </c>
      <c r="N12" s="82" t="str" cm="1">
        <f t="array" ref="N12">_xlfn.IFNA(INDEX('Aviation Synfuel Data'!$G$4:$M$22,MATCH('Aviation Synfuel-TSData'!$B12&amp;'Aviation Synfuel-TSData'!$C12&amp;$D12,'Aviation Synfuel Data'!$C$4:$C$22&amp;'Aviation Synfuel Data'!$A$4:$A$22&amp;'Aviation Synfuel Data'!$D$4:$D$22,0),MATCH(N$2,'Aviation Synfuel Data'!$G$3:$M$3,0)),"null")</f>
        <v>null</v>
      </c>
      <c r="O12" s="82" t="str" cm="1">
        <f t="array" ref="O12">_xlfn.IFNA(INDEX('Aviation Synfuel Data'!$G$4:$M$22,MATCH('Aviation Synfuel-TSData'!$B12&amp;'Aviation Synfuel-TSData'!$C12&amp;$D12,'Aviation Synfuel Data'!$C$4:$C$22&amp;'Aviation Synfuel Data'!$A$4:$A$22&amp;'Aviation Synfuel Data'!$D$4:$D$22,0),MATCH(O$2,'Aviation Synfuel Data'!$G$3:$M$3,0)),"null")</f>
        <v>null</v>
      </c>
      <c r="P12" s="82" t="str" cm="1">
        <f t="array" ref="P12">_xlfn.IFNA(INDEX('Aviation Synfuel Data'!$G$4:$M$22,MATCH('Aviation Synfuel-TSData'!$B12&amp;'Aviation Synfuel-TSData'!$C12&amp;$D12,'Aviation Synfuel Data'!$C$4:$C$22&amp;'Aviation Synfuel Data'!$A$4:$A$22&amp;'Aviation Synfuel Data'!$D$4:$D$22,0),MATCH(P$2,'Aviation Synfuel Data'!$G$3:$M$3,0)),"null")</f>
        <v>null</v>
      </c>
      <c r="Q12" s="82" t="str" cm="1">
        <f t="array" ref="Q12">_xlfn.IFNA(INDEX('Aviation Synfuel Data'!$G$4:$M$22,MATCH('Aviation Synfuel-TSData'!$B12&amp;'Aviation Synfuel-TSData'!$C12&amp;$D12,'Aviation Synfuel Data'!$C$4:$C$22&amp;'Aviation Synfuel Data'!$A$4:$A$22&amp;'Aviation Synfuel Data'!$D$4:$D$22,0),MATCH(Q$2,'Aviation Synfuel Data'!$G$3:$M$3,0)),"null")</f>
        <v>null</v>
      </c>
      <c r="R12" s="82" cm="1">
        <f t="array" ref="R12">_xlfn.IFNA(INDEX('Aviation Synfuel Data'!$G$4:$M$22,MATCH('Aviation Synfuel-TSData'!$B12&amp;'Aviation Synfuel-TSData'!$C12&amp;$D12,'Aviation Synfuel Data'!$C$4:$C$22&amp;'Aviation Synfuel Data'!$A$4:$A$22&amp;'Aviation Synfuel Data'!$D$4:$D$22,0),MATCH(R$2,'Aviation Synfuel Data'!$G$3:$M$3,0)),"null")</f>
        <v>477.77194211017741</v>
      </c>
      <c r="S12" s="82" t="str" cm="1">
        <f t="array" ref="S12">_xlfn.IFNA(INDEX('Aviation Synfuel Data'!$G$4:$M$22,MATCH('Aviation Synfuel-TSData'!$B12&amp;'Aviation Synfuel-TSData'!$C12&amp;$D12,'Aviation Synfuel Data'!$C$4:$C$22&amp;'Aviation Synfuel Data'!$A$4:$A$22&amp;'Aviation Synfuel Data'!$D$4:$D$22,0),MATCH(S$2,'Aviation Synfuel Data'!$G$3:$M$3,0)),"null")</f>
        <v>null</v>
      </c>
      <c r="T12" s="82" t="str" cm="1">
        <f t="array" ref="T12">_xlfn.IFNA(INDEX('Aviation Synfuel Data'!$G$4:$M$22,MATCH('Aviation Synfuel-TSData'!$B12&amp;'Aviation Synfuel-TSData'!$C12&amp;$D12,'Aviation Synfuel Data'!$C$4:$C$22&amp;'Aviation Synfuel Data'!$A$4:$A$22&amp;'Aviation Synfuel Data'!$D$4:$D$22,0),MATCH(T$2,'Aviation Synfuel Data'!$G$3:$M$3,0)),"null")</f>
        <v>null</v>
      </c>
      <c r="U12" s="82" t="str" cm="1">
        <f t="array" ref="U12">_xlfn.IFNA(INDEX('Aviation Synfuel Data'!$G$4:$M$22,MATCH('Aviation Synfuel-TSData'!$B12&amp;'Aviation Synfuel-TSData'!$C12&amp;$D12,'Aviation Synfuel Data'!$C$4:$C$22&amp;'Aviation Synfuel Data'!$A$4:$A$22&amp;'Aviation Synfuel Data'!$D$4:$D$22,0),MATCH(U$2,'Aviation Synfuel Data'!$G$3:$M$3,0)),"null")</f>
        <v>null</v>
      </c>
      <c r="V12" s="82" t="str" cm="1">
        <f t="array" ref="V12">_xlfn.IFNA(INDEX('Aviation Synfuel Data'!$G$4:$M$22,MATCH('Aviation Synfuel-TSData'!$B12&amp;'Aviation Synfuel-TSData'!$C12&amp;$D12,'Aviation Synfuel Data'!$C$4:$C$22&amp;'Aviation Synfuel Data'!$A$4:$A$22&amp;'Aviation Synfuel Data'!$D$4:$D$22,0),MATCH(V$2,'Aviation Synfuel Data'!$G$3:$M$3,0)),"null")</f>
        <v>null</v>
      </c>
      <c r="W12" s="82" t="str" cm="1">
        <f t="array" ref="W12">_xlfn.IFNA(INDEX('Aviation Synfuel Data'!$G$4:$M$22,MATCH('Aviation Synfuel-TSData'!$B12&amp;'Aviation Synfuel-TSData'!$C12&amp;$D12,'Aviation Synfuel Data'!$C$4:$C$22&amp;'Aviation Synfuel Data'!$A$4:$A$22&amp;'Aviation Synfuel Data'!$D$4:$D$22,0),MATCH(W$2,'Aviation Synfuel Data'!$G$3:$M$3,0)),"null")</f>
        <v>null</v>
      </c>
      <c r="X12" s="82" t="str" cm="1">
        <f t="array" ref="X12">_xlfn.IFNA(INDEX('Aviation Synfuel Data'!$G$4:$M$22,MATCH('Aviation Synfuel-TSData'!$B12&amp;'Aviation Synfuel-TSData'!$C12&amp;$D12,'Aviation Synfuel Data'!$C$4:$C$22&amp;'Aviation Synfuel Data'!$A$4:$A$22&amp;'Aviation Synfuel Data'!$D$4:$D$22,0),MATCH(X$2,'Aviation Synfuel Data'!$G$3:$M$3,0)),"null")</f>
        <v>null</v>
      </c>
      <c r="Y12" s="82" t="str" cm="1">
        <f t="array" ref="Y12">_xlfn.IFNA(INDEX('Aviation Synfuel Data'!$G$4:$M$22,MATCH('Aviation Synfuel-TSData'!$B12&amp;'Aviation Synfuel-TSData'!$C12&amp;$D12,'Aviation Synfuel Data'!$C$4:$C$22&amp;'Aviation Synfuel Data'!$A$4:$A$22&amp;'Aviation Synfuel Data'!$D$4:$D$22,0),MATCH(Y$2,'Aviation Synfuel Data'!$G$3:$M$3,0)),"null")</f>
        <v>null</v>
      </c>
      <c r="Z12" s="82" t="str" cm="1">
        <f t="array" ref="Z12">_xlfn.IFNA(INDEX('Aviation Synfuel Data'!$G$4:$M$22,MATCH('Aviation Synfuel-TSData'!$B12&amp;'Aviation Synfuel-TSData'!$C12&amp;$D12,'Aviation Synfuel Data'!$C$4:$C$22&amp;'Aviation Synfuel Data'!$A$4:$A$22&amp;'Aviation Synfuel Data'!$D$4:$D$22,0),MATCH(Z$2,'Aviation Synfuel Data'!$G$3:$M$3,0)),"null")</f>
        <v>null</v>
      </c>
      <c r="AA12" s="82" t="str" cm="1">
        <f t="array" ref="AA12">_xlfn.IFNA(INDEX('Aviation Synfuel Data'!$G$4:$M$22,MATCH('Aviation Synfuel-TSData'!$B12&amp;'Aviation Synfuel-TSData'!$C12&amp;$D12,'Aviation Synfuel Data'!$C$4:$C$22&amp;'Aviation Synfuel Data'!$A$4:$A$22&amp;'Aviation Synfuel Data'!$D$4:$D$22,0),MATCH(AA$2,'Aviation Synfuel Data'!$G$3:$M$3,0)),"null")</f>
        <v>null</v>
      </c>
      <c r="AB12" s="82" cm="1">
        <f t="array" ref="AB12">_xlfn.IFNA(INDEX('Aviation Synfuel Data'!$G$4:$M$22,MATCH('Aviation Synfuel-TSData'!$B12&amp;'Aviation Synfuel-TSData'!$C12&amp;$D12,'Aviation Synfuel Data'!$C$4:$C$22&amp;'Aviation Synfuel Data'!$A$4:$A$22&amp;'Aviation Synfuel Data'!$D$4:$D$22,0),MATCH(AB$2,'Aviation Synfuel Data'!$G$3:$M$3,0)),"null")</f>
        <v>409.54154566812338</v>
      </c>
      <c r="AC12" s="82" t="str" cm="1">
        <f t="array" ref="AC12">_xlfn.IFNA(INDEX('Aviation Synfuel Data'!$G$4:$M$22,MATCH('Aviation Synfuel-TSData'!$B12&amp;'Aviation Synfuel-TSData'!$C12&amp;$D12,'Aviation Synfuel Data'!$C$4:$C$22&amp;'Aviation Synfuel Data'!$A$4:$A$22&amp;'Aviation Synfuel Data'!$D$4:$D$22,0),MATCH(AC$2,'Aviation Synfuel Data'!$G$3:$M$3,0)),"null")</f>
        <v>null</v>
      </c>
      <c r="AD12" s="82" t="str" cm="1">
        <f t="array" ref="AD12">_xlfn.IFNA(INDEX('Aviation Synfuel Data'!$G$4:$M$22,MATCH('Aviation Synfuel-TSData'!$B12&amp;'Aviation Synfuel-TSData'!$C12&amp;$D12,'Aviation Synfuel Data'!$C$4:$C$22&amp;'Aviation Synfuel Data'!$A$4:$A$22&amp;'Aviation Synfuel Data'!$D$4:$D$22,0),MATCH(AD$2,'Aviation Synfuel Data'!$G$3:$M$3,0)),"null")</f>
        <v>null</v>
      </c>
      <c r="AE12" s="82" t="str" cm="1">
        <f t="array" ref="AE12">_xlfn.IFNA(INDEX('Aviation Synfuel Data'!$G$4:$M$22,MATCH('Aviation Synfuel-TSData'!$B12&amp;'Aviation Synfuel-TSData'!$C12&amp;$D12,'Aviation Synfuel Data'!$C$4:$C$22&amp;'Aviation Synfuel Data'!$A$4:$A$22&amp;'Aviation Synfuel Data'!$D$4:$D$22,0),MATCH(AE$2,'Aviation Synfuel Data'!$G$3:$M$3,0)),"null")</f>
        <v>null</v>
      </c>
      <c r="AF12" s="82" t="str" cm="1">
        <f t="array" ref="AF12">_xlfn.IFNA(INDEX('Aviation Synfuel Data'!$G$4:$M$22,MATCH('Aviation Synfuel-TSData'!$B12&amp;'Aviation Synfuel-TSData'!$C12&amp;$D12,'Aviation Synfuel Data'!$C$4:$C$22&amp;'Aviation Synfuel Data'!$A$4:$A$22&amp;'Aviation Synfuel Data'!$D$4:$D$22,0),MATCH(AF$2,'Aviation Synfuel Data'!$G$3:$M$3,0)),"null")</f>
        <v>null</v>
      </c>
      <c r="AG12" s="82" cm="1">
        <f t="array" ref="AG12">_xlfn.IFNA(INDEX('Aviation Synfuel Data'!$G$4:$M$22,MATCH('Aviation Synfuel-TSData'!$B12&amp;'Aviation Synfuel-TSData'!$C12&amp;$D12,'Aviation Synfuel Data'!$C$4:$C$22&amp;'Aviation Synfuel Data'!$A$4:$A$22&amp;'Aviation Synfuel Data'!$D$4:$D$22,0),MATCH(AG$2,'Aviation Synfuel Data'!$G$3:$M$3,0)),"null")</f>
        <v>370.42417059229018</v>
      </c>
      <c r="AH12" s="82" t="str" cm="1">
        <f t="array" ref="AH12">_xlfn.IFNA(INDEX('Aviation Synfuel Data'!$G$4:$M$22,MATCH('Aviation Synfuel-TSData'!$B12&amp;'Aviation Synfuel-TSData'!$C12&amp;$D12,'Aviation Synfuel Data'!$C$4:$C$22&amp;'Aviation Synfuel Data'!$A$4:$A$22&amp;'Aviation Synfuel Data'!$D$4:$D$22,0),MATCH(AH$2,'Aviation Synfuel Data'!$G$3:$M$3,0)),"null")</f>
        <v>null</v>
      </c>
      <c r="AI12" s="82" t="str" cm="1">
        <f t="array" ref="AI12">_xlfn.IFNA(INDEX('Aviation Synfuel Data'!$G$4:$M$22,MATCH('Aviation Synfuel-TSData'!$B12&amp;'Aviation Synfuel-TSData'!$C12&amp;$D12,'Aviation Synfuel Data'!$C$4:$C$22&amp;'Aviation Synfuel Data'!$A$4:$A$22&amp;'Aviation Synfuel Data'!$D$4:$D$22,0),MATCH(AI$2,'Aviation Synfuel Data'!$G$3:$M$3,0)),"null")</f>
        <v>null</v>
      </c>
      <c r="AJ12" s="82" t="str" cm="1">
        <f t="array" ref="AJ12">_xlfn.IFNA(INDEX('Aviation Synfuel Data'!$G$4:$M$22,MATCH('Aviation Synfuel-TSData'!$B12&amp;'Aviation Synfuel-TSData'!$C12&amp;$D12,'Aviation Synfuel Data'!$C$4:$C$22&amp;'Aviation Synfuel Data'!$A$4:$A$22&amp;'Aviation Synfuel Data'!$D$4:$D$22,0),MATCH(AJ$2,'Aviation Synfuel Data'!$G$3:$M$3,0)),"null")</f>
        <v>null</v>
      </c>
      <c r="AK12" s="82" t="str" cm="1">
        <f t="array" ref="AK12">_xlfn.IFNA(INDEX('Aviation Synfuel Data'!$G$4:$M$22,MATCH('Aviation Synfuel-TSData'!$B12&amp;'Aviation Synfuel-TSData'!$C12&amp;$D12,'Aviation Synfuel Data'!$C$4:$C$22&amp;'Aviation Synfuel Data'!$A$4:$A$22&amp;'Aviation Synfuel Data'!$D$4:$D$22,0),MATCH(AK$2,'Aviation Synfuel Data'!$G$3:$M$3,0)),"null")</f>
        <v>null</v>
      </c>
      <c r="AL12" s="82" cm="1">
        <f t="array" ref="AL12">_xlfn.IFNA(INDEX('Aviation Synfuel Data'!$G$4:$M$22,MATCH('Aviation Synfuel-TSData'!$B12&amp;'Aviation Synfuel-TSData'!$C12&amp;$D12,'Aviation Synfuel Data'!$C$4:$C$22&amp;'Aviation Synfuel Data'!$A$4:$A$22&amp;'Aviation Synfuel Data'!$D$4:$D$22,0),MATCH(AL$2,'Aviation Synfuel Data'!$G$3:$M$3,0)),"null")</f>
        <v>331.30679551645699</v>
      </c>
      <c r="AM12" s="82" t="str" cm="1">
        <f t="array" ref="AM12">_xlfn.IFNA(INDEX('Aviation Synfuel Data'!$G$4:$M$22,MATCH('Aviation Synfuel-TSData'!$B12&amp;'Aviation Synfuel-TSData'!$C12&amp;$D12,'Aviation Synfuel Data'!$C$4:$C$22&amp;'Aviation Synfuel Data'!$A$4:$A$22&amp;'Aviation Synfuel Data'!$D$4:$D$22,0),MATCH(AM$2,'Aviation Synfuel Data'!$G$3:$M$3,0)),"null")</f>
        <v>null</v>
      </c>
      <c r="AN12" s="82" cm="1">
        <f t="array" ref="AN12">_xlfn.IFNA(INDEX('Aviation Synfuel Data'!$G$4:$M$22,MATCH('Aviation Synfuel-TSData'!$B12&amp;'Aviation Synfuel-TSData'!$C12&amp;$D12,'Aviation Synfuel Data'!$C$4:$C$22&amp;'Aviation Synfuel Data'!$A$4:$A$22&amp;'Aviation Synfuel Data'!$D$4:$D$22,0),MATCH(AN$2,'Aviation Synfuel Data'!$G$3:$M$3,0)),"null")</f>
        <v>284.83453783282306</v>
      </c>
      <c r="AO12" s="82" cm="1">
        <f t="array" ref="AO12">_xlfn.IFNA(INDEX('Aviation Synfuel Data'!$G$4:$M$22,MATCH('Aviation Synfuel-TSData'!$B12&amp;'Aviation Synfuel-TSData'!$C12&amp;$D12,'Aviation Synfuel Data'!$C$4:$C$22&amp;'Aviation Synfuel Data'!$A$4:$A$22&amp;'Aviation Synfuel Data'!$D$4:$D$22,0),MATCH(AO$2,'Aviation Synfuel Data'!$G$3:$M$3,0)),"null")</f>
        <v>284.83453783282306</v>
      </c>
      <c r="AP12" s="82" cm="1">
        <f t="array" ref="AP12">_xlfn.IFNA(INDEX('Aviation Synfuel Data'!$G$4:$M$22,MATCH('Aviation Synfuel-TSData'!$B12&amp;'Aviation Synfuel-TSData'!$C12&amp;$D12,'Aviation Synfuel Data'!$C$4:$C$22&amp;'Aviation Synfuel Data'!$A$4:$A$22&amp;'Aviation Synfuel Data'!$D$4:$D$22,0),MATCH(AP$2,'Aviation Synfuel Data'!$G$3:$M$3,0)),"null")</f>
        <v>284.83453783282306</v>
      </c>
    </row>
    <row r="13" spans="1:42" x14ac:dyDescent="0.25">
      <c r="B13" t="s">
        <v>44</v>
      </c>
      <c r="C13" t="s">
        <v>238</v>
      </c>
      <c r="D13" t="s">
        <v>236</v>
      </c>
      <c r="E13" t="s">
        <v>236</v>
      </c>
      <c r="F13" t="s">
        <v>236</v>
      </c>
      <c r="G13" t="s">
        <v>236</v>
      </c>
      <c r="H13" t="s">
        <v>236</v>
      </c>
      <c r="I13">
        <v>0</v>
      </c>
      <c r="J13" s="82" t="str" cm="1">
        <f t="array" ref="J13">_xlfn.IFNA(INDEX('Aviation Synfuel Data'!$G$4:$M$22,MATCH('Aviation Synfuel-TSData'!$B13&amp;'Aviation Synfuel-TSData'!$C13&amp;$D13,'Aviation Synfuel Data'!$C$4:$C$22&amp;'Aviation Synfuel Data'!$A$4:$A$22&amp;'Aviation Synfuel Data'!$D$4:$D$22,0),MATCH(J$2,'Aviation Synfuel Data'!$G$3:$M$3,0)),"null")</f>
        <v>null</v>
      </c>
      <c r="K13" s="82" t="str" cm="1">
        <f t="array" ref="K13">_xlfn.IFNA(INDEX('Aviation Synfuel Data'!$G$4:$M$22,MATCH('Aviation Synfuel-TSData'!$B13&amp;'Aviation Synfuel-TSData'!$C13&amp;$D13,'Aviation Synfuel Data'!$C$4:$C$22&amp;'Aviation Synfuel Data'!$A$4:$A$22&amp;'Aviation Synfuel Data'!$D$4:$D$22,0),MATCH(K$2,'Aviation Synfuel Data'!$G$3:$M$3,0)),"null")</f>
        <v>null</v>
      </c>
      <c r="L13" s="82" t="str" cm="1">
        <f t="array" ref="L13">_xlfn.IFNA(INDEX('Aviation Synfuel Data'!$G$4:$M$22,MATCH('Aviation Synfuel-TSData'!$B13&amp;'Aviation Synfuel-TSData'!$C13&amp;$D13,'Aviation Synfuel Data'!$C$4:$C$22&amp;'Aviation Synfuel Data'!$A$4:$A$22&amp;'Aviation Synfuel Data'!$D$4:$D$22,0),MATCH(L$2,'Aviation Synfuel Data'!$G$3:$M$3,0)),"null")</f>
        <v>null</v>
      </c>
      <c r="M13" s="82" t="str" cm="1">
        <f t="array" ref="M13">_xlfn.IFNA(INDEX('Aviation Synfuel Data'!$G$4:$M$22,MATCH('Aviation Synfuel-TSData'!$B13&amp;'Aviation Synfuel-TSData'!$C13&amp;$D13,'Aviation Synfuel Data'!$C$4:$C$22&amp;'Aviation Synfuel Data'!$A$4:$A$22&amp;'Aviation Synfuel Data'!$D$4:$D$22,0),MATCH(M$2,'Aviation Synfuel Data'!$G$3:$M$3,0)),"null")</f>
        <v>null</v>
      </c>
      <c r="N13" s="82" t="str" cm="1">
        <f t="array" ref="N13">_xlfn.IFNA(INDEX('Aviation Synfuel Data'!$G$4:$M$22,MATCH('Aviation Synfuel-TSData'!$B13&amp;'Aviation Synfuel-TSData'!$C13&amp;$D13,'Aviation Synfuel Data'!$C$4:$C$22&amp;'Aviation Synfuel Data'!$A$4:$A$22&amp;'Aviation Synfuel Data'!$D$4:$D$22,0),MATCH(N$2,'Aviation Synfuel Data'!$G$3:$M$3,0)),"null")</f>
        <v>null</v>
      </c>
      <c r="O13" s="82" t="str" cm="1">
        <f t="array" ref="O13">_xlfn.IFNA(INDEX('Aviation Synfuel Data'!$G$4:$M$22,MATCH('Aviation Synfuel-TSData'!$B13&amp;'Aviation Synfuel-TSData'!$C13&amp;$D13,'Aviation Synfuel Data'!$C$4:$C$22&amp;'Aviation Synfuel Data'!$A$4:$A$22&amp;'Aviation Synfuel Data'!$D$4:$D$22,0),MATCH(O$2,'Aviation Synfuel Data'!$G$3:$M$3,0)),"null")</f>
        <v>null</v>
      </c>
      <c r="P13" s="82" t="str" cm="1">
        <f t="array" ref="P13">_xlfn.IFNA(INDEX('Aviation Synfuel Data'!$G$4:$M$22,MATCH('Aviation Synfuel-TSData'!$B13&amp;'Aviation Synfuel-TSData'!$C13&amp;$D13,'Aviation Synfuel Data'!$C$4:$C$22&amp;'Aviation Synfuel Data'!$A$4:$A$22&amp;'Aviation Synfuel Data'!$D$4:$D$22,0),MATCH(P$2,'Aviation Synfuel Data'!$G$3:$M$3,0)),"null")</f>
        <v>null</v>
      </c>
      <c r="Q13" s="82" t="str" cm="1">
        <f t="array" ref="Q13">_xlfn.IFNA(INDEX('Aviation Synfuel Data'!$G$4:$M$22,MATCH('Aviation Synfuel-TSData'!$B13&amp;'Aviation Synfuel-TSData'!$C13&amp;$D13,'Aviation Synfuel Data'!$C$4:$C$22&amp;'Aviation Synfuel Data'!$A$4:$A$22&amp;'Aviation Synfuel Data'!$D$4:$D$22,0),MATCH(Q$2,'Aviation Synfuel Data'!$G$3:$M$3,0)),"null")</f>
        <v>null</v>
      </c>
      <c r="R13" s="82" cm="1">
        <f t="array" ref="R13">_xlfn.IFNA(INDEX('Aviation Synfuel Data'!$G$4:$M$22,MATCH('Aviation Synfuel-TSData'!$B13&amp;'Aviation Synfuel-TSData'!$C13&amp;$D13,'Aviation Synfuel Data'!$C$4:$C$22&amp;'Aviation Synfuel Data'!$A$4:$A$22&amp;'Aviation Synfuel Data'!$D$4:$D$22,0),MATCH(R$2,'Aviation Synfuel Data'!$G$3:$M$3,0)),"null")</f>
        <v>19.110877684407097</v>
      </c>
      <c r="S13" s="82" t="str" cm="1">
        <f t="array" ref="S13">_xlfn.IFNA(INDEX('Aviation Synfuel Data'!$G$4:$M$22,MATCH('Aviation Synfuel-TSData'!$B13&amp;'Aviation Synfuel-TSData'!$C13&amp;$D13,'Aviation Synfuel Data'!$C$4:$C$22&amp;'Aviation Synfuel Data'!$A$4:$A$22&amp;'Aviation Synfuel Data'!$D$4:$D$22,0),MATCH(S$2,'Aviation Synfuel Data'!$G$3:$M$3,0)),"null")</f>
        <v>null</v>
      </c>
      <c r="T13" s="82" t="str" cm="1">
        <f t="array" ref="T13">_xlfn.IFNA(INDEX('Aviation Synfuel Data'!$G$4:$M$22,MATCH('Aviation Synfuel-TSData'!$B13&amp;'Aviation Synfuel-TSData'!$C13&amp;$D13,'Aviation Synfuel Data'!$C$4:$C$22&amp;'Aviation Synfuel Data'!$A$4:$A$22&amp;'Aviation Synfuel Data'!$D$4:$D$22,0),MATCH(T$2,'Aviation Synfuel Data'!$G$3:$M$3,0)),"null")</f>
        <v>null</v>
      </c>
      <c r="U13" s="82" t="str" cm="1">
        <f t="array" ref="U13">_xlfn.IFNA(INDEX('Aviation Synfuel Data'!$G$4:$M$22,MATCH('Aviation Synfuel-TSData'!$B13&amp;'Aviation Synfuel-TSData'!$C13&amp;$D13,'Aviation Synfuel Data'!$C$4:$C$22&amp;'Aviation Synfuel Data'!$A$4:$A$22&amp;'Aviation Synfuel Data'!$D$4:$D$22,0),MATCH(U$2,'Aviation Synfuel Data'!$G$3:$M$3,0)),"null")</f>
        <v>null</v>
      </c>
      <c r="V13" s="82" t="str" cm="1">
        <f t="array" ref="V13">_xlfn.IFNA(INDEX('Aviation Synfuel Data'!$G$4:$M$22,MATCH('Aviation Synfuel-TSData'!$B13&amp;'Aviation Synfuel-TSData'!$C13&amp;$D13,'Aviation Synfuel Data'!$C$4:$C$22&amp;'Aviation Synfuel Data'!$A$4:$A$22&amp;'Aviation Synfuel Data'!$D$4:$D$22,0),MATCH(V$2,'Aviation Synfuel Data'!$G$3:$M$3,0)),"null")</f>
        <v>null</v>
      </c>
      <c r="W13" s="82" t="str" cm="1">
        <f t="array" ref="W13">_xlfn.IFNA(INDEX('Aviation Synfuel Data'!$G$4:$M$22,MATCH('Aviation Synfuel-TSData'!$B13&amp;'Aviation Synfuel-TSData'!$C13&amp;$D13,'Aviation Synfuel Data'!$C$4:$C$22&amp;'Aviation Synfuel Data'!$A$4:$A$22&amp;'Aviation Synfuel Data'!$D$4:$D$22,0),MATCH(W$2,'Aviation Synfuel Data'!$G$3:$M$3,0)),"null")</f>
        <v>null</v>
      </c>
      <c r="X13" s="82" t="str" cm="1">
        <f t="array" ref="X13">_xlfn.IFNA(INDEX('Aviation Synfuel Data'!$G$4:$M$22,MATCH('Aviation Synfuel-TSData'!$B13&amp;'Aviation Synfuel-TSData'!$C13&amp;$D13,'Aviation Synfuel Data'!$C$4:$C$22&amp;'Aviation Synfuel Data'!$A$4:$A$22&amp;'Aviation Synfuel Data'!$D$4:$D$22,0),MATCH(X$2,'Aviation Synfuel Data'!$G$3:$M$3,0)),"null")</f>
        <v>null</v>
      </c>
      <c r="Y13" s="82" t="str" cm="1">
        <f t="array" ref="Y13">_xlfn.IFNA(INDEX('Aviation Synfuel Data'!$G$4:$M$22,MATCH('Aviation Synfuel-TSData'!$B13&amp;'Aviation Synfuel-TSData'!$C13&amp;$D13,'Aviation Synfuel Data'!$C$4:$C$22&amp;'Aviation Synfuel Data'!$A$4:$A$22&amp;'Aviation Synfuel Data'!$D$4:$D$22,0),MATCH(Y$2,'Aviation Synfuel Data'!$G$3:$M$3,0)),"null")</f>
        <v>null</v>
      </c>
      <c r="Z13" s="82" t="str" cm="1">
        <f t="array" ref="Z13">_xlfn.IFNA(INDEX('Aviation Synfuel Data'!$G$4:$M$22,MATCH('Aviation Synfuel-TSData'!$B13&amp;'Aviation Synfuel-TSData'!$C13&amp;$D13,'Aviation Synfuel Data'!$C$4:$C$22&amp;'Aviation Synfuel Data'!$A$4:$A$22&amp;'Aviation Synfuel Data'!$D$4:$D$22,0),MATCH(Z$2,'Aviation Synfuel Data'!$G$3:$M$3,0)),"null")</f>
        <v>null</v>
      </c>
      <c r="AA13" s="82" t="str" cm="1">
        <f t="array" ref="AA13">_xlfn.IFNA(INDEX('Aviation Synfuel Data'!$G$4:$M$22,MATCH('Aviation Synfuel-TSData'!$B13&amp;'Aviation Synfuel-TSData'!$C13&amp;$D13,'Aviation Synfuel Data'!$C$4:$C$22&amp;'Aviation Synfuel Data'!$A$4:$A$22&amp;'Aviation Synfuel Data'!$D$4:$D$22,0),MATCH(AA$2,'Aviation Synfuel Data'!$G$3:$M$3,0)),"null")</f>
        <v>null</v>
      </c>
      <c r="AB13" s="82" cm="1">
        <f t="array" ref="AB13">_xlfn.IFNA(INDEX('Aviation Synfuel Data'!$G$4:$M$22,MATCH('Aviation Synfuel-TSData'!$B13&amp;'Aviation Synfuel-TSData'!$C13&amp;$D13,'Aviation Synfuel Data'!$C$4:$C$22&amp;'Aviation Synfuel Data'!$A$4:$A$22&amp;'Aviation Synfuel Data'!$D$4:$D$22,0),MATCH(AB$2,'Aviation Synfuel Data'!$G$3:$M$3,0)),"null")</f>
        <v>16.381661826724937</v>
      </c>
      <c r="AC13" s="82" t="str" cm="1">
        <f t="array" ref="AC13">_xlfn.IFNA(INDEX('Aviation Synfuel Data'!$G$4:$M$22,MATCH('Aviation Synfuel-TSData'!$B13&amp;'Aviation Synfuel-TSData'!$C13&amp;$D13,'Aviation Synfuel Data'!$C$4:$C$22&amp;'Aviation Synfuel Data'!$A$4:$A$22&amp;'Aviation Synfuel Data'!$D$4:$D$22,0),MATCH(AC$2,'Aviation Synfuel Data'!$G$3:$M$3,0)),"null")</f>
        <v>null</v>
      </c>
      <c r="AD13" s="82" t="str" cm="1">
        <f t="array" ref="AD13">_xlfn.IFNA(INDEX('Aviation Synfuel Data'!$G$4:$M$22,MATCH('Aviation Synfuel-TSData'!$B13&amp;'Aviation Synfuel-TSData'!$C13&amp;$D13,'Aviation Synfuel Data'!$C$4:$C$22&amp;'Aviation Synfuel Data'!$A$4:$A$22&amp;'Aviation Synfuel Data'!$D$4:$D$22,0),MATCH(AD$2,'Aviation Synfuel Data'!$G$3:$M$3,0)),"null")</f>
        <v>null</v>
      </c>
      <c r="AE13" s="82" t="str" cm="1">
        <f t="array" ref="AE13">_xlfn.IFNA(INDEX('Aviation Synfuel Data'!$G$4:$M$22,MATCH('Aviation Synfuel-TSData'!$B13&amp;'Aviation Synfuel-TSData'!$C13&amp;$D13,'Aviation Synfuel Data'!$C$4:$C$22&amp;'Aviation Synfuel Data'!$A$4:$A$22&amp;'Aviation Synfuel Data'!$D$4:$D$22,0),MATCH(AE$2,'Aviation Synfuel Data'!$G$3:$M$3,0)),"null")</f>
        <v>null</v>
      </c>
      <c r="AF13" s="82" t="str" cm="1">
        <f t="array" ref="AF13">_xlfn.IFNA(INDEX('Aviation Synfuel Data'!$G$4:$M$22,MATCH('Aviation Synfuel-TSData'!$B13&amp;'Aviation Synfuel-TSData'!$C13&amp;$D13,'Aviation Synfuel Data'!$C$4:$C$22&amp;'Aviation Synfuel Data'!$A$4:$A$22&amp;'Aviation Synfuel Data'!$D$4:$D$22,0),MATCH(AF$2,'Aviation Synfuel Data'!$G$3:$M$3,0)),"null")</f>
        <v>null</v>
      </c>
      <c r="AG13" s="82" cm="1">
        <f t="array" ref="AG13">_xlfn.IFNA(INDEX('Aviation Synfuel Data'!$G$4:$M$22,MATCH('Aviation Synfuel-TSData'!$B13&amp;'Aviation Synfuel-TSData'!$C13&amp;$D13,'Aviation Synfuel Data'!$C$4:$C$22&amp;'Aviation Synfuel Data'!$A$4:$A$22&amp;'Aviation Synfuel Data'!$D$4:$D$22,0),MATCH(AG$2,'Aviation Synfuel Data'!$G$3:$M$3,0)),"null")</f>
        <v>14.816966823691608</v>
      </c>
      <c r="AH13" s="82" t="str" cm="1">
        <f t="array" ref="AH13">_xlfn.IFNA(INDEX('Aviation Synfuel Data'!$G$4:$M$22,MATCH('Aviation Synfuel-TSData'!$B13&amp;'Aviation Synfuel-TSData'!$C13&amp;$D13,'Aviation Synfuel Data'!$C$4:$C$22&amp;'Aviation Synfuel Data'!$A$4:$A$22&amp;'Aviation Synfuel Data'!$D$4:$D$22,0),MATCH(AH$2,'Aviation Synfuel Data'!$G$3:$M$3,0)),"null")</f>
        <v>null</v>
      </c>
      <c r="AI13" s="82" t="str" cm="1">
        <f t="array" ref="AI13">_xlfn.IFNA(INDEX('Aviation Synfuel Data'!$G$4:$M$22,MATCH('Aviation Synfuel-TSData'!$B13&amp;'Aviation Synfuel-TSData'!$C13&amp;$D13,'Aviation Synfuel Data'!$C$4:$C$22&amp;'Aviation Synfuel Data'!$A$4:$A$22&amp;'Aviation Synfuel Data'!$D$4:$D$22,0),MATCH(AI$2,'Aviation Synfuel Data'!$G$3:$M$3,0)),"null")</f>
        <v>null</v>
      </c>
      <c r="AJ13" s="82" t="str" cm="1">
        <f t="array" ref="AJ13">_xlfn.IFNA(INDEX('Aviation Synfuel Data'!$G$4:$M$22,MATCH('Aviation Synfuel-TSData'!$B13&amp;'Aviation Synfuel-TSData'!$C13&amp;$D13,'Aviation Synfuel Data'!$C$4:$C$22&amp;'Aviation Synfuel Data'!$A$4:$A$22&amp;'Aviation Synfuel Data'!$D$4:$D$22,0),MATCH(AJ$2,'Aviation Synfuel Data'!$G$3:$M$3,0)),"null")</f>
        <v>null</v>
      </c>
      <c r="AK13" s="82" t="str" cm="1">
        <f t="array" ref="AK13">_xlfn.IFNA(INDEX('Aviation Synfuel Data'!$G$4:$M$22,MATCH('Aviation Synfuel-TSData'!$B13&amp;'Aviation Synfuel-TSData'!$C13&amp;$D13,'Aviation Synfuel Data'!$C$4:$C$22&amp;'Aviation Synfuel Data'!$A$4:$A$22&amp;'Aviation Synfuel Data'!$D$4:$D$22,0),MATCH(AK$2,'Aviation Synfuel Data'!$G$3:$M$3,0)),"null")</f>
        <v>null</v>
      </c>
      <c r="AL13" s="82" cm="1">
        <f t="array" ref="AL13">_xlfn.IFNA(INDEX('Aviation Synfuel Data'!$G$4:$M$22,MATCH('Aviation Synfuel-TSData'!$B13&amp;'Aviation Synfuel-TSData'!$C13&amp;$D13,'Aviation Synfuel Data'!$C$4:$C$22&amp;'Aviation Synfuel Data'!$A$4:$A$22&amp;'Aviation Synfuel Data'!$D$4:$D$22,0),MATCH(AL$2,'Aviation Synfuel Data'!$G$3:$M$3,0)),"null")</f>
        <v>13.252271820658279</v>
      </c>
      <c r="AM13" s="82" t="str" cm="1">
        <f t="array" ref="AM13">_xlfn.IFNA(INDEX('Aviation Synfuel Data'!$G$4:$M$22,MATCH('Aviation Synfuel-TSData'!$B13&amp;'Aviation Synfuel-TSData'!$C13&amp;$D13,'Aviation Synfuel Data'!$C$4:$C$22&amp;'Aviation Synfuel Data'!$A$4:$A$22&amp;'Aviation Synfuel Data'!$D$4:$D$22,0),MATCH(AM$2,'Aviation Synfuel Data'!$G$3:$M$3,0)),"null")</f>
        <v>null</v>
      </c>
      <c r="AN13" s="82" cm="1">
        <f t="array" ref="AN13">_xlfn.IFNA(INDEX('Aviation Synfuel Data'!$G$4:$M$22,MATCH('Aviation Synfuel-TSData'!$B13&amp;'Aviation Synfuel-TSData'!$C13&amp;$D13,'Aviation Synfuel Data'!$C$4:$C$22&amp;'Aviation Synfuel Data'!$A$4:$A$22&amp;'Aviation Synfuel Data'!$D$4:$D$22,0),MATCH(AN$2,'Aviation Synfuel Data'!$G$3:$M$3,0)),"null")</f>
        <v>11.393381513312923</v>
      </c>
      <c r="AO13" s="82" cm="1">
        <f t="array" ref="AO13">_xlfn.IFNA(INDEX('Aviation Synfuel Data'!$G$4:$M$22,MATCH('Aviation Synfuel-TSData'!$B13&amp;'Aviation Synfuel-TSData'!$C13&amp;$D13,'Aviation Synfuel Data'!$C$4:$C$22&amp;'Aviation Synfuel Data'!$A$4:$A$22&amp;'Aviation Synfuel Data'!$D$4:$D$22,0),MATCH(AO$2,'Aviation Synfuel Data'!$G$3:$M$3,0)),"null")</f>
        <v>11.393381513312923</v>
      </c>
      <c r="AP13" s="82" cm="1">
        <f t="array" ref="AP13">_xlfn.IFNA(INDEX('Aviation Synfuel Data'!$G$4:$M$22,MATCH('Aviation Synfuel-TSData'!$B13&amp;'Aviation Synfuel-TSData'!$C13&amp;$D13,'Aviation Synfuel Data'!$C$4:$C$22&amp;'Aviation Synfuel Data'!$A$4:$A$22&amp;'Aviation Synfuel Data'!$D$4:$D$22,0),MATCH(AP$2,'Aviation Synfuel Data'!$G$3:$M$3,0)),"null")</f>
        <v>11.393381513312923</v>
      </c>
    </row>
    <row r="14" spans="1:42" x14ac:dyDescent="0.25">
      <c r="B14" t="s">
        <v>47</v>
      </c>
      <c r="C14" t="s">
        <v>238</v>
      </c>
      <c r="D14" t="s">
        <v>236</v>
      </c>
      <c r="E14" t="s">
        <v>236</v>
      </c>
      <c r="F14" t="s">
        <v>236</v>
      </c>
      <c r="G14" t="s">
        <v>236</v>
      </c>
      <c r="H14" t="s">
        <v>236</v>
      </c>
      <c r="I14">
        <v>0</v>
      </c>
      <c r="J14" s="82" t="str" cm="1">
        <f t="array" ref="J14">_xlfn.IFNA(INDEX('Aviation Synfuel Data'!$G$4:$M$22,MATCH('Aviation Synfuel-TSData'!$B14&amp;'Aviation Synfuel-TSData'!$C14&amp;$D14,'Aviation Synfuel Data'!$C$4:$C$22&amp;'Aviation Synfuel Data'!$A$4:$A$22&amp;'Aviation Synfuel Data'!$D$4:$D$22,0),MATCH(J$2,'Aviation Synfuel Data'!$G$3:$M$3,0)),"null")</f>
        <v>null</v>
      </c>
      <c r="K14" s="82" t="str" cm="1">
        <f t="array" ref="K14">_xlfn.IFNA(INDEX('Aviation Synfuel Data'!$G$4:$M$22,MATCH('Aviation Synfuel-TSData'!$B14&amp;'Aviation Synfuel-TSData'!$C14&amp;$D14,'Aviation Synfuel Data'!$C$4:$C$22&amp;'Aviation Synfuel Data'!$A$4:$A$22&amp;'Aviation Synfuel Data'!$D$4:$D$22,0),MATCH(K$2,'Aviation Synfuel Data'!$G$3:$M$3,0)),"null")</f>
        <v>null</v>
      </c>
      <c r="L14" s="82" t="str" cm="1">
        <f t="array" ref="L14">_xlfn.IFNA(INDEX('Aviation Synfuel Data'!$G$4:$M$22,MATCH('Aviation Synfuel-TSData'!$B14&amp;'Aviation Synfuel-TSData'!$C14&amp;$D14,'Aviation Synfuel Data'!$C$4:$C$22&amp;'Aviation Synfuel Data'!$A$4:$A$22&amp;'Aviation Synfuel Data'!$D$4:$D$22,0),MATCH(L$2,'Aviation Synfuel Data'!$G$3:$M$3,0)),"null")</f>
        <v>null</v>
      </c>
      <c r="M14" s="82" t="str" cm="1">
        <f t="array" ref="M14">_xlfn.IFNA(INDEX('Aviation Synfuel Data'!$G$4:$M$22,MATCH('Aviation Synfuel-TSData'!$B14&amp;'Aviation Synfuel-TSData'!$C14&amp;$D14,'Aviation Synfuel Data'!$C$4:$C$22&amp;'Aviation Synfuel Data'!$A$4:$A$22&amp;'Aviation Synfuel Data'!$D$4:$D$22,0),MATCH(M$2,'Aviation Synfuel Data'!$G$3:$M$3,0)),"null")</f>
        <v>null</v>
      </c>
      <c r="N14" s="82" t="str" cm="1">
        <f t="array" ref="N14">_xlfn.IFNA(INDEX('Aviation Synfuel Data'!$G$4:$M$22,MATCH('Aviation Synfuel-TSData'!$B14&amp;'Aviation Synfuel-TSData'!$C14&amp;$D14,'Aviation Synfuel Data'!$C$4:$C$22&amp;'Aviation Synfuel Data'!$A$4:$A$22&amp;'Aviation Synfuel Data'!$D$4:$D$22,0),MATCH(N$2,'Aviation Synfuel Data'!$G$3:$M$3,0)),"null")</f>
        <v>null</v>
      </c>
      <c r="O14" s="82" t="str" cm="1">
        <f t="array" ref="O14">_xlfn.IFNA(INDEX('Aviation Synfuel Data'!$G$4:$M$22,MATCH('Aviation Synfuel-TSData'!$B14&amp;'Aviation Synfuel-TSData'!$C14&amp;$D14,'Aviation Synfuel Data'!$C$4:$C$22&amp;'Aviation Synfuel Data'!$A$4:$A$22&amp;'Aviation Synfuel Data'!$D$4:$D$22,0),MATCH(O$2,'Aviation Synfuel Data'!$G$3:$M$3,0)),"null")</f>
        <v>null</v>
      </c>
      <c r="P14" s="82" t="str" cm="1">
        <f t="array" ref="P14">_xlfn.IFNA(INDEX('Aviation Synfuel Data'!$G$4:$M$22,MATCH('Aviation Synfuel-TSData'!$B14&amp;'Aviation Synfuel-TSData'!$C14&amp;$D14,'Aviation Synfuel Data'!$C$4:$C$22&amp;'Aviation Synfuel Data'!$A$4:$A$22&amp;'Aviation Synfuel Data'!$D$4:$D$22,0),MATCH(P$2,'Aviation Synfuel Data'!$G$3:$M$3,0)),"null")</f>
        <v>null</v>
      </c>
      <c r="Q14" s="82" t="str" cm="1">
        <f t="array" ref="Q14">_xlfn.IFNA(INDEX('Aviation Synfuel Data'!$G$4:$M$22,MATCH('Aviation Synfuel-TSData'!$B14&amp;'Aviation Synfuel-TSData'!$C14&amp;$D14,'Aviation Synfuel Data'!$C$4:$C$22&amp;'Aviation Synfuel Data'!$A$4:$A$22&amp;'Aviation Synfuel Data'!$D$4:$D$22,0),MATCH(Q$2,'Aviation Synfuel Data'!$G$3:$M$3,0)),"null")</f>
        <v>null</v>
      </c>
      <c r="R14" s="82" cm="1">
        <f t="array" ref="R14">_xlfn.IFNA(INDEX('Aviation Synfuel Data'!$G$4:$M$22,MATCH('Aviation Synfuel-TSData'!$B14&amp;'Aviation Synfuel-TSData'!$C14&amp;$D14,'Aviation Synfuel Data'!$C$4:$C$22&amp;'Aviation Synfuel Data'!$A$4:$A$22&amp;'Aviation Synfuel Data'!$D$4:$D$22,0),MATCH(R$2,'Aviation Synfuel Data'!$G$3:$M$3,0)),"null")</f>
        <v>-6</v>
      </c>
      <c r="S14" s="82" t="str" cm="1">
        <f t="array" ref="S14">_xlfn.IFNA(INDEX('Aviation Synfuel Data'!$G$4:$M$22,MATCH('Aviation Synfuel-TSData'!$B14&amp;'Aviation Synfuel-TSData'!$C14&amp;$D14,'Aviation Synfuel Data'!$C$4:$C$22&amp;'Aviation Synfuel Data'!$A$4:$A$22&amp;'Aviation Synfuel Data'!$D$4:$D$22,0),MATCH(S$2,'Aviation Synfuel Data'!$G$3:$M$3,0)),"null")</f>
        <v>null</v>
      </c>
      <c r="T14" s="82" t="str" cm="1">
        <f t="array" ref="T14">_xlfn.IFNA(INDEX('Aviation Synfuel Data'!$G$4:$M$22,MATCH('Aviation Synfuel-TSData'!$B14&amp;'Aviation Synfuel-TSData'!$C14&amp;$D14,'Aviation Synfuel Data'!$C$4:$C$22&amp;'Aviation Synfuel Data'!$A$4:$A$22&amp;'Aviation Synfuel Data'!$D$4:$D$22,0),MATCH(T$2,'Aviation Synfuel Data'!$G$3:$M$3,0)),"null")</f>
        <v>null</v>
      </c>
      <c r="U14" s="82" t="str" cm="1">
        <f t="array" ref="U14">_xlfn.IFNA(INDEX('Aviation Synfuel Data'!$G$4:$M$22,MATCH('Aviation Synfuel-TSData'!$B14&amp;'Aviation Synfuel-TSData'!$C14&amp;$D14,'Aviation Synfuel Data'!$C$4:$C$22&amp;'Aviation Synfuel Data'!$A$4:$A$22&amp;'Aviation Synfuel Data'!$D$4:$D$22,0),MATCH(U$2,'Aviation Synfuel Data'!$G$3:$M$3,0)),"null")</f>
        <v>null</v>
      </c>
      <c r="V14" s="82" t="str" cm="1">
        <f t="array" ref="V14">_xlfn.IFNA(INDEX('Aviation Synfuel Data'!$G$4:$M$22,MATCH('Aviation Synfuel-TSData'!$B14&amp;'Aviation Synfuel-TSData'!$C14&amp;$D14,'Aviation Synfuel Data'!$C$4:$C$22&amp;'Aviation Synfuel Data'!$A$4:$A$22&amp;'Aviation Synfuel Data'!$D$4:$D$22,0),MATCH(V$2,'Aviation Synfuel Data'!$G$3:$M$3,0)),"null")</f>
        <v>null</v>
      </c>
      <c r="W14" s="82" t="str" cm="1">
        <f t="array" ref="W14">_xlfn.IFNA(INDEX('Aviation Synfuel Data'!$G$4:$M$22,MATCH('Aviation Synfuel-TSData'!$B14&amp;'Aviation Synfuel-TSData'!$C14&amp;$D14,'Aviation Synfuel Data'!$C$4:$C$22&amp;'Aviation Synfuel Data'!$A$4:$A$22&amp;'Aviation Synfuel Data'!$D$4:$D$22,0),MATCH(W$2,'Aviation Synfuel Data'!$G$3:$M$3,0)),"null")</f>
        <v>null</v>
      </c>
      <c r="X14" s="82" t="str" cm="1">
        <f t="array" ref="X14">_xlfn.IFNA(INDEX('Aviation Synfuel Data'!$G$4:$M$22,MATCH('Aviation Synfuel-TSData'!$B14&amp;'Aviation Synfuel-TSData'!$C14&amp;$D14,'Aviation Synfuel Data'!$C$4:$C$22&amp;'Aviation Synfuel Data'!$A$4:$A$22&amp;'Aviation Synfuel Data'!$D$4:$D$22,0),MATCH(X$2,'Aviation Synfuel Data'!$G$3:$M$3,0)),"null")</f>
        <v>null</v>
      </c>
      <c r="Y14" s="82" t="str" cm="1">
        <f t="array" ref="Y14">_xlfn.IFNA(INDEX('Aviation Synfuel Data'!$G$4:$M$22,MATCH('Aviation Synfuel-TSData'!$B14&amp;'Aviation Synfuel-TSData'!$C14&amp;$D14,'Aviation Synfuel Data'!$C$4:$C$22&amp;'Aviation Synfuel Data'!$A$4:$A$22&amp;'Aviation Synfuel Data'!$D$4:$D$22,0),MATCH(Y$2,'Aviation Synfuel Data'!$G$3:$M$3,0)),"null")</f>
        <v>null</v>
      </c>
      <c r="Z14" s="82" t="str" cm="1">
        <f t="array" ref="Z14">_xlfn.IFNA(INDEX('Aviation Synfuel Data'!$G$4:$M$22,MATCH('Aviation Synfuel-TSData'!$B14&amp;'Aviation Synfuel-TSData'!$C14&amp;$D14,'Aviation Synfuel Data'!$C$4:$C$22&amp;'Aviation Synfuel Data'!$A$4:$A$22&amp;'Aviation Synfuel Data'!$D$4:$D$22,0),MATCH(Z$2,'Aviation Synfuel Data'!$G$3:$M$3,0)),"null")</f>
        <v>null</v>
      </c>
      <c r="AA14" s="82" t="str" cm="1">
        <f t="array" ref="AA14">_xlfn.IFNA(INDEX('Aviation Synfuel Data'!$G$4:$M$22,MATCH('Aviation Synfuel-TSData'!$B14&amp;'Aviation Synfuel-TSData'!$C14&amp;$D14,'Aviation Synfuel Data'!$C$4:$C$22&amp;'Aviation Synfuel Data'!$A$4:$A$22&amp;'Aviation Synfuel Data'!$D$4:$D$22,0),MATCH(AA$2,'Aviation Synfuel Data'!$G$3:$M$3,0)),"null")</f>
        <v>null</v>
      </c>
      <c r="AB14" s="82" cm="1">
        <f t="array" ref="AB14">_xlfn.IFNA(INDEX('Aviation Synfuel Data'!$G$4:$M$22,MATCH('Aviation Synfuel-TSData'!$B14&amp;'Aviation Synfuel-TSData'!$C14&amp;$D14,'Aviation Synfuel Data'!$C$4:$C$22&amp;'Aviation Synfuel Data'!$A$4:$A$22&amp;'Aviation Synfuel Data'!$D$4:$D$22,0),MATCH(AB$2,'Aviation Synfuel Data'!$G$3:$M$3,0)),"null")</f>
        <v>-6</v>
      </c>
      <c r="AC14" s="82" t="str" cm="1">
        <f t="array" ref="AC14">_xlfn.IFNA(INDEX('Aviation Synfuel Data'!$G$4:$M$22,MATCH('Aviation Synfuel-TSData'!$B14&amp;'Aviation Synfuel-TSData'!$C14&amp;$D14,'Aviation Synfuel Data'!$C$4:$C$22&amp;'Aviation Synfuel Data'!$A$4:$A$22&amp;'Aviation Synfuel Data'!$D$4:$D$22,0),MATCH(AC$2,'Aviation Synfuel Data'!$G$3:$M$3,0)),"null")</f>
        <v>null</v>
      </c>
      <c r="AD14" s="82" t="str" cm="1">
        <f t="array" ref="AD14">_xlfn.IFNA(INDEX('Aviation Synfuel Data'!$G$4:$M$22,MATCH('Aviation Synfuel-TSData'!$B14&amp;'Aviation Synfuel-TSData'!$C14&amp;$D14,'Aviation Synfuel Data'!$C$4:$C$22&amp;'Aviation Synfuel Data'!$A$4:$A$22&amp;'Aviation Synfuel Data'!$D$4:$D$22,0),MATCH(AD$2,'Aviation Synfuel Data'!$G$3:$M$3,0)),"null")</f>
        <v>null</v>
      </c>
      <c r="AE14" s="82" t="str" cm="1">
        <f t="array" ref="AE14">_xlfn.IFNA(INDEX('Aviation Synfuel Data'!$G$4:$M$22,MATCH('Aviation Synfuel-TSData'!$B14&amp;'Aviation Synfuel-TSData'!$C14&amp;$D14,'Aviation Synfuel Data'!$C$4:$C$22&amp;'Aviation Synfuel Data'!$A$4:$A$22&amp;'Aviation Synfuel Data'!$D$4:$D$22,0),MATCH(AE$2,'Aviation Synfuel Data'!$G$3:$M$3,0)),"null")</f>
        <v>null</v>
      </c>
      <c r="AF14" s="82" t="str" cm="1">
        <f t="array" ref="AF14">_xlfn.IFNA(INDEX('Aviation Synfuel Data'!$G$4:$M$22,MATCH('Aviation Synfuel-TSData'!$B14&amp;'Aviation Synfuel-TSData'!$C14&amp;$D14,'Aviation Synfuel Data'!$C$4:$C$22&amp;'Aviation Synfuel Data'!$A$4:$A$22&amp;'Aviation Synfuel Data'!$D$4:$D$22,0),MATCH(AF$2,'Aviation Synfuel Data'!$G$3:$M$3,0)),"null")</f>
        <v>null</v>
      </c>
      <c r="AG14" s="82" cm="1">
        <f t="array" ref="AG14">_xlfn.IFNA(INDEX('Aviation Synfuel Data'!$G$4:$M$22,MATCH('Aviation Synfuel-TSData'!$B14&amp;'Aviation Synfuel-TSData'!$C14&amp;$D14,'Aviation Synfuel Data'!$C$4:$C$22&amp;'Aviation Synfuel Data'!$A$4:$A$22&amp;'Aviation Synfuel Data'!$D$4:$D$22,0),MATCH(AG$2,'Aviation Synfuel Data'!$G$3:$M$3,0)),"null")</f>
        <v>-6</v>
      </c>
      <c r="AH14" s="82" t="str" cm="1">
        <f t="array" ref="AH14">_xlfn.IFNA(INDEX('Aviation Synfuel Data'!$G$4:$M$22,MATCH('Aviation Synfuel-TSData'!$B14&amp;'Aviation Synfuel-TSData'!$C14&amp;$D14,'Aviation Synfuel Data'!$C$4:$C$22&amp;'Aviation Synfuel Data'!$A$4:$A$22&amp;'Aviation Synfuel Data'!$D$4:$D$22,0),MATCH(AH$2,'Aviation Synfuel Data'!$G$3:$M$3,0)),"null")</f>
        <v>null</v>
      </c>
      <c r="AI14" s="82" t="str" cm="1">
        <f t="array" ref="AI14">_xlfn.IFNA(INDEX('Aviation Synfuel Data'!$G$4:$M$22,MATCH('Aviation Synfuel-TSData'!$B14&amp;'Aviation Synfuel-TSData'!$C14&amp;$D14,'Aviation Synfuel Data'!$C$4:$C$22&amp;'Aviation Synfuel Data'!$A$4:$A$22&amp;'Aviation Synfuel Data'!$D$4:$D$22,0),MATCH(AI$2,'Aviation Synfuel Data'!$G$3:$M$3,0)),"null")</f>
        <v>null</v>
      </c>
      <c r="AJ14" s="82" t="str" cm="1">
        <f t="array" ref="AJ14">_xlfn.IFNA(INDEX('Aviation Synfuel Data'!$G$4:$M$22,MATCH('Aviation Synfuel-TSData'!$B14&amp;'Aviation Synfuel-TSData'!$C14&amp;$D14,'Aviation Synfuel Data'!$C$4:$C$22&amp;'Aviation Synfuel Data'!$A$4:$A$22&amp;'Aviation Synfuel Data'!$D$4:$D$22,0),MATCH(AJ$2,'Aviation Synfuel Data'!$G$3:$M$3,0)),"null")</f>
        <v>null</v>
      </c>
      <c r="AK14" s="82" t="str" cm="1">
        <f t="array" ref="AK14">_xlfn.IFNA(INDEX('Aviation Synfuel Data'!$G$4:$M$22,MATCH('Aviation Synfuel-TSData'!$B14&amp;'Aviation Synfuel-TSData'!$C14&amp;$D14,'Aviation Synfuel Data'!$C$4:$C$22&amp;'Aviation Synfuel Data'!$A$4:$A$22&amp;'Aviation Synfuel Data'!$D$4:$D$22,0),MATCH(AK$2,'Aviation Synfuel Data'!$G$3:$M$3,0)),"null")</f>
        <v>null</v>
      </c>
      <c r="AL14" s="82" cm="1">
        <f t="array" ref="AL14">_xlfn.IFNA(INDEX('Aviation Synfuel Data'!$G$4:$M$22,MATCH('Aviation Synfuel-TSData'!$B14&amp;'Aviation Synfuel-TSData'!$C14&amp;$D14,'Aviation Synfuel Data'!$C$4:$C$22&amp;'Aviation Synfuel Data'!$A$4:$A$22&amp;'Aviation Synfuel Data'!$D$4:$D$22,0),MATCH(AL$2,'Aviation Synfuel Data'!$G$3:$M$3,0)),"null")</f>
        <v>-6</v>
      </c>
      <c r="AM14" s="82" t="str" cm="1">
        <f t="array" ref="AM14">_xlfn.IFNA(INDEX('Aviation Synfuel Data'!$G$4:$M$22,MATCH('Aviation Synfuel-TSData'!$B14&amp;'Aviation Synfuel-TSData'!$C14&amp;$D14,'Aviation Synfuel Data'!$C$4:$C$22&amp;'Aviation Synfuel Data'!$A$4:$A$22&amp;'Aviation Synfuel Data'!$D$4:$D$22,0),MATCH(AM$2,'Aviation Synfuel Data'!$G$3:$M$3,0)),"null")</f>
        <v>null</v>
      </c>
      <c r="AN14" s="82" cm="1">
        <f t="array" ref="AN14">_xlfn.IFNA(INDEX('Aviation Synfuel Data'!$G$4:$M$22,MATCH('Aviation Synfuel-TSData'!$B14&amp;'Aviation Synfuel-TSData'!$C14&amp;$D14,'Aviation Synfuel Data'!$C$4:$C$22&amp;'Aviation Synfuel Data'!$A$4:$A$22&amp;'Aviation Synfuel Data'!$D$4:$D$22,0),MATCH(AN$2,'Aviation Synfuel Data'!$G$3:$M$3,0)),"null")</f>
        <v>-6</v>
      </c>
      <c r="AO14" s="82" cm="1">
        <f t="array" ref="AO14">_xlfn.IFNA(INDEX('Aviation Synfuel Data'!$G$4:$M$22,MATCH('Aviation Synfuel-TSData'!$B14&amp;'Aviation Synfuel-TSData'!$C14&amp;$D14,'Aviation Synfuel Data'!$C$4:$C$22&amp;'Aviation Synfuel Data'!$A$4:$A$22&amp;'Aviation Synfuel Data'!$D$4:$D$22,0),MATCH(AO$2,'Aviation Synfuel Data'!$G$3:$M$3,0)),"null")</f>
        <v>-6</v>
      </c>
      <c r="AP14" s="82" cm="1">
        <f t="array" ref="AP14">_xlfn.IFNA(INDEX('Aviation Synfuel Data'!$G$4:$M$22,MATCH('Aviation Synfuel-TSData'!$B14&amp;'Aviation Synfuel-TSData'!$C14&amp;$D14,'Aviation Synfuel Data'!$C$4:$C$22&amp;'Aviation Synfuel Data'!$A$4:$A$22&amp;'Aviation Synfuel Data'!$D$4:$D$22,0),MATCH(AP$2,'Aviation Synfuel Data'!$G$3:$M$3,0)),"null")</f>
        <v>-6</v>
      </c>
    </row>
    <row r="15" spans="1:42" x14ac:dyDescent="0.25">
      <c r="B15" t="s">
        <v>239</v>
      </c>
      <c r="C15" t="s">
        <v>238</v>
      </c>
      <c r="D15" t="s">
        <v>236</v>
      </c>
      <c r="E15" t="s">
        <v>236</v>
      </c>
      <c r="F15" t="s">
        <v>236</v>
      </c>
      <c r="G15" t="s">
        <v>236</v>
      </c>
      <c r="H15" t="s">
        <v>236</v>
      </c>
      <c r="I15">
        <v>0</v>
      </c>
      <c r="J15" s="82" t="str" cm="1">
        <f t="array" ref="J15">_xlfn.IFNA(INDEX('Aviation Synfuel Data'!$G$4:$M$22,MATCH('Aviation Synfuel-TSData'!$B15&amp;'Aviation Synfuel-TSData'!$C15&amp;$D15,'Aviation Synfuel Data'!$C$4:$C$22&amp;'Aviation Synfuel Data'!$A$4:$A$22&amp;'Aviation Synfuel Data'!$D$4:$D$22,0),MATCH(J$2,'Aviation Synfuel Data'!$G$3:$M$3,0)),"null")</f>
        <v>null</v>
      </c>
      <c r="K15" s="82" t="str" cm="1">
        <f t="array" ref="K15">_xlfn.IFNA(INDEX('Aviation Synfuel Data'!$G$4:$M$22,MATCH('Aviation Synfuel-TSData'!$B15&amp;'Aviation Synfuel-TSData'!$C15&amp;$D15,'Aviation Synfuel Data'!$C$4:$C$22&amp;'Aviation Synfuel Data'!$A$4:$A$22&amp;'Aviation Synfuel Data'!$D$4:$D$22,0),MATCH(K$2,'Aviation Synfuel Data'!$G$3:$M$3,0)),"null")</f>
        <v>null</v>
      </c>
      <c r="L15" s="82" t="str" cm="1">
        <f t="array" ref="L15">_xlfn.IFNA(INDEX('Aviation Synfuel Data'!$G$4:$M$22,MATCH('Aviation Synfuel-TSData'!$B15&amp;'Aviation Synfuel-TSData'!$C15&amp;$D15,'Aviation Synfuel Data'!$C$4:$C$22&amp;'Aviation Synfuel Data'!$A$4:$A$22&amp;'Aviation Synfuel Data'!$D$4:$D$22,0),MATCH(L$2,'Aviation Synfuel Data'!$G$3:$M$3,0)),"null")</f>
        <v>null</v>
      </c>
      <c r="M15" s="82" t="str" cm="1">
        <f t="array" ref="M15">_xlfn.IFNA(INDEX('Aviation Synfuel Data'!$G$4:$M$22,MATCH('Aviation Synfuel-TSData'!$B15&amp;'Aviation Synfuel-TSData'!$C15&amp;$D15,'Aviation Synfuel Data'!$C$4:$C$22&amp;'Aviation Synfuel Data'!$A$4:$A$22&amp;'Aviation Synfuel Data'!$D$4:$D$22,0),MATCH(M$2,'Aviation Synfuel Data'!$G$3:$M$3,0)),"null")</f>
        <v>null</v>
      </c>
      <c r="N15" s="82" t="str" cm="1">
        <f t="array" ref="N15">_xlfn.IFNA(INDEX('Aviation Synfuel Data'!$G$4:$M$22,MATCH('Aviation Synfuel-TSData'!$B15&amp;'Aviation Synfuel-TSData'!$C15&amp;$D15,'Aviation Synfuel Data'!$C$4:$C$22&amp;'Aviation Synfuel Data'!$A$4:$A$22&amp;'Aviation Synfuel Data'!$D$4:$D$22,0),MATCH(N$2,'Aviation Synfuel Data'!$G$3:$M$3,0)),"null")</f>
        <v>null</v>
      </c>
      <c r="O15" s="82" t="str" cm="1">
        <f t="array" ref="O15">_xlfn.IFNA(INDEX('Aviation Synfuel Data'!$G$4:$M$22,MATCH('Aviation Synfuel-TSData'!$B15&amp;'Aviation Synfuel-TSData'!$C15&amp;$D15,'Aviation Synfuel Data'!$C$4:$C$22&amp;'Aviation Synfuel Data'!$A$4:$A$22&amp;'Aviation Synfuel Data'!$D$4:$D$22,0),MATCH(O$2,'Aviation Synfuel Data'!$G$3:$M$3,0)),"null")</f>
        <v>null</v>
      </c>
      <c r="P15" s="82" t="str" cm="1">
        <f t="array" ref="P15">_xlfn.IFNA(INDEX('Aviation Synfuel Data'!$G$4:$M$22,MATCH('Aviation Synfuel-TSData'!$B15&amp;'Aviation Synfuel-TSData'!$C15&amp;$D15,'Aviation Synfuel Data'!$C$4:$C$22&amp;'Aviation Synfuel Data'!$A$4:$A$22&amp;'Aviation Synfuel Data'!$D$4:$D$22,0),MATCH(P$2,'Aviation Synfuel Data'!$G$3:$M$3,0)),"null")</f>
        <v>null</v>
      </c>
      <c r="Q15" s="82" t="str" cm="1">
        <f t="array" ref="Q15">_xlfn.IFNA(INDEX('Aviation Synfuel Data'!$G$4:$M$22,MATCH('Aviation Synfuel-TSData'!$B15&amp;'Aviation Synfuel-TSData'!$C15&amp;$D15,'Aviation Synfuel Data'!$C$4:$C$22&amp;'Aviation Synfuel Data'!$A$4:$A$22&amp;'Aviation Synfuel Data'!$D$4:$D$22,0),MATCH(Q$2,'Aviation Synfuel Data'!$G$3:$M$3,0)),"null")</f>
        <v>null</v>
      </c>
      <c r="R15" s="82" cm="1">
        <f t="array" ref="R15">_xlfn.IFNA(INDEX('Aviation Synfuel Data'!$G$4:$M$22,MATCH('Aviation Synfuel-TSData'!$B15&amp;'Aviation Synfuel-TSData'!$C15&amp;$D15,'Aviation Synfuel Data'!$C$4:$C$22&amp;'Aviation Synfuel Data'!$A$4:$A$22&amp;'Aviation Synfuel Data'!$D$4:$D$22,0),MATCH(R$2,'Aviation Synfuel Data'!$G$3:$M$3,0)),"null")</f>
        <v>25</v>
      </c>
      <c r="S15" s="82" t="str" cm="1">
        <f t="array" ref="S15">_xlfn.IFNA(INDEX('Aviation Synfuel Data'!$G$4:$M$22,MATCH('Aviation Synfuel-TSData'!$B15&amp;'Aviation Synfuel-TSData'!$C15&amp;$D15,'Aviation Synfuel Data'!$C$4:$C$22&amp;'Aviation Synfuel Data'!$A$4:$A$22&amp;'Aviation Synfuel Data'!$D$4:$D$22,0),MATCH(S$2,'Aviation Synfuel Data'!$G$3:$M$3,0)),"null")</f>
        <v>null</v>
      </c>
      <c r="T15" s="82" t="str" cm="1">
        <f t="array" ref="T15">_xlfn.IFNA(INDEX('Aviation Synfuel Data'!$G$4:$M$22,MATCH('Aviation Synfuel-TSData'!$B15&amp;'Aviation Synfuel-TSData'!$C15&amp;$D15,'Aviation Synfuel Data'!$C$4:$C$22&amp;'Aviation Synfuel Data'!$A$4:$A$22&amp;'Aviation Synfuel Data'!$D$4:$D$22,0),MATCH(T$2,'Aviation Synfuel Data'!$G$3:$M$3,0)),"null")</f>
        <v>null</v>
      </c>
      <c r="U15" s="82" t="str" cm="1">
        <f t="array" ref="U15">_xlfn.IFNA(INDEX('Aviation Synfuel Data'!$G$4:$M$22,MATCH('Aviation Synfuel-TSData'!$B15&amp;'Aviation Synfuel-TSData'!$C15&amp;$D15,'Aviation Synfuel Data'!$C$4:$C$22&amp;'Aviation Synfuel Data'!$A$4:$A$22&amp;'Aviation Synfuel Data'!$D$4:$D$22,0),MATCH(U$2,'Aviation Synfuel Data'!$G$3:$M$3,0)),"null")</f>
        <v>null</v>
      </c>
      <c r="V15" s="82" t="str" cm="1">
        <f t="array" ref="V15">_xlfn.IFNA(INDEX('Aviation Synfuel Data'!$G$4:$M$22,MATCH('Aviation Synfuel-TSData'!$B15&amp;'Aviation Synfuel-TSData'!$C15&amp;$D15,'Aviation Synfuel Data'!$C$4:$C$22&amp;'Aviation Synfuel Data'!$A$4:$A$22&amp;'Aviation Synfuel Data'!$D$4:$D$22,0),MATCH(V$2,'Aviation Synfuel Data'!$G$3:$M$3,0)),"null")</f>
        <v>null</v>
      </c>
      <c r="W15" s="82" t="str" cm="1">
        <f t="array" ref="W15">_xlfn.IFNA(INDEX('Aviation Synfuel Data'!$G$4:$M$22,MATCH('Aviation Synfuel-TSData'!$B15&amp;'Aviation Synfuel-TSData'!$C15&amp;$D15,'Aviation Synfuel Data'!$C$4:$C$22&amp;'Aviation Synfuel Data'!$A$4:$A$22&amp;'Aviation Synfuel Data'!$D$4:$D$22,0),MATCH(W$2,'Aviation Synfuel Data'!$G$3:$M$3,0)),"null")</f>
        <v>null</v>
      </c>
      <c r="X15" s="82" t="str" cm="1">
        <f t="array" ref="X15">_xlfn.IFNA(INDEX('Aviation Synfuel Data'!$G$4:$M$22,MATCH('Aviation Synfuel-TSData'!$B15&amp;'Aviation Synfuel-TSData'!$C15&amp;$D15,'Aviation Synfuel Data'!$C$4:$C$22&amp;'Aviation Synfuel Data'!$A$4:$A$22&amp;'Aviation Synfuel Data'!$D$4:$D$22,0),MATCH(X$2,'Aviation Synfuel Data'!$G$3:$M$3,0)),"null")</f>
        <v>null</v>
      </c>
      <c r="Y15" s="82" t="str" cm="1">
        <f t="array" ref="Y15">_xlfn.IFNA(INDEX('Aviation Synfuel Data'!$G$4:$M$22,MATCH('Aviation Synfuel-TSData'!$B15&amp;'Aviation Synfuel-TSData'!$C15&amp;$D15,'Aviation Synfuel Data'!$C$4:$C$22&amp;'Aviation Synfuel Data'!$A$4:$A$22&amp;'Aviation Synfuel Data'!$D$4:$D$22,0),MATCH(Y$2,'Aviation Synfuel Data'!$G$3:$M$3,0)),"null")</f>
        <v>null</v>
      </c>
      <c r="Z15" s="82" t="str" cm="1">
        <f t="array" ref="Z15">_xlfn.IFNA(INDEX('Aviation Synfuel Data'!$G$4:$M$22,MATCH('Aviation Synfuel-TSData'!$B15&amp;'Aviation Synfuel-TSData'!$C15&amp;$D15,'Aviation Synfuel Data'!$C$4:$C$22&amp;'Aviation Synfuel Data'!$A$4:$A$22&amp;'Aviation Synfuel Data'!$D$4:$D$22,0),MATCH(Z$2,'Aviation Synfuel Data'!$G$3:$M$3,0)),"null")</f>
        <v>null</v>
      </c>
      <c r="AA15" s="82" t="str" cm="1">
        <f t="array" ref="AA15">_xlfn.IFNA(INDEX('Aviation Synfuel Data'!$G$4:$M$22,MATCH('Aviation Synfuel-TSData'!$B15&amp;'Aviation Synfuel-TSData'!$C15&amp;$D15,'Aviation Synfuel Data'!$C$4:$C$22&amp;'Aviation Synfuel Data'!$A$4:$A$22&amp;'Aviation Synfuel Data'!$D$4:$D$22,0),MATCH(AA$2,'Aviation Synfuel Data'!$G$3:$M$3,0)),"null")</f>
        <v>null</v>
      </c>
      <c r="AB15" s="82" cm="1">
        <f t="array" ref="AB15">_xlfn.IFNA(INDEX('Aviation Synfuel Data'!$G$4:$M$22,MATCH('Aviation Synfuel-TSData'!$B15&amp;'Aviation Synfuel-TSData'!$C15&amp;$D15,'Aviation Synfuel Data'!$C$4:$C$22&amp;'Aviation Synfuel Data'!$A$4:$A$22&amp;'Aviation Synfuel Data'!$D$4:$D$22,0),MATCH(AB$2,'Aviation Synfuel Data'!$G$3:$M$3,0)),"null")</f>
        <v>25</v>
      </c>
      <c r="AC15" s="82" t="str" cm="1">
        <f t="array" ref="AC15">_xlfn.IFNA(INDEX('Aviation Synfuel Data'!$G$4:$M$22,MATCH('Aviation Synfuel-TSData'!$B15&amp;'Aviation Synfuel-TSData'!$C15&amp;$D15,'Aviation Synfuel Data'!$C$4:$C$22&amp;'Aviation Synfuel Data'!$A$4:$A$22&amp;'Aviation Synfuel Data'!$D$4:$D$22,0),MATCH(AC$2,'Aviation Synfuel Data'!$G$3:$M$3,0)),"null")</f>
        <v>null</v>
      </c>
      <c r="AD15" s="82" t="str" cm="1">
        <f t="array" ref="AD15">_xlfn.IFNA(INDEX('Aviation Synfuel Data'!$G$4:$M$22,MATCH('Aviation Synfuel-TSData'!$B15&amp;'Aviation Synfuel-TSData'!$C15&amp;$D15,'Aviation Synfuel Data'!$C$4:$C$22&amp;'Aviation Synfuel Data'!$A$4:$A$22&amp;'Aviation Synfuel Data'!$D$4:$D$22,0),MATCH(AD$2,'Aviation Synfuel Data'!$G$3:$M$3,0)),"null")</f>
        <v>null</v>
      </c>
      <c r="AE15" s="82" t="str" cm="1">
        <f t="array" ref="AE15">_xlfn.IFNA(INDEX('Aviation Synfuel Data'!$G$4:$M$22,MATCH('Aviation Synfuel-TSData'!$B15&amp;'Aviation Synfuel-TSData'!$C15&amp;$D15,'Aviation Synfuel Data'!$C$4:$C$22&amp;'Aviation Synfuel Data'!$A$4:$A$22&amp;'Aviation Synfuel Data'!$D$4:$D$22,0),MATCH(AE$2,'Aviation Synfuel Data'!$G$3:$M$3,0)),"null")</f>
        <v>null</v>
      </c>
      <c r="AF15" s="82" t="str" cm="1">
        <f t="array" ref="AF15">_xlfn.IFNA(INDEX('Aviation Synfuel Data'!$G$4:$M$22,MATCH('Aviation Synfuel-TSData'!$B15&amp;'Aviation Synfuel-TSData'!$C15&amp;$D15,'Aviation Synfuel Data'!$C$4:$C$22&amp;'Aviation Synfuel Data'!$A$4:$A$22&amp;'Aviation Synfuel Data'!$D$4:$D$22,0),MATCH(AF$2,'Aviation Synfuel Data'!$G$3:$M$3,0)),"null")</f>
        <v>null</v>
      </c>
      <c r="AG15" s="82" cm="1">
        <f t="array" ref="AG15">_xlfn.IFNA(INDEX('Aviation Synfuel Data'!$G$4:$M$22,MATCH('Aviation Synfuel-TSData'!$B15&amp;'Aviation Synfuel-TSData'!$C15&amp;$D15,'Aviation Synfuel Data'!$C$4:$C$22&amp;'Aviation Synfuel Data'!$A$4:$A$22&amp;'Aviation Synfuel Data'!$D$4:$D$22,0),MATCH(AG$2,'Aviation Synfuel Data'!$G$3:$M$3,0)),"null")</f>
        <v>25</v>
      </c>
      <c r="AH15" s="82" t="str" cm="1">
        <f t="array" ref="AH15">_xlfn.IFNA(INDEX('Aviation Synfuel Data'!$G$4:$M$22,MATCH('Aviation Synfuel-TSData'!$B15&amp;'Aviation Synfuel-TSData'!$C15&amp;$D15,'Aviation Synfuel Data'!$C$4:$C$22&amp;'Aviation Synfuel Data'!$A$4:$A$22&amp;'Aviation Synfuel Data'!$D$4:$D$22,0),MATCH(AH$2,'Aviation Synfuel Data'!$G$3:$M$3,0)),"null")</f>
        <v>null</v>
      </c>
      <c r="AI15" s="82" t="str" cm="1">
        <f t="array" ref="AI15">_xlfn.IFNA(INDEX('Aviation Synfuel Data'!$G$4:$M$22,MATCH('Aviation Synfuel-TSData'!$B15&amp;'Aviation Synfuel-TSData'!$C15&amp;$D15,'Aviation Synfuel Data'!$C$4:$C$22&amp;'Aviation Synfuel Data'!$A$4:$A$22&amp;'Aviation Synfuel Data'!$D$4:$D$22,0),MATCH(AI$2,'Aviation Synfuel Data'!$G$3:$M$3,0)),"null")</f>
        <v>null</v>
      </c>
      <c r="AJ15" s="82" t="str" cm="1">
        <f t="array" ref="AJ15">_xlfn.IFNA(INDEX('Aviation Synfuel Data'!$G$4:$M$22,MATCH('Aviation Synfuel-TSData'!$B15&amp;'Aviation Synfuel-TSData'!$C15&amp;$D15,'Aviation Synfuel Data'!$C$4:$C$22&amp;'Aviation Synfuel Data'!$A$4:$A$22&amp;'Aviation Synfuel Data'!$D$4:$D$22,0),MATCH(AJ$2,'Aviation Synfuel Data'!$G$3:$M$3,0)),"null")</f>
        <v>null</v>
      </c>
      <c r="AK15" s="82" t="str" cm="1">
        <f t="array" ref="AK15">_xlfn.IFNA(INDEX('Aviation Synfuel Data'!$G$4:$M$22,MATCH('Aviation Synfuel-TSData'!$B15&amp;'Aviation Synfuel-TSData'!$C15&amp;$D15,'Aviation Synfuel Data'!$C$4:$C$22&amp;'Aviation Synfuel Data'!$A$4:$A$22&amp;'Aviation Synfuel Data'!$D$4:$D$22,0),MATCH(AK$2,'Aviation Synfuel Data'!$G$3:$M$3,0)),"null")</f>
        <v>null</v>
      </c>
      <c r="AL15" s="82" cm="1">
        <f t="array" ref="AL15">_xlfn.IFNA(INDEX('Aviation Synfuel Data'!$G$4:$M$22,MATCH('Aviation Synfuel-TSData'!$B15&amp;'Aviation Synfuel-TSData'!$C15&amp;$D15,'Aviation Synfuel Data'!$C$4:$C$22&amp;'Aviation Synfuel Data'!$A$4:$A$22&amp;'Aviation Synfuel Data'!$D$4:$D$22,0),MATCH(AL$2,'Aviation Synfuel Data'!$G$3:$M$3,0)),"null")</f>
        <v>25</v>
      </c>
      <c r="AM15" s="82" t="str" cm="1">
        <f t="array" ref="AM15">_xlfn.IFNA(INDEX('Aviation Synfuel Data'!$G$4:$M$22,MATCH('Aviation Synfuel-TSData'!$B15&amp;'Aviation Synfuel-TSData'!$C15&amp;$D15,'Aviation Synfuel Data'!$C$4:$C$22&amp;'Aviation Synfuel Data'!$A$4:$A$22&amp;'Aviation Synfuel Data'!$D$4:$D$22,0),MATCH(AM$2,'Aviation Synfuel Data'!$G$3:$M$3,0)),"null")</f>
        <v>null</v>
      </c>
      <c r="AN15" s="82" cm="1">
        <f t="array" ref="AN15">_xlfn.IFNA(INDEX('Aviation Synfuel Data'!$G$4:$M$22,MATCH('Aviation Synfuel-TSData'!$B15&amp;'Aviation Synfuel-TSData'!$C15&amp;$D15,'Aviation Synfuel Data'!$C$4:$C$22&amp;'Aviation Synfuel Data'!$A$4:$A$22&amp;'Aviation Synfuel Data'!$D$4:$D$22,0),MATCH(AN$2,'Aviation Synfuel Data'!$G$3:$M$3,0)),"null")</f>
        <v>25</v>
      </c>
      <c r="AO15" s="82" cm="1">
        <f t="array" ref="AO15">_xlfn.IFNA(INDEX('Aviation Synfuel Data'!$G$4:$M$22,MATCH('Aviation Synfuel-TSData'!$B15&amp;'Aviation Synfuel-TSData'!$C15&amp;$D15,'Aviation Synfuel Data'!$C$4:$C$22&amp;'Aviation Synfuel Data'!$A$4:$A$22&amp;'Aviation Synfuel Data'!$D$4:$D$22,0),MATCH(AO$2,'Aviation Synfuel Data'!$G$3:$M$3,0)),"null")</f>
        <v>25</v>
      </c>
      <c r="AP15" s="82" cm="1">
        <f t="array" ref="AP15">_xlfn.IFNA(INDEX('Aviation Synfuel Data'!$G$4:$M$22,MATCH('Aviation Synfuel-TSData'!$B15&amp;'Aviation Synfuel-TSData'!$C15&amp;$D15,'Aviation Synfuel Data'!$C$4:$C$22&amp;'Aviation Synfuel Data'!$A$4:$A$22&amp;'Aviation Synfuel Data'!$D$4:$D$22,0),MATCH(AP$2,'Aviation Synfuel Data'!$G$3:$M$3,0)),"null")</f>
        <v>25</v>
      </c>
    </row>
    <row r="16" spans="1:42" x14ac:dyDescent="0.25">
      <c r="B16" t="s">
        <v>294</v>
      </c>
      <c r="C16" t="str">
        <f>'Aviation Synfuel-Items'!C6</f>
        <v>XOKGOKE</v>
      </c>
      <c r="D16" t="s">
        <v>236</v>
      </c>
      <c r="E16" t="s">
        <v>293</v>
      </c>
      <c r="F16" t="s">
        <v>236</v>
      </c>
      <c r="G16" t="s">
        <v>291</v>
      </c>
      <c r="H16" t="s">
        <v>236</v>
      </c>
      <c r="I16">
        <v>0</v>
      </c>
      <c r="J16">
        <v>1</v>
      </c>
    </row>
    <row r="17" spans="2:42" x14ac:dyDescent="0.25">
      <c r="B17" t="s">
        <v>81</v>
      </c>
      <c r="C17" t="str">
        <f>'Aviation Synfuel-Items'!C7</f>
        <v>PEXOKG</v>
      </c>
      <c r="D17" t="s">
        <v>236</v>
      </c>
      <c r="E17" t="s">
        <v>236</v>
      </c>
      <c r="F17" t="s">
        <v>236</v>
      </c>
      <c r="G17" t="s">
        <v>236</v>
      </c>
      <c r="H17" t="s">
        <v>236</v>
      </c>
      <c r="I17">
        <v>0</v>
      </c>
      <c r="J17" s="82" t="str">
        <f>IFERROR(#REF!*-1*(1+'Aviation Synfuel Data'!$G$23),"")</f>
        <v/>
      </c>
      <c r="K17" s="82" t="str">
        <f>IFERROR(#REF!*-1*(1+'Aviation Synfuel Data'!$G$23),"")</f>
        <v/>
      </c>
      <c r="L17" s="82" t="str">
        <f>IFERROR(#REF!*-1*(1+'Aviation Synfuel Data'!$G$23),"")</f>
        <v/>
      </c>
      <c r="M17" s="82" t="str">
        <f>IFERROR(#REF!*-1*(1+'Aviation Synfuel Data'!$G$23),"")</f>
        <v/>
      </c>
      <c r="N17" s="82" t="str">
        <f>IFERROR(#REF!*-1*(1+'Aviation Synfuel Data'!$G$23),"")</f>
        <v/>
      </c>
      <c r="O17" s="82" t="str">
        <f>IFERROR(#REF!*-1*(1+'Aviation Synfuel Data'!$G$23),"")</f>
        <v/>
      </c>
      <c r="P17" s="82" t="str">
        <f>IFERROR(#REF!*-1*(1+'Aviation Synfuel Data'!$G$23),"")</f>
        <v/>
      </c>
      <c r="Q17" s="82" t="str">
        <f>IFERROR(#REF!*-1*(1+'Aviation Synfuel Data'!$G$23),"")</f>
        <v/>
      </c>
      <c r="R17" s="82" t="str">
        <f>IFERROR(#REF!*-1*(1+'Aviation Synfuel Data'!$G$23),"")</f>
        <v/>
      </c>
      <c r="S17" s="82" t="str">
        <f>IFERROR(#REF!*-1*(1+'Aviation Synfuel Data'!$G$23),"")</f>
        <v/>
      </c>
      <c r="T17" s="82" t="str">
        <f>IFERROR(#REF!*-1*(1+'Aviation Synfuel Data'!$G$23),"")</f>
        <v/>
      </c>
      <c r="U17" s="82" t="str">
        <f>IFERROR(#REF!*-1*(1+'Aviation Synfuel Data'!$G$23),"")</f>
        <v/>
      </c>
      <c r="V17" s="82" t="str">
        <f>IFERROR(#REF!*-1*(1+'Aviation Synfuel Data'!$G$23),"")</f>
        <v/>
      </c>
      <c r="W17" s="82" t="str">
        <f>IFERROR(#REF!*-1*(1+'Aviation Synfuel Data'!$G$23),"")</f>
        <v/>
      </c>
      <c r="X17" s="82" t="str">
        <f>IFERROR(#REF!*-1*(1+'Aviation Synfuel Data'!$G$23),"")</f>
        <v/>
      </c>
      <c r="Y17" s="82" t="str">
        <f>IFERROR(#REF!*-1*(1+'Aviation Synfuel Data'!$G$23),"")</f>
        <v/>
      </c>
      <c r="Z17" s="82" t="str">
        <f>IFERROR(#REF!*-1*(1+'Aviation Synfuel Data'!$G$23),"")</f>
        <v/>
      </c>
      <c r="AA17" s="82" t="str">
        <f>IFERROR(#REF!*-1*(1+'Aviation Synfuel Data'!$G$23),"")</f>
        <v/>
      </c>
      <c r="AB17" s="82" t="str">
        <f>IFERROR(#REF!*-1*(1+'Aviation Synfuel Data'!$G$23),"")</f>
        <v/>
      </c>
      <c r="AC17" s="82" t="str">
        <f>IFERROR(#REF!*-1*(1+'Aviation Synfuel Data'!$G$23),"")</f>
        <v/>
      </c>
      <c r="AD17" s="82" t="str">
        <f>IFERROR(#REF!*-1*(1+'Aviation Synfuel Data'!$G$23),"")</f>
        <v/>
      </c>
      <c r="AE17" s="82" t="str">
        <f>IFERROR(#REF!*-1*(1+'Aviation Synfuel Data'!$G$23),"")</f>
        <v/>
      </c>
      <c r="AF17" s="82" t="str">
        <f>IFERROR(#REF!*-1*(1+'Aviation Synfuel Data'!$G$23),"")</f>
        <v/>
      </c>
      <c r="AG17" s="82" t="str">
        <f>IFERROR(#REF!*-1*(1+'Aviation Synfuel Data'!$G$23),"")</f>
        <v/>
      </c>
      <c r="AH17" s="82" t="str">
        <f>IFERROR(#REF!*-1*(1+'Aviation Synfuel Data'!$G$23),"")</f>
        <v/>
      </c>
      <c r="AI17" s="82" t="str">
        <f>IFERROR(#REF!*-1*(1+'Aviation Synfuel Data'!$G$23),"")</f>
        <v/>
      </c>
      <c r="AJ17" s="82" t="str">
        <f>IFERROR(#REF!*-1*(1+'Aviation Synfuel Data'!$G$23),"")</f>
        <v/>
      </c>
      <c r="AK17" s="82" t="str">
        <f>IFERROR(#REF!*-1*(1+'Aviation Synfuel Data'!$G$23),"")</f>
        <v/>
      </c>
      <c r="AL17" s="82" t="str">
        <f>IFERROR(#REF!*-1*(1+'Aviation Synfuel Data'!$G$23),"")</f>
        <v/>
      </c>
      <c r="AM17" s="82" t="str">
        <f>IFERROR(#REF!*-1*(1+'Aviation Synfuel Data'!$G$23),"")</f>
        <v/>
      </c>
      <c r="AN17" s="82" t="str">
        <f>IFERROR(#REF!*-1*(1+'Aviation Synfuel Data'!$G$23),"")</f>
        <v/>
      </c>
      <c r="AO17" s="82" t="str">
        <f>IFERROR(#REF!*-1*(1+'Aviation Synfuel Data'!$G$23),"")</f>
        <v/>
      </c>
      <c r="AP17" s="82"/>
    </row>
    <row r="18" spans="2:42" x14ac:dyDescent="0.25">
      <c r="B18" t="s">
        <v>292</v>
      </c>
      <c r="C18" t="str">
        <f>C17</f>
        <v>PEXOKG</v>
      </c>
      <c r="D18" t="s">
        <v>236</v>
      </c>
      <c r="E18" t="s">
        <v>236</v>
      </c>
      <c r="F18" t="s">
        <v>236</v>
      </c>
      <c r="G18" t="s">
        <v>291</v>
      </c>
      <c r="H18" t="s">
        <v>241</v>
      </c>
      <c r="I18">
        <v>3</v>
      </c>
    </row>
    <row r="19" spans="2:42" x14ac:dyDescent="0.25">
      <c r="B19" t="s">
        <v>292</v>
      </c>
      <c r="C19" t="str">
        <f>C18</f>
        <v>PEXOKG</v>
      </c>
      <c r="D19" t="s">
        <v>236</v>
      </c>
      <c r="E19" t="s">
        <v>236</v>
      </c>
      <c r="F19" t="s">
        <v>236</v>
      </c>
      <c r="G19" t="s">
        <v>291</v>
      </c>
      <c r="H19" t="s">
        <v>243</v>
      </c>
      <c r="I19">
        <v>3</v>
      </c>
      <c r="J19" s="107">
        <v>200</v>
      </c>
    </row>
  </sheetData>
  <pageMargins left="0.7" right="0.7" top="0.75" bottom="0.75" header="0.3" footer="0.3"/>
  <pageSetup paperSize="9" orientation="portrait" verticalDpi="0"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00D2-6243-40CC-97D2-8B6BC645E772}">
  <sheetPr>
    <tabColor theme="6" tint="0.59999389629810485"/>
  </sheetPr>
  <dimension ref="A1:I22"/>
  <sheetViews>
    <sheetView workbookViewId="0">
      <selection activeCell="C32" sqref="C32"/>
    </sheetView>
  </sheetViews>
  <sheetFormatPr defaultRowHeight="15" x14ac:dyDescent="0.25"/>
  <cols>
    <col min="1" max="1" width="2" bestFit="1" customWidth="1"/>
    <col min="2" max="2" width="12.5703125" bestFit="1" customWidth="1"/>
    <col min="3" max="3" width="14.140625" bestFit="1" customWidth="1"/>
    <col min="4" max="4" width="11.28515625" bestFit="1" customWidth="1"/>
    <col min="5" max="5" width="16.28515625" bestFit="1" customWidth="1"/>
    <col min="6"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238</v>
      </c>
      <c r="D3" t="s">
        <v>236</v>
      </c>
      <c r="E3" t="s">
        <v>236</v>
      </c>
      <c r="F3" t="s">
        <v>236</v>
      </c>
      <c r="G3" t="s">
        <v>236</v>
      </c>
      <c r="H3" t="s">
        <v>236</v>
      </c>
      <c r="I3">
        <v>2030</v>
      </c>
    </row>
    <row r="4" spans="1:9" x14ac:dyDescent="0.25">
      <c r="B4" t="s">
        <v>252</v>
      </c>
      <c r="C4" t="s">
        <v>238</v>
      </c>
      <c r="D4" t="str">
        <f>'Aviation Synfuel Data'!D6</f>
        <v>UPSELC</v>
      </c>
      <c r="E4" t="s">
        <v>236</v>
      </c>
      <c r="F4" t="s">
        <v>236</v>
      </c>
      <c r="G4" t="s">
        <v>236</v>
      </c>
      <c r="H4" t="s">
        <v>236</v>
      </c>
      <c r="I4">
        <v>1</v>
      </c>
    </row>
    <row r="5" spans="1:9" x14ac:dyDescent="0.25">
      <c r="B5" t="s">
        <v>252</v>
      </c>
      <c r="C5" t="s">
        <v>238</v>
      </c>
      <c r="D5" t="str">
        <f>'Aviation Synfuel Data'!D7</f>
        <v>HGN</v>
      </c>
      <c r="E5" t="s">
        <v>236</v>
      </c>
      <c r="F5" t="s">
        <v>236</v>
      </c>
      <c r="G5" t="s">
        <v>236</v>
      </c>
      <c r="H5" t="s">
        <v>236</v>
      </c>
      <c r="I5">
        <v>1</v>
      </c>
    </row>
    <row r="6" spans="1:9" x14ac:dyDescent="0.25">
      <c r="B6" t="s">
        <v>252</v>
      </c>
      <c r="C6" t="s">
        <v>238</v>
      </c>
      <c r="D6" t="s">
        <v>263</v>
      </c>
      <c r="E6" t="s">
        <v>236</v>
      </c>
      <c r="F6" t="s">
        <v>236</v>
      </c>
      <c r="G6" t="s">
        <v>236</v>
      </c>
      <c r="H6" t="s">
        <v>236</v>
      </c>
      <c r="I6">
        <v>1</v>
      </c>
    </row>
    <row r="7" spans="1:9" x14ac:dyDescent="0.25">
      <c r="B7" t="s">
        <v>248</v>
      </c>
      <c r="C7" t="s">
        <v>238</v>
      </c>
      <c r="D7" t="str">
        <f>'Aviation Synfuel Data'!D8</f>
        <v>OAG</v>
      </c>
      <c r="E7" t="s">
        <v>236</v>
      </c>
      <c r="F7" t="s">
        <v>236</v>
      </c>
      <c r="G7" t="s">
        <v>236</v>
      </c>
      <c r="H7" t="s">
        <v>236</v>
      </c>
      <c r="I7">
        <v>1</v>
      </c>
    </row>
    <row r="8" spans="1:9" x14ac:dyDescent="0.25">
      <c r="B8" t="s">
        <v>248</v>
      </c>
      <c r="C8" t="s">
        <v>238</v>
      </c>
      <c r="D8" t="str">
        <f>'Aviation Synfuel Data'!D9</f>
        <v>OKG</v>
      </c>
      <c r="E8" t="s">
        <v>236</v>
      </c>
      <c r="F8" t="s">
        <v>236</v>
      </c>
      <c r="G8" t="s">
        <v>236</v>
      </c>
      <c r="H8" t="s">
        <v>236</v>
      </c>
      <c r="I8">
        <v>1</v>
      </c>
    </row>
    <row r="9" spans="1:9" x14ac:dyDescent="0.25">
      <c r="B9" t="s">
        <v>306</v>
      </c>
      <c r="C9" t="s">
        <v>238</v>
      </c>
      <c r="D9" t="s">
        <v>236</v>
      </c>
      <c r="E9" t="s">
        <v>258</v>
      </c>
      <c r="F9" t="s">
        <v>236</v>
      </c>
      <c r="G9" t="s">
        <v>236</v>
      </c>
      <c r="H9" t="s">
        <v>236</v>
      </c>
      <c r="I9">
        <v>1</v>
      </c>
    </row>
    <row r="10" spans="1:9" x14ac:dyDescent="0.25">
      <c r="B10" t="s">
        <v>305</v>
      </c>
      <c r="C10" t="s">
        <v>238</v>
      </c>
      <c r="D10" t="s">
        <v>236</v>
      </c>
      <c r="E10" t="s">
        <v>236</v>
      </c>
      <c r="F10" t="s">
        <v>236</v>
      </c>
      <c r="G10" t="s">
        <v>236</v>
      </c>
      <c r="H10" t="s">
        <v>236</v>
      </c>
      <c r="I10">
        <v>1</v>
      </c>
    </row>
    <row r="11" spans="1:9" x14ac:dyDescent="0.25">
      <c r="B11" t="s">
        <v>308</v>
      </c>
      <c r="C11" t="s">
        <v>236</v>
      </c>
      <c r="D11" t="str">
        <f>D7</f>
        <v>OAG</v>
      </c>
      <c r="E11" t="s">
        <v>258</v>
      </c>
      <c r="F11" t="s">
        <v>236</v>
      </c>
      <c r="G11" t="s">
        <v>236</v>
      </c>
      <c r="H11" t="s">
        <v>236</v>
      </c>
      <c r="I11">
        <v>1</v>
      </c>
    </row>
    <row r="12" spans="1:9" x14ac:dyDescent="0.25">
      <c r="B12" t="s">
        <v>308</v>
      </c>
      <c r="C12" t="s">
        <v>236</v>
      </c>
      <c r="D12" t="str">
        <f>D8</f>
        <v>OKG</v>
      </c>
      <c r="E12" t="s">
        <v>258</v>
      </c>
      <c r="F12" t="s">
        <v>236</v>
      </c>
      <c r="G12" t="s">
        <v>236</v>
      </c>
      <c r="H12" t="s">
        <v>236</v>
      </c>
      <c r="I12">
        <v>1</v>
      </c>
    </row>
    <row r="13" spans="1:9" x14ac:dyDescent="0.25">
      <c r="B13" t="s">
        <v>308</v>
      </c>
      <c r="C13" t="s">
        <v>236</v>
      </c>
      <c r="D13" t="str">
        <f>D4</f>
        <v>UPSELC</v>
      </c>
      <c r="E13" t="s">
        <v>261</v>
      </c>
      <c r="F13" t="s">
        <v>236</v>
      </c>
      <c r="G13" t="s">
        <v>236</v>
      </c>
      <c r="H13" t="s">
        <v>236</v>
      </c>
      <c r="I13">
        <v>1</v>
      </c>
    </row>
    <row r="14" spans="1:9" x14ac:dyDescent="0.25">
      <c r="B14" t="s">
        <v>308</v>
      </c>
      <c r="C14" t="s">
        <v>236</v>
      </c>
      <c r="D14" t="str">
        <f>D5</f>
        <v>HGN</v>
      </c>
      <c r="E14" t="s">
        <v>261</v>
      </c>
      <c r="F14" t="s">
        <v>236</v>
      </c>
      <c r="G14" t="s">
        <v>236</v>
      </c>
      <c r="H14" t="s">
        <v>236</v>
      </c>
      <c r="I14">
        <v>1</v>
      </c>
    </row>
    <row r="15" spans="1:9" x14ac:dyDescent="0.25">
      <c r="B15" t="s">
        <v>306</v>
      </c>
      <c r="C15" t="str">
        <f>'Aviation Synfuel-Items'!C6</f>
        <v>XOKGOKE</v>
      </c>
      <c r="D15" t="s">
        <v>236</v>
      </c>
      <c r="E15" t="s">
        <v>307</v>
      </c>
      <c r="F15" t="s">
        <v>236</v>
      </c>
      <c r="G15" t="s">
        <v>236</v>
      </c>
      <c r="H15" t="s">
        <v>236</v>
      </c>
      <c r="I15">
        <v>1</v>
      </c>
    </row>
    <row r="16" spans="1:9" x14ac:dyDescent="0.25">
      <c r="B16" t="s">
        <v>305</v>
      </c>
      <c r="C16" t="str">
        <f>C15</f>
        <v>XOKGOKE</v>
      </c>
      <c r="D16" t="s">
        <v>236</v>
      </c>
      <c r="E16" t="s">
        <v>236</v>
      </c>
      <c r="F16" t="s">
        <v>236</v>
      </c>
      <c r="G16" t="s">
        <v>236</v>
      </c>
      <c r="H16" t="s">
        <v>236</v>
      </c>
      <c r="I16">
        <v>1</v>
      </c>
    </row>
    <row r="17" spans="2:9" x14ac:dyDescent="0.25">
      <c r="B17" t="s">
        <v>252</v>
      </c>
      <c r="C17" t="str">
        <f>C16</f>
        <v>XOKGOKE</v>
      </c>
      <c r="D17" t="str">
        <f>D12</f>
        <v>OKG</v>
      </c>
      <c r="E17" t="s">
        <v>236</v>
      </c>
      <c r="F17" t="s">
        <v>236</v>
      </c>
      <c r="G17" t="s">
        <v>236</v>
      </c>
      <c r="H17" t="s">
        <v>236</v>
      </c>
      <c r="I17">
        <v>1</v>
      </c>
    </row>
    <row r="18" spans="2:9" x14ac:dyDescent="0.25">
      <c r="B18" t="s">
        <v>248</v>
      </c>
      <c r="C18" t="str">
        <f>C17</f>
        <v>XOKGOKE</v>
      </c>
      <c r="D18" t="s">
        <v>307</v>
      </c>
      <c r="E18" t="s">
        <v>236</v>
      </c>
      <c r="F18" t="s">
        <v>236</v>
      </c>
      <c r="G18" t="s">
        <v>236</v>
      </c>
      <c r="H18" t="s">
        <v>236</v>
      </c>
      <c r="I18">
        <v>1</v>
      </c>
    </row>
    <row r="19" spans="2:9" x14ac:dyDescent="0.25">
      <c r="B19" t="s">
        <v>248</v>
      </c>
      <c r="C19" t="str">
        <f>C20</f>
        <v>PEXOKG</v>
      </c>
      <c r="D19" t="s">
        <v>274</v>
      </c>
      <c r="E19" t="s">
        <v>236</v>
      </c>
      <c r="F19" t="s">
        <v>236</v>
      </c>
      <c r="G19" t="s">
        <v>236</v>
      </c>
      <c r="H19" t="s">
        <v>236</v>
      </c>
      <c r="I19">
        <v>1</v>
      </c>
    </row>
    <row r="20" spans="2:9" x14ac:dyDescent="0.25">
      <c r="B20" t="s">
        <v>252</v>
      </c>
      <c r="C20" t="str">
        <f>'Aviation Synfuel-Items'!C7</f>
        <v>PEXOKG</v>
      </c>
      <c r="D20" t="str">
        <f>D17</f>
        <v>OKG</v>
      </c>
      <c r="E20" t="s">
        <v>236</v>
      </c>
      <c r="F20" t="s">
        <v>236</v>
      </c>
      <c r="G20" t="s">
        <v>236</v>
      </c>
      <c r="H20" t="s">
        <v>236</v>
      </c>
      <c r="I20">
        <v>1</v>
      </c>
    </row>
    <row r="21" spans="2:9" x14ac:dyDescent="0.25">
      <c r="B21" t="s">
        <v>306</v>
      </c>
      <c r="C21" t="str">
        <f>C20</f>
        <v>PEXOKG</v>
      </c>
      <c r="D21" t="s">
        <v>236</v>
      </c>
      <c r="E21" t="str">
        <f>D19</f>
        <v>IDUM</v>
      </c>
      <c r="F21" t="s">
        <v>236</v>
      </c>
      <c r="G21" t="s">
        <v>236</v>
      </c>
      <c r="H21" t="s">
        <v>236</v>
      </c>
      <c r="I21">
        <v>1</v>
      </c>
    </row>
    <row r="22" spans="2:9" x14ac:dyDescent="0.25">
      <c r="B22" t="s">
        <v>305</v>
      </c>
      <c r="C22" t="str">
        <f>C21</f>
        <v>PEXOKG</v>
      </c>
      <c r="D22" t="s">
        <v>236</v>
      </c>
      <c r="E22" t="s">
        <v>236</v>
      </c>
      <c r="F22" t="s">
        <v>236</v>
      </c>
      <c r="G22" t="s">
        <v>236</v>
      </c>
      <c r="H22" t="s">
        <v>236</v>
      </c>
      <c r="I22">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A4DD5-9B0A-4A87-80B7-05E3634855DA}">
  <dimension ref="A1:AI149"/>
  <sheetViews>
    <sheetView topLeftCell="G17" workbookViewId="0">
      <selection activeCell="S29" sqref="S29"/>
    </sheetView>
  </sheetViews>
  <sheetFormatPr defaultColWidth="18.28515625" defaultRowHeight="15" x14ac:dyDescent="0.25"/>
  <cols>
    <col min="1" max="1" width="25.28515625" customWidth="1"/>
    <col min="2" max="5" width="18.28515625" customWidth="1"/>
    <col min="6" max="6" width="23.28515625" customWidth="1"/>
    <col min="7" max="7" width="50.7109375" customWidth="1"/>
    <col min="8" max="8" width="3.5703125" style="110" customWidth="1"/>
    <col min="9" max="9" width="26" customWidth="1"/>
    <col min="18" max="18" width="11.7109375" customWidth="1"/>
    <col min="23" max="23" width="3.7109375" style="109" customWidth="1"/>
    <col min="24" max="24" width="24.7109375" bestFit="1" customWidth="1"/>
    <col min="25" max="25" width="8.7109375" customWidth="1"/>
  </cols>
  <sheetData>
    <row r="1" spans="1:28" ht="18.75" x14ac:dyDescent="0.3">
      <c r="A1" s="135" t="s">
        <v>559</v>
      </c>
      <c r="B1" s="135"/>
      <c r="C1" s="135"/>
      <c r="D1" s="135"/>
      <c r="E1" s="135"/>
      <c r="F1" s="135"/>
      <c r="G1" s="45"/>
      <c r="I1" s="135" t="s">
        <v>558</v>
      </c>
      <c r="J1" s="135"/>
      <c r="K1" s="135"/>
      <c r="L1" s="135"/>
      <c r="M1" s="135"/>
      <c r="N1" s="135"/>
      <c r="O1" s="45"/>
      <c r="P1" s="45"/>
      <c r="Q1" s="45"/>
      <c r="X1" s="199" t="s">
        <v>557</v>
      </c>
      <c r="Y1" s="45"/>
      <c r="Z1" s="45"/>
      <c r="AA1" s="45"/>
      <c r="AB1" s="45"/>
    </row>
    <row r="2" spans="1:28" x14ac:dyDescent="0.25">
      <c r="I2" s="206" t="s">
        <v>556</v>
      </c>
      <c r="M2" s="74" t="s">
        <v>555</v>
      </c>
    </row>
    <row r="3" spans="1:28" x14ac:dyDescent="0.25">
      <c r="A3" s="74" t="s">
        <v>540</v>
      </c>
      <c r="I3" s="34" t="s">
        <v>554</v>
      </c>
      <c r="J3" s="34"/>
      <c r="K3" s="34"/>
      <c r="L3" s="34"/>
      <c r="M3" s="34"/>
      <c r="N3" s="34"/>
      <c r="O3" s="34"/>
      <c r="P3" s="34"/>
      <c r="Q3" s="34"/>
      <c r="X3" s="181" t="s">
        <v>184</v>
      </c>
    </row>
    <row r="4" spans="1:28" x14ac:dyDescent="0.25">
      <c r="A4" s="74" t="str">
        <f>I1</f>
        <v>UK SHEC PROJECT MARKAL MODEL HYDROGEN SUPPLY TECHNOLOGY TABLES</v>
      </c>
      <c r="I4" s="34" t="s">
        <v>553</v>
      </c>
      <c r="J4" s="34"/>
      <c r="K4" s="34"/>
      <c r="L4" s="34"/>
      <c r="M4" s="34"/>
      <c r="N4" s="34"/>
      <c r="O4" s="34"/>
      <c r="P4" s="34"/>
      <c r="Q4" s="34"/>
      <c r="X4" s="144" t="s">
        <v>552</v>
      </c>
      <c r="Y4" s="142">
        <v>4.1239999999999997</v>
      </c>
      <c r="Z4" s="144" t="s">
        <v>551</v>
      </c>
    </row>
    <row r="5" spans="1:28" x14ac:dyDescent="0.25">
      <c r="A5" s="74" t="str">
        <f>A17</f>
        <v>Steam Methane Reforming (SMR)</v>
      </c>
      <c r="I5" s="34" t="s">
        <v>550</v>
      </c>
      <c r="J5" s="34"/>
      <c r="K5" s="34"/>
      <c r="L5" s="34"/>
      <c r="M5" s="34"/>
      <c r="N5" s="34"/>
      <c r="O5" s="34"/>
      <c r="P5" s="34"/>
      <c r="Q5" s="34"/>
      <c r="X5" s="144" t="s">
        <v>549</v>
      </c>
      <c r="Y5" s="142">
        <v>2.016</v>
      </c>
      <c r="Z5" s="144" t="s">
        <v>548</v>
      </c>
    </row>
    <row r="6" spans="1:28" x14ac:dyDescent="0.25">
      <c r="A6" s="74" t="str">
        <f>A70</f>
        <v>Water Electrolysis</v>
      </c>
      <c r="I6" s="205" t="s">
        <v>547</v>
      </c>
      <c r="J6" s="204" t="s">
        <v>418</v>
      </c>
      <c r="K6" s="204" t="s">
        <v>546</v>
      </c>
      <c r="L6" s="346" t="s">
        <v>545</v>
      </c>
      <c r="M6" s="347"/>
      <c r="N6" s="348"/>
      <c r="O6" s="346" t="s">
        <v>484</v>
      </c>
      <c r="P6" s="347"/>
      <c r="Q6" s="348"/>
      <c r="X6" s="144" t="s">
        <v>544</v>
      </c>
      <c r="Y6" s="142">
        <v>-252.8</v>
      </c>
      <c r="Z6" s="144" t="s">
        <v>543</v>
      </c>
    </row>
    <row r="7" spans="1:28" ht="30" x14ac:dyDescent="0.25">
      <c r="I7" s="354"/>
      <c r="J7" s="354"/>
      <c r="K7" s="354"/>
      <c r="L7" s="203">
        <v>2000</v>
      </c>
      <c r="M7" s="203">
        <v>2025</v>
      </c>
      <c r="N7" s="203">
        <v>2050</v>
      </c>
      <c r="O7" s="203">
        <v>2000</v>
      </c>
      <c r="P7" s="203">
        <v>2025</v>
      </c>
      <c r="Q7" s="203">
        <v>2050</v>
      </c>
      <c r="X7" s="202" t="s">
        <v>542</v>
      </c>
      <c r="Y7" s="201">
        <f>101.3/(Y4*(20+273.15))</f>
        <v>8.3791678502000005E-2</v>
      </c>
      <c r="Z7" s="144" t="s">
        <v>541</v>
      </c>
    </row>
    <row r="8" spans="1:28" ht="18.75" x14ac:dyDescent="0.3">
      <c r="A8" s="135" t="s">
        <v>540</v>
      </c>
      <c r="B8" s="45"/>
      <c r="C8" s="45"/>
      <c r="D8" s="45"/>
      <c r="E8" s="45"/>
      <c r="F8" s="45"/>
      <c r="G8" s="45"/>
      <c r="I8" s="198" t="s">
        <v>539</v>
      </c>
      <c r="J8" s="198" t="s">
        <v>334</v>
      </c>
      <c r="K8" s="197">
        <v>2000</v>
      </c>
      <c r="L8" s="196">
        <v>18</v>
      </c>
      <c r="M8" s="196">
        <v>16</v>
      </c>
      <c r="N8" s="196">
        <v>14</v>
      </c>
      <c r="O8" s="195" t="s">
        <v>526</v>
      </c>
      <c r="P8" s="195" t="s">
        <v>526</v>
      </c>
      <c r="Q8" s="195" t="s">
        <v>526</v>
      </c>
      <c r="X8" s="144" t="s">
        <v>538</v>
      </c>
      <c r="Y8" s="142">
        <v>70.8</v>
      </c>
      <c r="Z8" s="144" t="s">
        <v>537</v>
      </c>
    </row>
    <row r="9" spans="1:28" ht="44.25" customHeight="1" x14ac:dyDescent="0.25">
      <c r="A9" s="355" t="s">
        <v>536</v>
      </c>
      <c r="B9" s="355"/>
      <c r="C9" s="355"/>
      <c r="D9" s="355"/>
      <c r="E9" s="355"/>
      <c r="F9" s="355"/>
      <c r="G9" s="355"/>
      <c r="I9" s="200" t="s">
        <v>409</v>
      </c>
      <c r="J9" s="198" t="s">
        <v>334</v>
      </c>
      <c r="K9" s="197">
        <v>2020</v>
      </c>
      <c r="L9" s="195" t="s">
        <v>535</v>
      </c>
      <c r="M9" s="195" t="s">
        <v>535</v>
      </c>
      <c r="N9" s="195" t="s">
        <v>535</v>
      </c>
      <c r="O9" s="195" t="s">
        <v>534</v>
      </c>
      <c r="P9" s="195" t="s">
        <v>534</v>
      </c>
      <c r="Q9" s="195" t="s">
        <v>534</v>
      </c>
      <c r="X9" s="144" t="s">
        <v>533</v>
      </c>
      <c r="Y9" s="142">
        <v>142</v>
      </c>
      <c r="Z9" s="144" t="s">
        <v>139</v>
      </c>
    </row>
    <row r="10" spans="1:28" x14ac:dyDescent="0.25">
      <c r="I10" s="198" t="s">
        <v>527</v>
      </c>
      <c r="J10" s="198" t="s">
        <v>334</v>
      </c>
      <c r="K10" s="197">
        <v>2000</v>
      </c>
      <c r="L10" s="196">
        <v>5</v>
      </c>
      <c r="M10" s="196">
        <v>4</v>
      </c>
      <c r="N10" s="196">
        <v>3</v>
      </c>
      <c r="O10" s="195" t="s">
        <v>525</v>
      </c>
      <c r="P10" s="195" t="s">
        <v>504</v>
      </c>
      <c r="Q10" s="195" t="s">
        <v>504</v>
      </c>
      <c r="X10" s="144" t="s">
        <v>532</v>
      </c>
      <c r="Y10" s="142">
        <v>120</v>
      </c>
      <c r="Z10" s="144" t="s">
        <v>139</v>
      </c>
    </row>
    <row r="11" spans="1:28" x14ac:dyDescent="0.25">
      <c r="A11" t="s">
        <v>531</v>
      </c>
      <c r="I11" s="198" t="s">
        <v>527</v>
      </c>
      <c r="J11" s="198" t="s">
        <v>336</v>
      </c>
      <c r="K11" s="197">
        <v>2000</v>
      </c>
      <c r="L11" s="196">
        <v>12</v>
      </c>
      <c r="M11" s="196">
        <v>10</v>
      </c>
      <c r="N11" s="196">
        <v>8</v>
      </c>
      <c r="O11" s="195" t="s">
        <v>505</v>
      </c>
      <c r="P11" s="195" t="s">
        <v>525</v>
      </c>
      <c r="Q11" s="195" t="s">
        <v>525</v>
      </c>
      <c r="X11" s="144" t="s">
        <v>530</v>
      </c>
      <c r="Y11" s="142" t="s">
        <v>529</v>
      </c>
      <c r="Z11" s="144"/>
    </row>
    <row r="12" spans="1:28" x14ac:dyDescent="0.25">
      <c r="A12" t="s">
        <v>528</v>
      </c>
      <c r="I12" s="198" t="s">
        <v>527</v>
      </c>
      <c r="J12" s="198" t="s">
        <v>332</v>
      </c>
      <c r="K12" s="197">
        <v>2020</v>
      </c>
      <c r="L12" s="196">
        <v>45</v>
      </c>
      <c r="M12" s="196">
        <v>10</v>
      </c>
      <c r="N12" s="196">
        <v>8</v>
      </c>
      <c r="O12" s="195" t="s">
        <v>526</v>
      </c>
      <c r="P12" s="195" t="s">
        <v>525</v>
      </c>
      <c r="Q12" s="195" t="s">
        <v>525</v>
      </c>
    </row>
    <row r="13" spans="1:28" ht="18.75" x14ac:dyDescent="0.3">
      <c r="A13" t="s">
        <v>524</v>
      </c>
      <c r="I13" s="198" t="s">
        <v>519</v>
      </c>
      <c r="J13" s="198" t="s">
        <v>334</v>
      </c>
      <c r="K13" s="197">
        <v>2020</v>
      </c>
      <c r="L13" s="196">
        <v>15</v>
      </c>
      <c r="M13" s="196">
        <v>15</v>
      </c>
      <c r="N13" s="196">
        <v>15</v>
      </c>
      <c r="O13" s="195" t="s">
        <v>513</v>
      </c>
      <c r="P13" s="195" t="s">
        <v>513</v>
      </c>
      <c r="Q13" s="195" t="s">
        <v>513</v>
      </c>
      <c r="X13" s="199" t="s">
        <v>523</v>
      </c>
      <c r="Y13" s="45"/>
      <c r="Z13" s="45"/>
      <c r="AA13" s="45"/>
    </row>
    <row r="14" spans="1:28" x14ac:dyDescent="0.25">
      <c r="I14" s="198" t="s">
        <v>519</v>
      </c>
      <c r="J14" s="198" t="s">
        <v>336</v>
      </c>
      <c r="K14" s="197">
        <v>2020</v>
      </c>
      <c r="L14" s="196">
        <v>30</v>
      </c>
      <c r="M14" s="196">
        <v>20</v>
      </c>
      <c r="N14" s="196">
        <v>20</v>
      </c>
      <c r="O14" s="195" t="s">
        <v>513</v>
      </c>
      <c r="P14" s="195" t="s">
        <v>513</v>
      </c>
      <c r="Q14" s="195" t="s">
        <v>513</v>
      </c>
      <c r="X14" t="s">
        <v>522</v>
      </c>
      <c r="Y14">
        <v>1.0079400000000001</v>
      </c>
      <c r="Z14" s="74" t="s">
        <v>521</v>
      </c>
    </row>
    <row r="15" spans="1:28" x14ac:dyDescent="0.25">
      <c r="A15" s="151" t="s">
        <v>520</v>
      </c>
      <c r="I15" s="198" t="s">
        <v>519</v>
      </c>
      <c r="J15" s="198" t="s">
        <v>332</v>
      </c>
      <c r="K15" s="197">
        <v>2020</v>
      </c>
      <c r="L15" s="196">
        <v>45</v>
      </c>
      <c r="M15" s="196">
        <v>25</v>
      </c>
      <c r="N15" s="196">
        <v>25</v>
      </c>
      <c r="O15" s="195" t="s">
        <v>513</v>
      </c>
      <c r="P15" s="195" t="s">
        <v>513</v>
      </c>
      <c r="Q15" s="195" t="s">
        <v>513</v>
      </c>
      <c r="X15" t="s">
        <v>518</v>
      </c>
      <c r="Y15">
        <v>15.9994</v>
      </c>
      <c r="Z15" s="74" t="s">
        <v>517</v>
      </c>
    </row>
    <row r="16" spans="1:28" x14ac:dyDescent="0.25">
      <c r="I16" s="198" t="s">
        <v>516</v>
      </c>
      <c r="J16" s="198" t="s">
        <v>336</v>
      </c>
      <c r="K16" s="197">
        <v>2020</v>
      </c>
      <c r="L16" s="196">
        <v>30</v>
      </c>
      <c r="M16" s="196">
        <v>20</v>
      </c>
      <c r="N16" s="196">
        <v>20</v>
      </c>
      <c r="O16" s="195" t="s">
        <v>513</v>
      </c>
      <c r="P16" s="195" t="s">
        <v>513</v>
      </c>
      <c r="Q16" s="195" t="s">
        <v>513</v>
      </c>
    </row>
    <row r="17" spans="1:35" ht="18.75" x14ac:dyDescent="0.3">
      <c r="A17" s="135" t="s">
        <v>515</v>
      </c>
      <c r="B17" s="45"/>
      <c r="C17" s="45"/>
      <c r="D17" s="45"/>
      <c r="E17" s="45"/>
      <c r="F17" s="45"/>
      <c r="G17" s="45"/>
      <c r="I17" s="198" t="s">
        <v>514</v>
      </c>
      <c r="J17" s="198" t="s">
        <v>336</v>
      </c>
      <c r="K17" s="197">
        <v>2020</v>
      </c>
      <c r="L17" s="196">
        <v>30</v>
      </c>
      <c r="M17" s="196">
        <v>20</v>
      </c>
      <c r="N17" s="196">
        <v>20</v>
      </c>
      <c r="O17" s="195" t="s">
        <v>513</v>
      </c>
      <c r="P17" s="195" t="s">
        <v>513</v>
      </c>
      <c r="Q17" s="195" t="s">
        <v>513</v>
      </c>
      <c r="X17" t="s">
        <v>512</v>
      </c>
      <c r="Y17">
        <f>(Y14*2+Y15)/(2*Y14)</f>
        <v>8.9366827390519283</v>
      </c>
      <c r="Z17" t="s">
        <v>511</v>
      </c>
    </row>
    <row r="18" spans="1:35" x14ac:dyDescent="0.25">
      <c r="I18" s="198" t="s">
        <v>510</v>
      </c>
      <c r="J18" s="198" t="s">
        <v>334</v>
      </c>
      <c r="K18" s="197">
        <v>2030</v>
      </c>
      <c r="L18" s="195"/>
      <c r="M18" s="196">
        <v>40</v>
      </c>
      <c r="N18" s="196">
        <v>40</v>
      </c>
      <c r="O18" s="195"/>
      <c r="P18" s="195" t="s">
        <v>505</v>
      </c>
      <c r="Q18" s="195" t="s">
        <v>505</v>
      </c>
      <c r="Y18">
        <f>Y17/Y9</f>
        <v>6.2934385486281191E-2</v>
      </c>
      <c r="Z18" t="s">
        <v>509</v>
      </c>
    </row>
    <row r="19" spans="1:35" x14ac:dyDescent="0.25">
      <c r="A19" s="146" t="s">
        <v>397</v>
      </c>
      <c r="B19" s="146" t="s">
        <v>408</v>
      </c>
      <c r="I19" s="198" t="s">
        <v>506</v>
      </c>
      <c r="J19" s="198" t="s">
        <v>336</v>
      </c>
      <c r="K19" s="197">
        <v>2000</v>
      </c>
      <c r="L19" s="196">
        <v>18</v>
      </c>
      <c r="M19" s="196">
        <v>10</v>
      </c>
      <c r="N19" s="196">
        <v>10</v>
      </c>
      <c r="O19" s="195" t="s">
        <v>505</v>
      </c>
      <c r="P19" s="195" t="s">
        <v>504</v>
      </c>
      <c r="Q19" s="195" t="s">
        <v>503</v>
      </c>
      <c r="Y19">
        <f>Y17/Y10</f>
        <v>7.4472356158766073E-2</v>
      </c>
      <c r="Z19" t="s">
        <v>508</v>
      </c>
    </row>
    <row r="20" spans="1:35" x14ac:dyDescent="0.25">
      <c r="A20" t="s">
        <v>507</v>
      </c>
      <c r="I20" s="198" t="s">
        <v>506</v>
      </c>
      <c r="J20" s="198" t="s">
        <v>332</v>
      </c>
      <c r="K20" s="197">
        <v>2000</v>
      </c>
      <c r="L20" s="196">
        <v>65</v>
      </c>
      <c r="M20" s="196">
        <v>16</v>
      </c>
      <c r="N20" s="196">
        <v>10</v>
      </c>
      <c r="O20" s="195" t="s">
        <v>505</v>
      </c>
      <c r="P20" s="195" t="s">
        <v>504</v>
      </c>
      <c r="Q20" s="195" t="s">
        <v>503</v>
      </c>
    </row>
    <row r="21" spans="1:35" x14ac:dyDescent="0.25">
      <c r="A21" t="s">
        <v>502</v>
      </c>
      <c r="Y21">
        <f>4*Y14+2*Y15</f>
        <v>36.030560000000001</v>
      </c>
      <c r="Z21">
        <f>4*Y14</f>
        <v>4.0317600000000002</v>
      </c>
      <c r="AA21" t="s">
        <v>192</v>
      </c>
    </row>
    <row r="22" spans="1:35" x14ac:dyDescent="0.25">
      <c r="A22" t="s">
        <v>501</v>
      </c>
      <c r="I22" s="194" t="s">
        <v>500</v>
      </c>
      <c r="J22" s="34"/>
      <c r="K22" s="34"/>
      <c r="L22" s="34"/>
      <c r="M22" s="34"/>
      <c r="N22" s="34"/>
      <c r="O22" s="34"/>
      <c r="P22" s="34"/>
      <c r="Q22" s="34"/>
      <c r="Z22">
        <f>2*Y15</f>
        <v>31.998799999999999</v>
      </c>
      <c r="AA22" t="s">
        <v>499</v>
      </c>
    </row>
    <row r="23" spans="1:35" x14ac:dyDescent="0.25">
      <c r="A23" t="s">
        <v>498</v>
      </c>
      <c r="I23" s="34" t="s">
        <v>497</v>
      </c>
      <c r="J23" s="34"/>
      <c r="K23" s="34"/>
      <c r="L23" s="34"/>
      <c r="M23" s="34"/>
      <c r="N23" s="34"/>
      <c r="O23" s="193"/>
      <c r="P23" s="34"/>
      <c r="Q23" s="34"/>
      <c r="X23" t="s">
        <v>496</v>
      </c>
      <c r="Y23">
        <f>Y21/Z22</f>
        <v>1.1259972248959336</v>
      </c>
      <c r="Z23" t="s">
        <v>495</v>
      </c>
    </row>
    <row r="24" spans="1:35" x14ac:dyDescent="0.25">
      <c r="A24" t="s">
        <v>494</v>
      </c>
      <c r="I24" s="192" t="s">
        <v>493</v>
      </c>
      <c r="J24" s="34"/>
      <c r="K24" s="34"/>
      <c r="L24" s="34"/>
      <c r="M24" s="34"/>
      <c r="N24" s="34"/>
      <c r="O24" s="34"/>
      <c r="P24" s="34"/>
      <c r="Q24" s="34"/>
      <c r="Y24">
        <f>Y17/Y23</f>
        <v>7.9366827390519283</v>
      </c>
      <c r="Z24" t="s">
        <v>492</v>
      </c>
    </row>
    <row r="25" spans="1:35" x14ac:dyDescent="0.25">
      <c r="A25" t="s">
        <v>491</v>
      </c>
      <c r="I25" s="34" t="str">
        <f>I30&amp;J30</f>
        <v>SMRLarge</v>
      </c>
      <c r="J25" s="34"/>
      <c r="K25" s="191" t="s">
        <v>490</v>
      </c>
      <c r="L25" s="190">
        <f>L30*1.27</f>
        <v>11.43</v>
      </c>
      <c r="M25" s="190">
        <f>M30*1.27</f>
        <v>8.89</v>
      </c>
      <c r="N25" s="190">
        <f>N30*1.27</f>
        <v>6.35</v>
      </c>
      <c r="O25" s="34"/>
      <c r="P25" s="34"/>
      <c r="Q25" s="34"/>
    </row>
    <row r="26" spans="1:35" x14ac:dyDescent="0.25">
      <c r="A26" t="s">
        <v>489</v>
      </c>
      <c r="I26" s="189" t="s">
        <v>488</v>
      </c>
      <c r="J26" s="150" t="s">
        <v>487</v>
      </c>
      <c r="K26" s="150" t="s">
        <v>486</v>
      </c>
      <c r="L26" s="353" t="s">
        <v>485</v>
      </c>
      <c r="M26" s="353"/>
      <c r="N26" s="353"/>
      <c r="O26" s="353" t="s">
        <v>484</v>
      </c>
      <c r="P26" s="353"/>
      <c r="Q26" s="353"/>
      <c r="R26" s="353" t="s">
        <v>483</v>
      </c>
      <c r="S26" s="353"/>
      <c r="T26" s="353"/>
      <c r="U26" s="363" t="s">
        <v>414</v>
      </c>
      <c r="V26" s="363"/>
    </row>
    <row r="27" spans="1:35" x14ac:dyDescent="0.25">
      <c r="F27" t="s">
        <v>482</v>
      </c>
      <c r="I27" s="359"/>
      <c r="J27" s="359"/>
      <c r="K27" s="359"/>
      <c r="L27" s="188">
        <v>2000</v>
      </c>
      <c r="M27" s="188">
        <v>2025</v>
      </c>
      <c r="N27" s="188">
        <v>2050</v>
      </c>
      <c r="O27" s="149">
        <v>2000</v>
      </c>
      <c r="P27" s="149">
        <v>2025</v>
      </c>
      <c r="Q27" s="149">
        <v>2050</v>
      </c>
      <c r="R27" s="188">
        <v>2000</v>
      </c>
      <c r="S27" s="188">
        <v>2025</v>
      </c>
      <c r="T27" s="188">
        <v>2050</v>
      </c>
      <c r="U27" s="145" t="s">
        <v>413</v>
      </c>
      <c r="V27" s="145" t="s">
        <v>412</v>
      </c>
    </row>
    <row r="28" spans="1:35" x14ac:dyDescent="0.25">
      <c r="A28" t="s">
        <v>481</v>
      </c>
      <c r="I28" s="141" t="s">
        <v>411</v>
      </c>
      <c r="J28" s="141" t="s">
        <v>391</v>
      </c>
      <c r="K28" s="173">
        <v>2000</v>
      </c>
      <c r="L28" s="172">
        <v>31</v>
      </c>
      <c r="M28" s="172">
        <v>27</v>
      </c>
      <c r="N28" s="172">
        <v>24</v>
      </c>
      <c r="O28" s="140" t="s">
        <v>477</v>
      </c>
      <c r="P28" s="140" t="s">
        <v>477</v>
      </c>
      <c r="Q28" s="140" t="s">
        <v>477</v>
      </c>
      <c r="R28" s="172">
        <f>L28*$R$47*Deflator!$F$33</f>
        <v>443.23799999999994</v>
      </c>
      <c r="S28" s="172">
        <f>M28*$R$47*Deflator!$F$33</f>
        <v>386.04599999999994</v>
      </c>
      <c r="T28" s="172">
        <f>N28*$R$47*Deflator!$F$33</f>
        <v>343.15199999999993</v>
      </c>
      <c r="U28" s="137">
        <f t="shared" ref="U28:U37" si="0">(R28/S28)^(1/25)-1</f>
        <v>5.541310115432907E-3</v>
      </c>
      <c r="V28" s="137">
        <f t="shared" ref="V28:V37" si="1">(S28/T28)^(1/25)-1</f>
        <v>4.7224371507739171E-3</v>
      </c>
    </row>
    <row r="29" spans="1:35" ht="25.5" x14ac:dyDescent="0.25">
      <c r="I29" s="148" t="s">
        <v>409</v>
      </c>
      <c r="J29" s="141" t="s">
        <v>391</v>
      </c>
      <c r="K29" s="173">
        <v>2020</v>
      </c>
      <c r="L29" s="187">
        <v>217</v>
      </c>
      <c r="M29" s="187">
        <v>217</v>
      </c>
      <c r="N29" s="187">
        <v>217</v>
      </c>
      <c r="O29" s="140" t="s">
        <v>480</v>
      </c>
      <c r="P29" s="140" t="s">
        <v>480</v>
      </c>
      <c r="Q29" s="140" t="s">
        <v>480</v>
      </c>
      <c r="R29" s="172">
        <f>L29*$R$47*Deflator!$F$33</f>
        <v>3102.6659999999997</v>
      </c>
      <c r="S29" s="186">
        <f>M29*$R$47*Deflator!$F$33</f>
        <v>3102.6659999999997</v>
      </c>
      <c r="T29" s="186">
        <f>N29*$R$47*Deflator!$F$33</f>
        <v>3102.6659999999997</v>
      </c>
      <c r="U29" s="137">
        <f t="shared" si="0"/>
        <v>0</v>
      </c>
      <c r="V29" s="137">
        <f t="shared" si="1"/>
        <v>0</v>
      </c>
      <c r="AD29" t="s">
        <v>479</v>
      </c>
      <c r="AG29">
        <v>2020</v>
      </c>
      <c r="AH29">
        <v>2030</v>
      </c>
      <c r="AI29">
        <v>2035</v>
      </c>
    </row>
    <row r="30" spans="1:35" x14ac:dyDescent="0.25">
      <c r="I30" s="141" t="s">
        <v>407</v>
      </c>
      <c r="J30" s="141" t="s">
        <v>391</v>
      </c>
      <c r="K30" s="173">
        <v>2000</v>
      </c>
      <c r="L30" s="185">
        <v>9</v>
      </c>
      <c r="M30" s="185">
        <v>7</v>
      </c>
      <c r="N30" s="185">
        <v>5</v>
      </c>
      <c r="O30" s="140" t="s">
        <v>476</v>
      </c>
      <c r="P30" s="140" t="s">
        <v>456</v>
      </c>
      <c r="Q30" s="140" t="s">
        <v>456</v>
      </c>
      <c r="R30" s="172">
        <f>L30*$R$47*Deflator!$F$33</f>
        <v>128.68199999999999</v>
      </c>
      <c r="S30" s="172">
        <f>M30*$R$47*Deflator!$F$33</f>
        <v>100.086</v>
      </c>
      <c r="T30" s="172">
        <f>N30*$R$47*Deflator!$F$33</f>
        <v>71.489999999999995</v>
      </c>
      <c r="U30" s="137">
        <f t="shared" si="0"/>
        <v>1.010327402045097E-2</v>
      </c>
      <c r="V30" s="137">
        <f t="shared" si="1"/>
        <v>1.354986801622915E-2</v>
      </c>
      <c r="AD30" t="s">
        <v>411</v>
      </c>
      <c r="AE30" t="s">
        <v>474</v>
      </c>
      <c r="AF30" t="s">
        <v>478</v>
      </c>
      <c r="AG30">
        <v>2670</v>
      </c>
      <c r="AH30">
        <f>AG30</f>
        <v>2670</v>
      </c>
      <c r="AI30">
        <f>AH30</f>
        <v>2670</v>
      </c>
    </row>
    <row r="31" spans="1:35" x14ac:dyDescent="0.25">
      <c r="A31" s="145" t="s">
        <v>371</v>
      </c>
      <c r="B31" s="145" t="s">
        <v>399</v>
      </c>
      <c r="C31" s="145" t="s">
        <v>398</v>
      </c>
      <c r="D31" s="360" t="s">
        <v>396</v>
      </c>
      <c r="E31" s="360"/>
      <c r="F31" s="360"/>
      <c r="I31" s="141" t="s">
        <v>407</v>
      </c>
      <c r="J31" s="141" t="s">
        <v>387</v>
      </c>
      <c r="K31" s="173">
        <v>2000</v>
      </c>
      <c r="L31" s="172">
        <v>21</v>
      </c>
      <c r="M31" s="172">
        <v>17</v>
      </c>
      <c r="N31" s="172">
        <v>14</v>
      </c>
      <c r="O31" s="140" t="s">
        <v>457</v>
      </c>
      <c r="P31" s="140" t="s">
        <v>476</v>
      </c>
      <c r="Q31" s="140" t="s">
        <v>476</v>
      </c>
      <c r="R31" s="172">
        <f>L31*$R$47*Deflator!$F$33</f>
        <v>300.25799999999998</v>
      </c>
      <c r="S31" s="172">
        <f>M31*$R$47*Deflator!$F$33</f>
        <v>243.06599999999997</v>
      </c>
      <c r="T31" s="172">
        <f>N31*$R$47*Deflator!$F$33</f>
        <v>200.172</v>
      </c>
      <c r="U31" s="137">
        <f t="shared" si="0"/>
        <v>8.4881858291023793E-3</v>
      </c>
      <c r="V31" s="137">
        <f t="shared" si="1"/>
        <v>7.796476045282219E-3</v>
      </c>
      <c r="AD31" t="s">
        <v>407</v>
      </c>
      <c r="AE31" t="s">
        <v>474</v>
      </c>
      <c r="AF31" t="s">
        <v>478</v>
      </c>
      <c r="AG31">
        <v>910</v>
      </c>
      <c r="AH31">
        <f>AG31</f>
        <v>910</v>
      </c>
      <c r="AI31">
        <f>AH31</f>
        <v>910</v>
      </c>
    </row>
    <row r="32" spans="1:35" x14ac:dyDescent="0.25">
      <c r="A32" s="184">
        <v>0.89</v>
      </c>
      <c r="B32" s="183">
        <v>1500000</v>
      </c>
      <c r="C32" s="182" t="s">
        <v>433</v>
      </c>
      <c r="D32" s="361" t="s">
        <v>435</v>
      </c>
      <c r="E32" s="361"/>
      <c r="F32" s="361"/>
      <c r="I32" s="141" t="s">
        <v>407</v>
      </c>
      <c r="J32" s="141" t="s">
        <v>384</v>
      </c>
      <c r="K32" s="173">
        <v>2020</v>
      </c>
      <c r="L32" s="172">
        <v>77</v>
      </c>
      <c r="M32" s="172">
        <v>17</v>
      </c>
      <c r="N32" s="172">
        <v>14</v>
      </c>
      <c r="O32" s="140" t="s">
        <v>477</v>
      </c>
      <c r="P32" s="140" t="s">
        <v>476</v>
      </c>
      <c r="Q32" s="140" t="s">
        <v>476</v>
      </c>
      <c r="R32" s="172">
        <f>L32*$R$47*Deflator!$F$33</f>
        <v>1100.9459999999999</v>
      </c>
      <c r="S32" s="172">
        <f>M32*$R$47*Deflator!$F$33</f>
        <v>243.06599999999997</v>
      </c>
      <c r="T32" s="172">
        <f>N32*$R$47*Deflator!$F$33</f>
        <v>200.172</v>
      </c>
      <c r="U32" s="137">
        <f t="shared" si="0"/>
        <v>6.2286524074936622E-2</v>
      </c>
      <c r="V32" s="137">
        <f t="shared" si="1"/>
        <v>7.796476045282219E-3</v>
      </c>
      <c r="AD32" t="s">
        <v>411</v>
      </c>
      <c r="AE32" t="s">
        <v>474</v>
      </c>
      <c r="AF32" t="s">
        <v>473</v>
      </c>
      <c r="AG32" s="133">
        <f t="shared" ref="AG32:AI33" si="2">AG30/1000/(8760*3600*AG34)*1000000000</f>
        <v>94.072382885168267</v>
      </c>
      <c r="AH32" s="133">
        <f t="shared" si="2"/>
        <v>94.072382885168267</v>
      </c>
      <c r="AI32" s="133">
        <f t="shared" si="2"/>
        <v>94.072382885168267</v>
      </c>
    </row>
    <row r="33" spans="1:35" x14ac:dyDescent="0.25">
      <c r="A33" s="184">
        <v>0.79200000000000004</v>
      </c>
      <c r="B33" s="183">
        <v>1500000</v>
      </c>
      <c r="C33" s="182" t="s">
        <v>433</v>
      </c>
      <c r="D33" s="362" t="s">
        <v>475</v>
      </c>
      <c r="E33" s="362"/>
      <c r="F33" s="362"/>
      <c r="I33" s="141" t="s">
        <v>403</v>
      </c>
      <c r="J33" s="141" t="s">
        <v>391</v>
      </c>
      <c r="K33" s="173">
        <v>2020</v>
      </c>
      <c r="L33" s="172">
        <v>26</v>
      </c>
      <c r="M33" s="172">
        <v>26</v>
      </c>
      <c r="N33" s="172">
        <v>26</v>
      </c>
      <c r="O33" s="140" t="s">
        <v>466</v>
      </c>
      <c r="P33" s="140" t="s">
        <v>466</v>
      </c>
      <c r="Q33" s="140" t="s">
        <v>466</v>
      </c>
      <c r="R33" s="172">
        <f>L33*$R$47*Deflator!$F$33</f>
        <v>371.74799999999999</v>
      </c>
      <c r="S33" s="172">
        <f>M33*$R$47*Deflator!$F$33</f>
        <v>371.74799999999999</v>
      </c>
      <c r="T33" s="172">
        <f>N33*$R$47*Deflator!$F$33</f>
        <v>371.74799999999999</v>
      </c>
      <c r="U33" s="137">
        <f t="shared" si="0"/>
        <v>0</v>
      </c>
      <c r="V33" s="137">
        <f t="shared" si="1"/>
        <v>0</v>
      </c>
      <c r="AD33" t="s">
        <v>407</v>
      </c>
      <c r="AE33" t="s">
        <v>474</v>
      </c>
      <c r="AF33" t="s">
        <v>473</v>
      </c>
      <c r="AG33" s="133">
        <f t="shared" si="2"/>
        <v>32.062123005806413</v>
      </c>
      <c r="AH33" s="133">
        <f t="shared" si="2"/>
        <v>32.062123005806413</v>
      </c>
      <c r="AI33" s="133">
        <f t="shared" si="2"/>
        <v>32.062123005806413</v>
      </c>
    </row>
    <row r="34" spans="1:35" x14ac:dyDescent="0.25">
      <c r="A34" s="184">
        <v>0.69099999999999995</v>
      </c>
      <c r="B34" s="183">
        <v>1500000</v>
      </c>
      <c r="C34" s="182" t="s">
        <v>433</v>
      </c>
      <c r="D34" s="362" t="s">
        <v>472</v>
      </c>
      <c r="E34" s="362"/>
      <c r="F34" s="362"/>
      <c r="I34" s="141" t="s">
        <v>403</v>
      </c>
      <c r="J34" s="141" t="s">
        <v>387</v>
      </c>
      <c r="K34" s="173">
        <v>2020</v>
      </c>
      <c r="L34" s="172">
        <v>52</v>
      </c>
      <c r="M34" s="172">
        <v>34</v>
      </c>
      <c r="N34" s="172">
        <v>34</v>
      </c>
      <c r="O34" s="140" t="s">
        <v>466</v>
      </c>
      <c r="P34" s="140" t="s">
        <v>466</v>
      </c>
      <c r="Q34" s="140" t="s">
        <v>466</v>
      </c>
      <c r="R34" s="172">
        <f>L34*$R$47*Deflator!$F$33</f>
        <v>743.49599999999998</v>
      </c>
      <c r="S34" s="172">
        <f>M34*$R$47*Deflator!$F$33</f>
        <v>486.13199999999995</v>
      </c>
      <c r="T34" s="172">
        <f>N34*$R$47*Deflator!$F$33</f>
        <v>486.13199999999995</v>
      </c>
      <c r="U34" s="137">
        <f t="shared" si="0"/>
        <v>1.7140569987868837E-2</v>
      </c>
      <c r="V34" s="137">
        <f t="shared" si="1"/>
        <v>0</v>
      </c>
      <c r="AD34" t="s">
        <v>411</v>
      </c>
      <c r="AE34" t="s">
        <v>471</v>
      </c>
      <c r="AF34" t="s">
        <v>38</v>
      </c>
      <c r="AG34">
        <v>0.9</v>
      </c>
      <c r="AH34">
        <v>0.9</v>
      </c>
      <c r="AI34">
        <v>0.9</v>
      </c>
    </row>
    <row r="35" spans="1:35" x14ac:dyDescent="0.25">
      <c r="I35" s="141" t="s">
        <v>403</v>
      </c>
      <c r="J35" s="141" t="s">
        <v>384</v>
      </c>
      <c r="K35" s="173">
        <v>2020</v>
      </c>
      <c r="L35" s="172">
        <v>77</v>
      </c>
      <c r="M35" s="172">
        <v>43</v>
      </c>
      <c r="N35" s="172">
        <v>43</v>
      </c>
      <c r="O35" s="140" t="s">
        <v>466</v>
      </c>
      <c r="P35" s="140" t="s">
        <v>466</v>
      </c>
      <c r="Q35" s="140" t="s">
        <v>466</v>
      </c>
      <c r="R35" s="172">
        <f>L35*$R$47*Deflator!$F$33</f>
        <v>1100.9459999999999</v>
      </c>
      <c r="S35" s="172">
        <f>M35*$R$47*Deflator!$F$33</f>
        <v>614.81399999999996</v>
      </c>
      <c r="T35" s="172">
        <f>N35*$R$47*Deflator!$F$33</f>
        <v>614.81399999999996</v>
      </c>
      <c r="U35" s="137">
        <f t="shared" si="0"/>
        <v>2.3577877113833301E-2</v>
      </c>
      <c r="V35" s="137">
        <f t="shared" si="1"/>
        <v>0</v>
      </c>
      <c r="AD35" t="s">
        <v>407</v>
      </c>
      <c r="AE35" t="s">
        <v>471</v>
      </c>
      <c r="AF35" t="s">
        <v>38</v>
      </c>
      <c r="AG35">
        <v>0.9</v>
      </c>
      <c r="AH35">
        <v>0.9</v>
      </c>
      <c r="AI35">
        <v>0.9</v>
      </c>
    </row>
    <row r="36" spans="1:35" ht="15.75" thickBot="1" x14ac:dyDescent="0.3">
      <c r="E36" s="181" t="s">
        <v>470</v>
      </c>
      <c r="I36" s="141" t="s">
        <v>402</v>
      </c>
      <c r="J36" s="141" t="s">
        <v>387</v>
      </c>
      <c r="K36" s="173">
        <v>2020</v>
      </c>
      <c r="L36" s="172">
        <v>52</v>
      </c>
      <c r="M36" s="172">
        <v>34</v>
      </c>
      <c r="N36" s="172">
        <v>34</v>
      </c>
      <c r="O36" s="140" t="s">
        <v>466</v>
      </c>
      <c r="P36" s="140" t="s">
        <v>466</v>
      </c>
      <c r="Q36" s="140" t="s">
        <v>466</v>
      </c>
      <c r="R36" s="172">
        <f>L36*$R$47*Deflator!$F$33</f>
        <v>743.49599999999998</v>
      </c>
      <c r="S36" s="172">
        <f>M36*$R$47*Deflator!$F$33</f>
        <v>486.13199999999995</v>
      </c>
      <c r="T36" s="172">
        <f>N36*$R$47*Deflator!$F$33</f>
        <v>486.13199999999995</v>
      </c>
      <c r="U36" s="137">
        <f t="shared" si="0"/>
        <v>1.7140569987868837E-2</v>
      </c>
      <c r="V36" s="137">
        <f t="shared" si="1"/>
        <v>0</v>
      </c>
      <c r="AD36" t="s">
        <v>411</v>
      </c>
      <c r="AE36" t="s">
        <v>465</v>
      </c>
      <c r="AF36" t="s">
        <v>38</v>
      </c>
      <c r="AG36">
        <v>0.6</v>
      </c>
      <c r="AH36">
        <v>0.6</v>
      </c>
      <c r="AI36">
        <v>0.6</v>
      </c>
    </row>
    <row r="37" spans="1:35" x14ac:dyDescent="0.25">
      <c r="A37" s="180" t="s">
        <v>469</v>
      </c>
      <c r="B37" s="179"/>
      <c r="C37" s="179"/>
      <c r="D37" s="179"/>
      <c r="E37" s="168" t="s">
        <v>468</v>
      </c>
      <c r="F37" s="178">
        <f>B39/Y10</f>
        <v>0.11416666666666667</v>
      </c>
      <c r="G37" s="166" t="s">
        <v>467</v>
      </c>
      <c r="I37" s="141" t="s">
        <v>395</v>
      </c>
      <c r="J37" s="141" t="s">
        <v>387</v>
      </c>
      <c r="K37" s="173">
        <v>2020</v>
      </c>
      <c r="L37" s="172">
        <v>52</v>
      </c>
      <c r="M37" s="172">
        <v>34</v>
      </c>
      <c r="N37" s="172">
        <v>34</v>
      </c>
      <c r="O37" s="140" t="s">
        <v>466</v>
      </c>
      <c r="P37" s="140" t="s">
        <v>466</v>
      </c>
      <c r="Q37" s="140" t="s">
        <v>466</v>
      </c>
      <c r="R37" s="172">
        <f>L37*$R$47*Deflator!$F$33</f>
        <v>743.49599999999998</v>
      </c>
      <c r="S37" s="172">
        <f>M37*$R$47*Deflator!$F$33</f>
        <v>486.13199999999995</v>
      </c>
      <c r="T37" s="172">
        <f>N37*$R$47*Deflator!$F$33</f>
        <v>486.13199999999995</v>
      </c>
      <c r="U37" s="137">
        <f t="shared" si="0"/>
        <v>1.7140569987868837E-2</v>
      </c>
      <c r="V37" s="137">
        <f t="shared" si="1"/>
        <v>0</v>
      </c>
      <c r="AD37" t="s">
        <v>407</v>
      </c>
      <c r="AE37" t="s">
        <v>465</v>
      </c>
      <c r="AF37" t="s">
        <v>38</v>
      </c>
      <c r="AG37">
        <v>0.76</v>
      </c>
      <c r="AH37">
        <v>0.76</v>
      </c>
      <c r="AI37">
        <v>0.76</v>
      </c>
    </row>
    <row r="38" spans="1:35" x14ac:dyDescent="0.25">
      <c r="A38" s="177" t="s">
        <v>464</v>
      </c>
      <c r="B38" s="175"/>
      <c r="C38" s="175"/>
      <c r="D38" s="175"/>
      <c r="E38" s="165"/>
      <c r="F38" s="174">
        <f>F37/1000000*1000000000</f>
        <v>114.16666666666666</v>
      </c>
      <c r="G38" s="163" t="s">
        <v>458</v>
      </c>
      <c r="I38" s="141" t="s">
        <v>392</v>
      </c>
      <c r="J38" s="141" t="s">
        <v>391</v>
      </c>
      <c r="K38" s="173">
        <v>2030</v>
      </c>
      <c r="L38" s="141"/>
      <c r="M38" s="172">
        <v>69</v>
      </c>
      <c r="N38" s="172">
        <v>69</v>
      </c>
      <c r="O38" s="140"/>
      <c r="P38" s="140" t="s">
        <v>457</v>
      </c>
      <c r="Q38" s="140" t="s">
        <v>457</v>
      </c>
      <c r="R38" s="172"/>
      <c r="S38" s="172">
        <f>M38*$R$47*Deflator!$F$33</f>
        <v>986.5619999999999</v>
      </c>
      <c r="T38" s="172">
        <f>N38*$R$47*Deflator!$F$33</f>
        <v>986.5619999999999</v>
      </c>
      <c r="U38" s="137"/>
      <c r="V38" s="137">
        <f>(S38/T38)^(1/25)-1</f>
        <v>0</v>
      </c>
    </row>
    <row r="39" spans="1:35" x14ac:dyDescent="0.25">
      <c r="A39" s="176" t="s">
        <v>463</v>
      </c>
      <c r="B39" s="175">
        <v>13.7</v>
      </c>
      <c r="C39" s="175" t="s">
        <v>462</v>
      </c>
      <c r="D39" s="175"/>
      <c r="E39" s="165" t="s">
        <v>182</v>
      </c>
      <c r="F39" s="174">
        <f>F38*0.776</f>
        <v>88.593333333333334</v>
      </c>
      <c r="G39" s="163" t="s">
        <v>461</v>
      </c>
      <c r="I39" s="141" t="s">
        <v>385</v>
      </c>
      <c r="J39" s="141" t="s">
        <v>387</v>
      </c>
      <c r="K39" s="173">
        <v>2000</v>
      </c>
      <c r="L39" s="172">
        <v>31</v>
      </c>
      <c r="M39" s="172">
        <v>17</v>
      </c>
      <c r="N39" s="172">
        <v>17</v>
      </c>
      <c r="O39" s="140" t="s">
        <v>457</v>
      </c>
      <c r="P39" s="140" t="s">
        <v>456</v>
      </c>
      <c r="Q39" s="140" t="s">
        <v>455</v>
      </c>
      <c r="R39" s="172">
        <f>L39*$R$47*Deflator!$F$33</f>
        <v>443.23799999999994</v>
      </c>
      <c r="S39" s="172">
        <f>M39*$R$47*Deflator!$F$33</f>
        <v>243.06599999999997</v>
      </c>
      <c r="T39" s="172">
        <f>N39*$R$47*Deflator!$F$33</f>
        <v>243.06599999999997</v>
      </c>
      <c r="U39" s="137">
        <f>(R39/S39)^(1/25)-1</f>
        <v>2.4322024691141753E-2</v>
      </c>
      <c r="V39" s="137">
        <f>(S39/T39)^(1/25)-1</f>
        <v>0</v>
      </c>
    </row>
    <row r="40" spans="1:35" ht="30" x14ac:dyDescent="0.25">
      <c r="A40" s="176" t="s">
        <v>460</v>
      </c>
      <c r="B40" s="175">
        <v>0.44</v>
      </c>
      <c r="C40" s="175" t="s">
        <v>459</v>
      </c>
      <c r="D40" s="175"/>
      <c r="E40" s="165" t="s">
        <v>451</v>
      </c>
      <c r="F40" s="174">
        <f>F38*(1-0.776)</f>
        <v>25.573333333333327</v>
      </c>
      <c r="G40" s="163" t="s">
        <v>458</v>
      </c>
      <c r="I40" s="141" t="s">
        <v>385</v>
      </c>
      <c r="J40" s="141" t="s">
        <v>384</v>
      </c>
      <c r="K40" s="173">
        <v>2000</v>
      </c>
      <c r="L40" s="172">
        <v>112</v>
      </c>
      <c r="M40" s="172">
        <v>27</v>
      </c>
      <c r="N40" s="172">
        <v>17</v>
      </c>
      <c r="O40" s="140" t="s">
        <v>457</v>
      </c>
      <c r="P40" s="140" t="s">
        <v>456</v>
      </c>
      <c r="Q40" s="140" t="s">
        <v>455</v>
      </c>
      <c r="R40" s="172">
        <f>L40*$R$47*Deflator!$F$33</f>
        <v>1601.376</v>
      </c>
      <c r="S40" s="172">
        <f>M40*$R$47*Deflator!$F$33</f>
        <v>386.04599999999994</v>
      </c>
      <c r="T40" s="172">
        <f>N40*$R$47*Deflator!$F$33</f>
        <v>243.06599999999997</v>
      </c>
      <c r="U40" s="137">
        <f>(R40/S40)^(1/25)-1</f>
        <v>5.8556809757487338E-2</v>
      </c>
      <c r="V40" s="137">
        <f>(S40/T40)^(1/25)-1</f>
        <v>1.8677218316921262E-2</v>
      </c>
    </row>
    <row r="41" spans="1:35" ht="15.75" thickBot="1" x14ac:dyDescent="0.3">
      <c r="A41" s="171"/>
      <c r="B41" s="170"/>
      <c r="C41" s="170"/>
      <c r="D41" s="170"/>
      <c r="E41" s="162" t="s">
        <v>451</v>
      </c>
      <c r="F41" s="169">
        <f>F40/21</f>
        <v>1.2177777777777774</v>
      </c>
      <c r="G41" s="160" t="s">
        <v>454</v>
      </c>
      <c r="L41" s="136"/>
      <c r="M41" t="s">
        <v>382</v>
      </c>
      <c r="S41" t="s">
        <v>381</v>
      </c>
    </row>
    <row r="42" spans="1:35" x14ac:dyDescent="0.25">
      <c r="E42" s="168" t="s">
        <v>182</v>
      </c>
      <c r="F42" s="167">
        <f>F39*$A$65</f>
        <v>66.444999999999993</v>
      </c>
      <c r="G42" s="166" t="s">
        <v>453</v>
      </c>
    </row>
    <row r="43" spans="1:35" x14ac:dyDescent="0.25">
      <c r="E43" s="165" t="s">
        <v>451</v>
      </c>
      <c r="F43" s="164">
        <f>F40*$A$65</f>
        <v>19.179999999999996</v>
      </c>
      <c r="G43" s="163" t="s">
        <v>453</v>
      </c>
      <c r="I43" s="134" t="s">
        <v>452</v>
      </c>
      <c r="J43" s="134"/>
      <c r="K43" s="134"/>
      <c r="L43" s="134"/>
      <c r="M43" s="134"/>
      <c r="N43" s="134"/>
    </row>
    <row r="44" spans="1:35" ht="15.75" thickBot="1" x14ac:dyDescent="0.3">
      <c r="E44" s="162" t="s">
        <v>451</v>
      </c>
      <c r="F44" s="161">
        <f>F41*$A$65</f>
        <v>0.91333333333333311</v>
      </c>
      <c r="G44" s="160" t="s">
        <v>450</v>
      </c>
      <c r="I44" s="134" t="s">
        <v>449</v>
      </c>
      <c r="J44" s="134"/>
      <c r="K44" s="134"/>
      <c r="L44" s="134"/>
      <c r="M44" s="134"/>
      <c r="N44" s="134"/>
    </row>
    <row r="45" spans="1:35" x14ac:dyDescent="0.25">
      <c r="I45" s="134"/>
      <c r="J45" s="134"/>
      <c r="K45" s="134"/>
      <c r="L45" s="134"/>
      <c r="M45" s="134"/>
      <c r="N45" s="134"/>
    </row>
    <row r="46" spans="1:35" ht="39" customHeight="1" x14ac:dyDescent="0.25">
      <c r="I46" s="349" t="s">
        <v>419</v>
      </c>
      <c r="J46" s="349" t="s">
        <v>418</v>
      </c>
      <c r="K46" s="351" t="s">
        <v>417</v>
      </c>
      <c r="L46" s="356" t="s">
        <v>448</v>
      </c>
      <c r="M46" s="357"/>
      <c r="N46" s="358"/>
      <c r="R46" t="s">
        <v>447</v>
      </c>
    </row>
    <row r="47" spans="1:35" x14ac:dyDescent="0.25">
      <c r="A47" s="159" t="s">
        <v>446</v>
      </c>
      <c r="I47" s="350"/>
      <c r="J47" s="350"/>
      <c r="K47" s="352"/>
      <c r="L47" s="149">
        <v>2000</v>
      </c>
      <c r="M47" s="149">
        <v>2025</v>
      </c>
      <c r="N47" s="149">
        <v>2050</v>
      </c>
      <c r="R47">
        <v>1.2</v>
      </c>
    </row>
    <row r="48" spans="1:35" x14ac:dyDescent="0.25">
      <c r="I48" s="141" t="s">
        <v>411</v>
      </c>
      <c r="J48" s="141" t="s">
        <v>391</v>
      </c>
      <c r="K48" s="140" t="s">
        <v>383</v>
      </c>
      <c r="L48" s="139">
        <v>0.9</v>
      </c>
      <c r="M48" s="139">
        <v>0.8</v>
      </c>
      <c r="N48" s="139">
        <v>0.7</v>
      </c>
    </row>
    <row r="49" spans="1:14" x14ac:dyDescent="0.25">
      <c r="A49" s="355" t="s">
        <v>445</v>
      </c>
      <c r="B49" s="355"/>
      <c r="C49" s="355"/>
      <c r="D49" s="355"/>
      <c r="E49" s="355"/>
      <c r="F49" s="355"/>
      <c r="G49" s="355"/>
      <c r="I49" s="141" t="s">
        <v>444</v>
      </c>
      <c r="J49" s="141" t="s">
        <v>391</v>
      </c>
      <c r="K49" s="140" t="s">
        <v>383</v>
      </c>
      <c r="L49" s="140" t="s">
        <v>443</v>
      </c>
      <c r="M49" s="140" t="s">
        <v>443</v>
      </c>
      <c r="N49" s="140" t="s">
        <v>443</v>
      </c>
    </row>
    <row r="50" spans="1:14" x14ac:dyDescent="0.25">
      <c r="I50" s="141" t="s">
        <v>442</v>
      </c>
      <c r="J50" s="141"/>
      <c r="K50" s="140"/>
      <c r="L50" s="140"/>
      <c r="M50" s="140"/>
      <c r="N50" s="140"/>
    </row>
    <row r="51" spans="1:14" x14ac:dyDescent="0.25">
      <c r="A51" s="144" t="s">
        <v>441</v>
      </c>
      <c r="B51" s="144" t="s">
        <v>440</v>
      </c>
      <c r="I51" s="141" t="s">
        <v>407</v>
      </c>
      <c r="J51" s="141" t="s">
        <v>391</v>
      </c>
      <c r="K51" s="140" t="s">
        <v>406</v>
      </c>
      <c r="L51" s="139">
        <v>0.2</v>
      </c>
      <c r="M51" s="139">
        <v>0.2</v>
      </c>
      <c r="N51" s="139">
        <v>0.1</v>
      </c>
    </row>
    <row r="52" spans="1:14" x14ac:dyDescent="0.25">
      <c r="A52" s="144" t="s">
        <v>439</v>
      </c>
      <c r="B52" s="144" t="s">
        <v>438</v>
      </c>
      <c r="I52" s="141" t="s">
        <v>407</v>
      </c>
      <c r="J52" s="141" t="s">
        <v>387</v>
      </c>
      <c r="K52" s="140" t="s">
        <v>406</v>
      </c>
      <c r="L52" s="139">
        <v>0.5</v>
      </c>
      <c r="M52" s="139">
        <v>0.4</v>
      </c>
      <c r="N52" s="139">
        <v>0.3</v>
      </c>
    </row>
    <row r="53" spans="1:14" x14ac:dyDescent="0.25">
      <c r="A53" s="144" t="s">
        <v>437</v>
      </c>
      <c r="B53" s="144" t="s">
        <v>436</v>
      </c>
      <c r="I53" s="141" t="s">
        <v>407</v>
      </c>
      <c r="J53" s="141" t="s">
        <v>384</v>
      </c>
      <c r="K53" s="140" t="s">
        <v>406</v>
      </c>
      <c r="L53" s="139">
        <v>1.8</v>
      </c>
      <c r="M53" s="139">
        <v>0.4</v>
      </c>
      <c r="N53" s="139">
        <v>0.3</v>
      </c>
    </row>
    <row r="54" spans="1:14" x14ac:dyDescent="0.25">
      <c r="I54" s="141" t="s">
        <v>403</v>
      </c>
      <c r="J54" s="141" t="s">
        <v>391</v>
      </c>
      <c r="K54" s="140" t="s">
        <v>394</v>
      </c>
      <c r="L54" s="139">
        <v>1.1000000000000001</v>
      </c>
      <c r="M54" s="139">
        <v>1.1000000000000001</v>
      </c>
      <c r="N54" s="139">
        <v>1.1000000000000001</v>
      </c>
    </row>
    <row r="55" spans="1:14" x14ac:dyDescent="0.25">
      <c r="A55" s="32" t="s">
        <v>404</v>
      </c>
      <c r="I55" s="141" t="s">
        <v>403</v>
      </c>
      <c r="J55" s="141" t="s">
        <v>387</v>
      </c>
      <c r="K55" s="140" t="s">
        <v>394</v>
      </c>
      <c r="L55" s="139">
        <v>2.1</v>
      </c>
      <c r="M55" s="139">
        <v>1.4</v>
      </c>
      <c r="N55" s="139">
        <v>1.4</v>
      </c>
    </row>
    <row r="56" spans="1:14" x14ac:dyDescent="0.25">
      <c r="I56" s="141" t="s">
        <v>403</v>
      </c>
      <c r="J56" s="141" t="s">
        <v>384</v>
      </c>
      <c r="K56" s="140" t="s">
        <v>394</v>
      </c>
      <c r="L56" s="139">
        <v>3.2</v>
      </c>
      <c r="M56" s="139">
        <v>1.8</v>
      </c>
      <c r="N56" s="139">
        <v>1.8</v>
      </c>
    </row>
    <row r="57" spans="1:14" x14ac:dyDescent="0.25">
      <c r="A57" s="145" t="s">
        <v>371</v>
      </c>
      <c r="B57" s="145" t="s">
        <v>401</v>
      </c>
      <c r="C57" s="145" t="s">
        <v>400</v>
      </c>
      <c r="D57" s="145" t="s">
        <v>399</v>
      </c>
      <c r="E57" s="145" t="s">
        <v>398</v>
      </c>
      <c r="F57" s="145" t="s">
        <v>397</v>
      </c>
      <c r="G57" s="145" t="s">
        <v>396</v>
      </c>
      <c r="I57" s="141" t="s">
        <v>402</v>
      </c>
      <c r="J57" s="141" t="s">
        <v>387</v>
      </c>
      <c r="K57" s="140" t="s">
        <v>394</v>
      </c>
      <c r="L57" s="139">
        <v>2.1</v>
      </c>
      <c r="M57" s="139">
        <v>1.4</v>
      </c>
      <c r="N57" s="139">
        <v>1.4</v>
      </c>
    </row>
    <row r="58" spans="1:14" ht="45" x14ac:dyDescent="0.25">
      <c r="A58" s="157">
        <v>0.89</v>
      </c>
      <c r="B58" s="144"/>
      <c r="C58" s="144"/>
      <c r="D58" s="156">
        <v>1500000</v>
      </c>
      <c r="E58" s="142" t="s">
        <v>433</v>
      </c>
      <c r="F58" s="142" t="s">
        <v>386</v>
      </c>
      <c r="G58" s="158" t="s">
        <v>435</v>
      </c>
      <c r="I58" s="141" t="s">
        <v>395</v>
      </c>
      <c r="J58" s="141" t="s">
        <v>387</v>
      </c>
      <c r="K58" s="140" t="s">
        <v>394</v>
      </c>
      <c r="L58" s="139">
        <v>2.1</v>
      </c>
      <c r="M58" s="139">
        <v>1.4</v>
      </c>
      <c r="N58" s="139">
        <v>1.4</v>
      </c>
    </row>
    <row r="59" spans="1:14" x14ac:dyDescent="0.25">
      <c r="A59" s="157">
        <v>0.79200000000000004</v>
      </c>
      <c r="B59" s="144"/>
      <c r="C59" s="144"/>
      <c r="D59" s="156">
        <v>1500000</v>
      </c>
      <c r="E59" s="142" t="s">
        <v>433</v>
      </c>
      <c r="F59" s="142" t="s">
        <v>386</v>
      </c>
      <c r="G59" s="152" t="s">
        <v>434</v>
      </c>
      <c r="I59" s="141" t="s">
        <v>392</v>
      </c>
      <c r="J59" s="141" t="s">
        <v>391</v>
      </c>
      <c r="K59" s="140" t="s">
        <v>390</v>
      </c>
      <c r="L59" s="140"/>
      <c r="M59" s="139">
        <v>2.4</v>
      </c>
      <c r="N59" s="139">
        <v>2.4</v>
      </c>
    </row>
    <row r="60" spans="1:14" x14ac:dyDescent="0.25">
      <c r="A60" s="157">
        <v>0.69099999999999995</v>
      </c>
      <c r="B60" s="144"/>
      <c r="C60" s="144"/>
      <c r="D60" s="156">
        <v>1500000</v>
      </c>
      <c r="E60" s="142" t="s">
        <v>433</v>
      </c>
      <c r="F60" s="142" t="s">
        <v>386</v>
      </c>
      <c r="G60" s="152" t="s">
        <v>432</v>
      </c>
      <c r="I60" s="141" t="s">
        <v>385</v>
      </c>
      <c r="J60" s="141" t="s">
        <v>387</v>
      </c>
      <c r="K60" s="140" t="s">
        <v>383</v>
      </c>
      <c r="L60" s="139">
        <v>0.9</v>
      </c>
      <c r="M60" s="139">
        <v>0.5</v>
      </c>
      <c r="N60" s="139">
        <v>0.5</v>
      </c>
    </row>
    <row r="61" spans="1:14" x14ac:dyDescent="0.25">
      <c r="A61" s="157">
        <v>0.81200000000000006</v>
      </c>
      <c r="B61" s="144"/>
      <c r="C61" s="144"/>
      <c r="D61" s="156"/>
      <c r="E61" s="142"/>
      <c r="F61" s="142" t="s">
        <v>431</v>
      </c>
      <c r="G61" s="152"/>
      <c r="I61" s="141" t="s">
        <v>385</v>
      </c>
      <c r="J61" s="141" t="s">
        <v>384</v>
      </c>
      <c r="K61" s="140" t="s">
        <v>383</v>
      </c>
      <c r="L61" s="139">
        <v>3.3</v>
      </c>
      <c r="M61" s="139">
        <v>0.8</v>
      </c>
      <c r="N61" s="139">
        <v>0.5</v>
      </c>
    </row>
    <row r="62" spans="1:14" x14ac:dyDescent="0.25">
      <c r="A62" s="142" t="s">
        <v>430</v>
      </c>
      <c r="B62" s="143">
        <v>0.75</v>
      </c>
      <c r="C62" s="143">
        <v>0.8</v>
      </c>
      <c r="D62" s="142"/>
      <c r="E62" s="142"/>
      <c r="F62" s="142" t="s">
        <v>429</v>
      </c>
      <c r="G62" s="152"/>
      <c r="I62" s="155"/>
      <c r="J62" s="155"/>
      <c r="K62" s="154"/>
      <c r="L62" s="153"/>
      <c r="M62" s="153"/>
      <c r="N62" s="153"/>
    </row>
    <row r="63" spans="1:14" x14ac:dyDescent="0.25">
      <c r="A63" s="142" t="s">
        <v>428</v>
      </c>
      <c r="B63" s="143">
        <v>0.67</v>
      </c>
      <c r="C63" s="143">
        <v>0.73</v>
      </c>
      <c r="D63" s="142"/>
      <c r="E63" s="142"/>
      <c r="F63" s="142" t="s">
        <v>427</v>
      </c>
      <c r="G63" s="152"/>
      <c r="I63" s="134" t="s">
        <v>426</v>
      </c>
      <c r="J63" s="134"/>
      <c r="K63" s="134"/>
      <c r="L63" s="134"/>
      <c r="M63" s="134"/>
      <c r="N63" s="134"/>
    </row>
    <row r="64" spans="1:14" x14ac:dyDescent="0.25">
      <c r="A64" s="142" t="str">
        <f>O30</f>
        <v>80%</v>
      </c>
      <c r="B64" s="144"/>
      <c r="C64" s="144"/>
      <c r="D64" s="144"/>
      <c r="E64" s="144"/>
      <c r="F64" s="142" t="s">
        <v>389</v>
      </c>
      <c r="G64" s="144" t="s">
        <v>425</v>
      </c>
      <c r="I64" s="134" t="s">
        <v>424</v>
      </c>
      <c r="J64" s="134"/>
      <c r="K64" s="134"/>
      <c r="L64" s="134"/>
      <c r="M64" s="134"/>
      <c r="N64" s="134"/>
    </row>
    <row r="65" spans="1:19" x14ac:dyDescent="0.25">
      <c r="A65" s="142" t="str">
        <f>O31</f>
        <v>75%</v>
      </c>
      <c r="B65" s="144"/>
      <c r="C65" s="144"/>
      <c r="D65" s="144"/>
      <c r="E65" s="144"/>
      <c r="F65" s="142" t="s">
        <v>389</v>
      </c>
      <c r="G65" s="144" t="s">
        <v>423</v>
      </c>
      <c r="I65" s="134" t="s">
        <v>422</v>
      </c>
      <c r="J65" s="134"/>
      <c r="K65" s="134"/>
      <c r="L65" s="134"/>
      <c r="M65" s="134"/>
      <c r="N65" s="134"/>
    </row>
    <row r="66" spans="1:19" x14ac:dyDescent="0.25">
      <c r="A66" s="142" t="str">
        <f>O32</f>
        <v>65%</v>
      </c>
      <c r="B66" s="144"/>
      <c r="C66" s="144"/>
      <c r="D66" s="144"/>
      <c r="E66" s="144"/>
      <c r="F66" s="142" t="s">
        <v>389</v>
      </c>
      <c r="G66" s="144" t="s">
        <v>421</v>
      </c>
      <c r="I66" s="134"/>
      <c r="J66" s="134"/>
      <c r="K66" s="134"/>
      <c r="L66" s="134"/>
      <c r="M66" s="134"/>
      <c r="N66" s="134"/>
    </row>
    <row r="67" spans="1:19" x14ac:dyDescent="0.25">
      <c r="A67" s="151" t="s">
        <v>420</v>
      </c>
      <c r="I67" s="364" t="s">
        <v>419</v>
      </c>
      <c r="J67" s="364" t="s">
        <v>418</v>
      </c>
      <c r="K67" s="365" t="s">
        <v>417</v>
      </c>
      <c r="L67" s="366" t="s">
        <v>416</v>
      </c>
      <c r="M67" s="353"/>
      <c r="N67" s="353"/>
      <c r="O67" s="366" t="s">
        <v>415</v>
      </c>
      <c r="P67" s="353"/>
      <c r="Q67" s="353"/>
      <c r="R67" s="363" t="s">
        <v>414</v>
      </c>
      <c r="S67" s="363"/>
    </row>
    <row r="68" spans="1:19" x14ac:dyDescent="0.25">
      <c r="I68" s="364"/>
      <c r="J68" s="364"/>
      <c r="K68" s="365"/>
      <c r="L68" s="149">
        <v>2000</v>
      </c>
      <c r="M68" s="149">
        <v>2025</v>
      </c>
      <c r="N68" s="149">
        <v>2050</v>
      </c>
      <c r="O68" s="149">
        <v>2000</v>
      </c>
      <c r="P68" s="149">
        <v>2025</v>
      </c>
      <c r="Q68" s="149">
        <v>2050</v>
      </c>
      <c r="R68" s="145" t="s">
        <v>413</v>
      </c>
      <c r="S68" s="145" t="s">
        <v>412</v>
      </c>
    </row>
    <row r="69" spans="1:19" x14ac:dyDescent="0.25">
      <c r="I69" s="141" t="s">
        <v>411</v>
      </c>
      <c r="J69" s="141" t="s">
        <v>391</v>
      </c>
      <c r="K69" s="140" t="s">
        <v>383</v>
      </c>
      <c r="L69" s="139">
        <v>1.5</v>
      </c>
      <c r="M69" s="139">
        <v>1.4</v>
      </c>
      <c r="N69" s="139">
        <v>1.2</v>
      </c>
      <c r="O69" s="139">
        <f>L69*$R$47*Deflator!$F$33</f>
        <v>21.446999999999996</v>
      </c>
      <c r="P69" s="139">
        <f>M69*$R$47*Deflator!$F$33</f>
        <v>20.017199999999999</v>
      </c>
      <c r="Q69" s="139">
        <f>N69*$R$47*Deflator!$F$33</f>
        <v>17.157599999999999</v>
      </c>
      <c r="R69" s="138">
        <f t="shared" ref="R69:R78" si="3">(O69/P69)^(1/25)-1</f>
        <v>2.7635263779590691E-3</v>
      </c>
      <c r="S69" s="137">
        <f t="shared" ref="S69:S78" si="4">(P69/Q69)^(1/25)-1</f>
        <v>6.1850762710147222E-3</v>
      </c>
    </row>
    <row r="70" spans="1:19" ht="25.5" x14ac:dyDescent="0.3">
      <c r="A70" s="135" t="s">
        <v>410</v>
      </c>
      <c r="B70" s="45"/>
      <c r="C70" s="45"/>
      <c r="D70" s="45"/>
      <c r="E70" s="45"/>
      <c r="F70" s="45"/>
      <c r="G70" s="45"/>
      <c r="I70" s="148" t="s">
        <v>409</v>
      </c>
      <c r="J70" s="141" t="s">
        <v>391</v>
      </c>
      <c r="K70" s="140" t="s">
        <v>383</v>
      </c>
      <c r="L70" s="147">
        <v>10.8</v>
      </c>
      <c r="M70" s="147">
        <v>10.8</v>
      </c>
      <c r="N70" s="147">
        <v>10.8</v>
      </c>
      <c r="O70" s="147">
        <f>L70*$R$47*Deflator!$F$33</f>
        <v>154.41839999999999</v>
      </c>
      <c r="P70" s="147">
        <f>M70*$R$47*Deflator!$F$33</f>
        <v>154.41839999999999</v>
      </c>
      <c r="Q70" s="147">
        <f>N70*$R$47*Deflator!$F$33</f>
        <v>154.41839999999999</v>
      </c>
      <c r="R70" s="138">
        <f t="shared" si="3"/>
        <v>0</v>
      </c>
      <c r="S70" s="137">
        <f t="shared" si="4"/>
        <v>0</v>
      </c>
    </row>
    <row r="71" spans="1:19" x14ac:dyDescent="0.25">
      <c r="I71" s="141" t="s">
        <v>407</v>
      </c>
      <c r="J71" s="141" t="s">
        <v>391</v>
      </c>
      <c r="K71" s="140" t="s">
        <v>406</v>
      </c>
      <c r="L71" s="139">
        <v>0.3</v>
      </c>
      <c r="M71" s="139">
        <v>0.3</v>
      </c>
      <c r="N71" s="139">
        <v>0.2</v>
      </c>
      <c r="O71" s="139">
        <f>L71*$R$47*Deflator!$F$33</f>
        <v>4.2893999999999997</v>
      </c>
      <c r="P71" s="139">
        <f>M71*$R$47*Deflator!$F$33</f>
        <v>4.2893999999999997</v>
      </c>
      <c r="Q71" s="139">
        <f>N71*$R$47*Deflator!$F$33</f>
        <v>2.8595999999999995</v>
      </c>
      <c r="R71" s="138">
        <f t="shared" si="3"/>
        <v>0</v>
      </c>
      <c r="S71" s="137">
        <f t="shared" si="4"/>
        <v>1.6350839811869022E-2</v>
      </c>
    </row>
    <row r="72" spans="1:19" x14ac:dyDescent="0.25">
      <c r="A72" s="146" t="s">
        <v>397</v>
      </c>
      <c r="B72" s="146" t="s">
        <v>408</v>
      </c>
      <c r="I72" s="141" t="s">
        <v>407</v>
      </c>
      <c r="J72" s="141" t="s">
        <v>387</v>
      </c>
      <c r="K72" s="140" t="s">
        <v>406</v>
      </c>
      <c r="L72" s="139">
        <v>0.8</v>
      </c>
      <c r="M72" s="139">
        <v>0.7</v>
      </c>
      <c r="N72" s="139">
        <v>0.5</v>
      </c>
      <c r="O72" s="139">
        <f>L72*$R$47*Deflator!$F$33</f>
        <v>11.438399999999998</v>
      </c>
      <c r="P72" s="139">
        <f>M72*$R$47*Deflator!$F$33</f>
        <v>10.008599999999999</v>
      </c>
      <c r="Q72" s="139">
        <f>N72*$R$47*Deflator!$F$33</f>
        <v>7.1489999999999991</v>
      </c>
      <c r="R72" s="138">
        <f t="shared" si="3"/>
        <v>5.3555456419747127E-3</v>
      </c>
      <c r="S72" s="137">
        <f t="shared" si="4"/>
        <v>1.354986801622915E-2</v>
      </c>
    </row>
    <row r="73" spans="1:19" x14ac:dyDescent="0.25">
      <c r="I73" s="141" t="s">
        <v>407</v>
      </c>
      <c r="J73" s="141" t="s">
        <v>384</v>
      </c>
      <c r="K73" s="140" t="s">
        <v>406</v>
      </c>
      <c r="L73" s="139">
        <v>3.1</v>
      </c>
      <c r="M73" s="139">
        <v>0.7</v>
      </c>
      <c r="N73" s="139">
        <v>0.5</v>
      </c>
      <c r="O73" s="139">
        <f>L73*$R$47*Deflator!$F$33</f>
        <v>44.323799999999991</v>
      </c>
      <c r="P73" s="139">
        <f>M73*$R$47*Deflator!$F$33</f>
        <v>10.008599999999999</v>
      </c>
      <c r="Q73" s="139">
        <f>N73*$R$47*Deflator!$F$33</f>
        <v>7.1489999999999991</v>
      </c>
      <c r="R73" s="138">
        <f t="shared" si="3"/>
        <v>6.1330258552347861E-2</v>
      </c>
      <c r="S73" s="137">
        <f t="shared" si="4"/>
        <v>1.354986801622915E-2</v>
      </c>
    </row>
    <row r="74" spans="1:19" x14ac:dyDescent="0.25">
      <c r="A74" t="s">
        <v>405</v>
      </c>
      <c r="I74" s="141" t="s">
        <v>403</v>
      </c>
      <c r="J74" s="141" t="s">
        <v>391</v>
      </c>
      <c r="K74" s="140" t="s">
        <v>394</v>
      </c>
      <c r="L74" s="139">
        <v>1.8</v>
      </c>
      <c r="M74" s="139">
        <v>1.8</v>
      </c>
      <c r="N74" s="139">
        <v>1.8</v>
      </c>
      <c r="O74" s="139">
        <f>L74*$R$47*Deflator!$F$33</f>
        <v>25.7364</v>
      </c>
      <c r="P74" s="139">
        <f>M74*$R$47*Deflator!$F$33</f>
        <v>25.7364</v>
      </c>
      <c r="Q74" s="139">
        <f>N74*$R$47*Deflator!$F$33</f>
        <v>25.7364</v>
      </c>
      <c r="R74" s="138">
        <f t="shared" si="3"/>
        <v>0</v>
      </c>
      <c r="S74" s="137">
        <f t="shared" si="4"/>
        <v>0</v>
      </c>
    </row>
    <row r="75" spans="1:19" x14ac:dyDescent="0.25">
      <c r="I75" s="141" t="s">
        <v>403</v>
      </c>
      <c r="J75" s="141" t="s">
        <v>387</v>
      </c>
      <c r="K75" s="140" t="s">
        <v>394</v>
      </c>
      <c r="L75" s="139">
        <v>3.6</v>
      </c>
      <c r="M75" s="139">
        <v>2.4</v>
      </c>
      <c r="N75" s="139">
        <v>2.4</v>
      </c>
      <c r="O75" s="139">
        <f>L75*$R$47*Deflator!$F$33</f>
        <v>51.472799999999999</v>
      </c>
      <c r="P75" s="139">
        <f>M75*$R$47*Deflator!$F$33</f>
        <v>34.315199999999997</v>
      </c>
      <c r="Q75" s="139">
        <f>N75*$R$47*Deflator!$F$33</f>
        <v>34.315199999999997</v>
      </c>
      <c r="R75" s="138">
        <f t="shared" si="3"/>
        <v>1.6350839811869022E-2</v>
      </c>
      <c r="S75" s="137">
        <f t="shared" si="4"/>
        <v>0</v>
      </c>
    </row>
    <row r="76" spans="1:19" x14ac:dyDescent="0.25">
      <c r="A76" s="32" t="s">
        <v>404</v>
      </c>
      <c r="I76" s="141" t="s">
        <v>403</v>
      </c>
      <c r="J76" s="141" t="s">
        <v>384</v>
      </c>
      <c r="K76" s="140" t="s">
        <v>394</v>
      </c>
      <c r="L76" s="139">
        <v>5.4</v>
      </c>
      <c r="M76" s="139">
        <v>3</v>
      </c>
      <c r="N76" s="139">
        <v>3</v>
      </c>
      <c r="O76" s="139">
        <f>L76*$R$47*Deflator!$F$33</f>
        <v>77.209199999999996</v>
      </c>
      <c r="P76" s="139">
        <f>M76*$R$47*Deflator!$F$33</f>
        <v>42.893999999999991</v>
      </c>
      <c r="Q76" s="139">
        <f>N76*$R$47*Deflator!$F$33</f>
        <v>42.893999999999991</v>
      </c>
      <c r="R76" s="138">
        <f t="shared" si="3"/>
        <v>2.3790040066189233E-2</v>
      </c>
      <c r="S76" s="137">
        <f t="shared" si="4"/>
        <v>0</v>
      </c>
    </row>
    <row r="77" spans="1:19" x14ac:dyDescent="0.25">
      <c r="I77" s="141" t="s">
        <v>402</v>
      </c>
      <c r="J77" s="141" t="s">
        <v>387</v>
      </c>
      <c r="K77" s="140" t="s">
        <v>394</v>
      </c>
      <c r="L77" s="139">
        <v>3.6</v>
      </c>
      <c r="M77" s="139">
        <v>2.4</v>
      </c>
      <c r="N77" s="139">
        <v>2.4</v>
      </c>
      <c r="O77" s="139">
        <f>L77*$R$47*Deflator!$F$33</f>
        <v>51.472799999999999</v>
      </c>
      <c r="P77" s="139">
        <f>M77*$R$47*Deflator!$F$33</f>
        <v>34.315199999999997</v>
      </c>
      <c r="Q77" s="139">
        <f>N77*$R$47*Deflator!$F$33</f>
        <v>34.315199999999997</v>
      </c>
      <c r="R77" s="138">
        <f t="shared" si="3"/>
        <v>1.6350839811869022E-2</v>
      </c>
      <c r="S77" s="137">
        <f t="shared" si="4"/>
        <v>0</v>
      </c>
    </row>
    <row r="78" spans="1:19" x14ac:dyDescent="0.25">
      <c r="A78" s="145" t="s">
        <v>371</v>
      </c>
      <c r="B78" s="145" t="s">
        <v>401</v>
      </c>
      <c r="C78" s="145" t="s">
        <v>400</v>
      </c>
      <c r="D78" s="145" t="s">
        <v>399</v>
      </c>
      <c r="E78" s="145" t="s">
        <v>398</v>
      </c>
      <c r="F78" s="145" t="s">
        <v>397</v>
      </c>
      <c r="G78" s="145" t="s">
        <v>396</v>
      </c>
      <c r="I78" s="141" t="s">
        <v>395</v>
      </c>
      <c r="J78" s="141" t="s">
        <v>387</v>
      </c>
      <c r="K78" s="140" t="s">
        <v>394</v>
      </c>
      <c r="L78" s="139">
        <v>3.6</v>
      </c>
      <c r="M78" s="139">
        <v>2.4</v>
      </c>
      <c r="N78" s="139">
        <v>2.4</v>
      </c>
      <c r="O78" s="139">
        <f>L78*$R$47*Deflator!$F$33</f>
        <v>51.472799999999999</v>
      </c>
      <c r="P78" s="139">
        <f>M78*$R$47*Deflator!$F$33</f>
        <v>34.315199999999997</v>
      </c>
      <c r="Q78" s="139">
        <f>N78*$R$47*Deflator!$F$33</f>
        <v>34.315199999999997</v>
      </c>
      <c r="R78" s="138">
        <f t="shared" si="3"/>
        <v>1.6350839811869022E-2</v>
      </c>
      <c r="S78" s="137">
        <f t="shared" si="4"/>
        <v>0</v>
      </c>
    </row>
    <row r="79" spans="1:19" x14ac:dyDescent="0.25">
      <c r="A79" s="142" t="str">
        <f>O39</f>
        <v>75%</v>
      </c>
      <c r="B79" s="144"/>
      <c r="C79" s="144"/>
      <c r="D79" s="144"/>
      <c r="E79" s="144"/>
      <c r="F79" s="142" t="s">
        <v>389</v>
      </c>
      <c r="G79" s="144" t="s">
        <v>393</v>
      </c>
      <c r="I79" s="141" t="s">
        <v>392</v>
      </c>
      <c r="J79" s="141" t="s">
        <v>391</v>
      </c>
      <c r="K79" s="140" t="s">
        <v>390</v>
      </c>
      <c r="L79" s="140"/>
      <c r="M79" s="139">
        <v>4.0999999999999996</v>
      </c>
      <c r="N79" s="139">
        <v>4.0999999999999996</v>
      </c>
      <c r="O79" s="139"/>
      <c r="P79" s="139">
        <f>M79*$R$47*Deflator!$F$33</f>
        <v>58.621799999999986</v>
      </c>
      <c r="Q79" s="139">
        <f>N79*$R$47*Deflator!$F$33</f>
        <v>58.621799999999986</v>
      </c>
      <c r="R79" s="138"/>
      <c r="S79" s="137">
        <f>(P79/Q79)^(1/25)-1</f>
        <v>0</v>
      </c>
    </row>
    <row r="80" spans="1:19" x14ac:dyDescent="0.25">
      <c r="A80" s="142" t="str">
        <f>O40</f>
        <v>75%</v>
      </c>
      <c r="B80" s="144"/>
      <c r="C80" s="144"/>
      <c r="D80" s="144"/>
      <c r="E80" s="144"/>
      <c r="F80" s="142" t="s">
        <v>389</v>
      </c>
      <c r="G80" s="144" t="s">
        <v>388</v>
      </c>
      <c r="I80" s="141" t="s">
        <v>385</v>
      </c>
      <c r="J80" s="141" t="s">
        <v>387</v>
      </c>
      <c r="K80" s="140" t="s">
        <v>383</v>
      </c>
      <c r="L80" s="139">
        <v>1.5</v>
      </c>
      <c r="M80" s="139">
        <v>0.9</v>
      </c>
      <c r="N80" s="139">
        <v>0.9</v>
      </c>
      <c r="O80" s="139">
        <f>L80*$R$47*Deflator!$F$33</f>
        <v>21.446999999999996</v>
      </c>
      <c r="P80" s="139">
        <f>M80*$R$47*Deflator!$F$33</f>
        <v>12.8682</v>
      </c>
      <c r="Q80" s="139">
        <f>N80*$R$47*Deflator!$F$33</f>
        <v>12.8682</v>
      </c>
      <c r="R80" s="138">
        <f>(O80/P80)^(1/25)-1</f>
        <v>2.0643208324757856E-2</v>
      </c>
      <c r="S80" s="137">
        <f>(P80/Q80)^(1/25)-1</f>
        <v>0</v>
      </c>
    </row>
    <row r="81" spans="1:19" x14ac:dyDescent="0.25">
      <c r="A81" s="142"/>
      <c r="B81" s="143">
        <v>0.57999999999999996</v>
      </c>
      <c r="C81" s="143">
        <v>0.87</v>
      </c>
      <c r="D81" s="142"/>
      <c r="E81" s="142"/>
      <c r="F81" s="142" t="s">
        <v>386</v>
      </c>
      <c r="G81" s="142"/>
      <c r="I81" s="141" t="s">
        <v>385</v>
      </c>
      <c r="J81" s="141" t="s">
        <v>384</v>
      </c>
      <c r="K81" s="140" t="s">
        <v>383</v>
      </c>
      <c r="L81" s="139">
        <v>5.6</v>
      </c>
      <c r="M81" s="139">
        <v>1.4</v>
      </c>
      <c r="N81" s="139">
        <v>0.9</v>
      </c>
      <c r="O81" s="139">
        <f>L81*$R$47*Deflator!$F$33</f>
        <v>80.068799999999996</v>
      </c>
      <c r="P81" s="139">
        <f>M81*$R$47*Deflator!$F$33</f>
        <v>20.017199999999999</v>
      </c>
      <c r="Q81" s="139">
        <f>N81*$R$47*Deflator!$F$33</f>
        <v>12.8682</v>
      </c>
      <c r="R81" s="138">
        <f>(O81/P81)^(1/25)-1</f>
        <v>5.7018040561380268E-2</v>
      </c>
      <c r="S81" s="137">
        <f>(P81/Q81)^(1/25)-1</f>
        <v>1.7830407146320004E-2</v>
      </c>
    </row>
    <row r="82" spans="1:19" x14ac:dyDescent="0.25">
      <c r="L82" s="136"/>
      <c r="M82" t="s">
        <v>382</v>
      </c>
      <c r="O82" s="136"/>
      <c r="P82" t="s">
        <v>381</v>
      </c>
    </row>
    <row r="84" spans="1:19" ht="18.75" x14ac:dyDescent="0.3">
      <c r="A84" s="135" t="s">
        <v>380</v>
      </c>
      <c r="B84" s="45"/>
      <c r="C84" s="45"/>
      <c r="D84" s="45"/>
      <c r="E84" s="45"/>
      <c r="F84" s="45"/>
      <c r="G84" s="45"/>
      <c r="I84" s="134" t="s">
        <v>379</v>
      </c>
      <c r="J84" s="134"/>
      <c r="K84" s="134"/>
      <c r="L84" s="134"/>
      <c r="M84" s="134"/>
    </row>
    <row r="85" spans="1:19" x14ac:dyDescent="0.25">
      <c r="I85" s="134" t="s">
        <v>378</v>
      </c>
      <c r="J85" s="134"/>
      <c r="K85" s="134"/>
      <c r="L85" s="134"/>
      <c r="M85" s="134"/>
    </row>
    <row r="86" spans="1:19" x14ac:dyDescent="0.25">
      <c r="A86" t="s">
        <v>377</v>
      </c>
      <c r="B86" t="s">
        <v>376</v>
      </c>
      <c r="I86" s="134" t="s">
        <v>375</v>
      </c>
      <c r="J86" s="134"/>
      <c r="K86" s="134"/>
      <c r="L86" s="134"/>
      <c r="M86" s="134"/>
    </row>
    <row r="87" spans="1:19" x14ac:dyDescent="0.25">
      <c r="I87" s="132" t="s">
        <v>374</v>
      </c>
      <c r="J87" s="370" t="s">
        <v>373</v>
      </c>
      <c r="K87" s="370"/>
      <c r="L87" s="370" t="s">
        <v>372</v>
      </c>
      <c r="M87" s="370"/>
    </row>
    <row r="88" spans="1:19" x14ac:dyDescent="0.25">
      <c r="A88" t="s">
        <v>371</v>
      </c>
      <c r="B88" s="102">
        <v>0.64</v>
      </c>
      <c r="C88" t="s">
        <v>370</v>
      </c>
      <c r="E88" t="s">
        <v>364</v>
      </c>
      <c r="I88" s="132"/>
      <c r="J88" s="132" t="s">
        <v>369</v>
      </c>
      <c r="K88" s="132" t="s">
        <v>367</v>
      </c>
      <c r="L88" s="132" t="s">
        <v>368</v>
      </c>
      <c r="M88" s="132" t="s">
        <v>367</v>
      </c>
    </row>
    <row r="89" spans="1:19" x14ac:dyDescent="0.25">
      <c r="A89" t="s">
        <v>366</v>
      </c>
      <c r="B89">
        <v>21.7</v>
      </c>
      <c r="C89" t="s">
        <v>365</v>
      </c>
      <c r="E89" t="s">
        <v>364</v>
      </c>
      <c r="I89" s="132" t="s">
        <v>363</v>
      </c>
      <c r="J89" s="131" t="s">
        <v>349</v>
      </c>
      <c r="K89" s="131" t="s">
        <v>348</v>
      </c>
      <c r="L89" s="131" t="s">
        <v>349</v>
      </c>
      <c r="M89" s="131" t="s">
        <v>348</v>
      </c>
    </row>
    <row r="90" spans="1:19" ht="25.5" x14ac:dyDescent="0.25">
      <c r="B90" s="82">
        <f>B89/Y9</f>
        <v>0.15281690140845069</v>
      </c>
      <c r="C90" t="s">
        <v>362</v>
      </c>
      <c r="I90" s="132" t="s">
        <v>361</v>
      </c>
      <c r="J90" s="131" t="s">
        <v>349</v>
      </c>
      <c r="K90" s="131" t="s">
        <v>348</v>
      </c>
      <c r="L90" s="131" t="s">
        <v>348</v>
      </c>
      <c r="M90" s="131" t="s">
        <v>349</v>
      </c>
    </row>
    <row r="91" spans="1:19" x14ac:dyDescent="0.25">
      <c r="B91" s="82">
        <f>B89/Y10</f>
        <v>0.18083333333333332</v>
      </c>
      <c r="C91" t="s">
        <v>360</v>
      </c>
      <c r="I91" s="132" t="s">
        <v>359</v>
      </c>
      <c r="J91" s="131" t="s">
        <v>349</v>
      </c>
      <c r="K91" s="131" t="s">
        <v>348</v>
      </c>
      <c r="L91" s="131" t="s">
        <v>349</v>
      </c>
      <c r="M91" s="131" t="s">
        <v>348</v>
      </c>
    </row>
    <row r="92" spans="1:19" x14ac:dyDescent="0.25">
      <c r="B92" s="133">
        <f>B90*1000</f>
        <v>152.81690140845069</v>
      </c>
      <c r="C92" t="s">
        <v>358</v>
      </c>
      <c r="I92" s="132" t="s">
        <v>357</v>
      </c>
      <c r="J92" s="131" t="s">
        <v>356</v>
      </c>
      <c r="K92" s="131" t="s">
        <v>355</v>
      </c>
      <c r="L92" s="131" t="s">
        <v>349</v>
      </c>
      <c r="M92" s="131" t="s">
        <v>348</v>
      </c>
    </row>
    <row r="93" spans="1:19" x14ac:dyDescent="0.25">
      <c r="B93" s="133">
        <f>B91*1000</f>
        <v>180.83333333333331</v>
      </c>
      <c r="C93" t="s">
        <v>354</v>
      </c>
      <c r="I93" s="132" t="s">
        <v>353</v>
      </c>
      <c r="J93" s="131" t="s">
        <v>349</v>
      </c>
      <c r="K93" s="131" t="s">
        <v>348</v>
      </c>
      <c r="L93" s="131" t="s">
        <v>352</v>
      </c>
      <c r="M93" s="131" t="s">
        <v>351</v>
      </c>
    </row>
    <row r="94" spans="1:19" x14ac:dyDescent="0.25">
      <c r="I94" s="132" t="s">
        <v>350</v>
      </c>
      <c r="J94" s="131" t="s">
        <v>348</v>
      </c>
      <c r="K94" s="131" t="s">
        <v>349</v>
      </c>
      <c r="L94" s="131" t="s">
        <v>349</v>
      </c>
      <c r="M94" s="131" t="s">
        <v>348</v>
      </c>
    </row>
    <row r="97" spans="9:17" ht="15.75" x14ac:dyDescent="0.25">
      <c r="I97" s="130" t="s">
        <v>347</v>
      </c>
      <c r="J97" s="114"/>
      <c r="K97" s="114"/>
      <c r="L97" s="114"/>
      <c r="M97" s="114"/>
      <c r="N97" s="114"/>
      <c r="O97" s="114"/>
      <c r="P97" s="114"/>
      <c r="Q97" s="114"/>
    </row>
    <row r="98" spans="9:17" x14ac:dyDescent="0.25">
      <c r="I98" s="114"/>
      <c r="J98" s="114"/>
      <c r="K98" s="114"/>
      <c r="L98" s="114"/>
      <c r="M98" s="114"/>
      <c r="N98" s="114"/>
      <c r="O98" s="114"/>
      <c r="P98" s="114"/>
      <c r="Q98" s="114"/>
    </row>
    <row r="99" spans="9:17" x14ac:dyDescent="0.25">
      <c r="I99" s="114" t="s">
        <v>346</v>
      </c>
      <c r="J99" s="114"/>
      <c r="K99" s="114"/>
      <c r="L99" s="114"/>
      <c r="M99" s="114"/>
      <c r="N99" s="114"/>
      <c r="O99" s="114"/>
      <c r="P99" s="114"/>
      <c r="Q99" s="114"/>
    </row>
    <row r="100" spans="9:17" x14ac:dyDescent="0.25">
      <c r="I100" s="114" t="s">
        <v>345</v>
      </c>
      <c r="J100" s="114"/>
      <c r="K100" s="114"/>
      <c r="L100" s="114"/>
      <c r="M100" s="114"/>
      <c r="N100" s="114"/>
      <c r="O100" s="114"/>
      <c r="P100" s="114"/>
      <c r="Q100" s="114"/>
    </row>
    <row r="101" spans="9:17" x14ac:dyDescent="0.25">
      <c r="I101" s="114" t="s">
        <v>344</v>
      </c>
      <c r="J101" s="114"/>
      <c r="K101" s="114"/>
      <c r="L101" s="114"/>
      <c r="M101" s="114"/>
      <c r="N101" s="114"/>
      <c r="O101" s="114"/>
      <c r="P101" s="114"/>
      <c r="Q101" s="114"/>
    </row>
    <row r="102" spans="9:17" x14ac:dyDescent="0.25">
      <c r="I102" s="44" t="s">
        <v>328</v>
      </c>
      <c r="J102" s="127" t="s">
        <v>339</v>
      </c>
      <c r="K102" s="127" t="s">
        <v>338</v>
      </c>
      <c r="L102" s="120" t="s">
        <v>326</v>
      </c>
      <c r="M102" s="119"/>
      <c r="N102" s="118"/>
      <c r="O102" s="120" t="s">
        <v>325</v>
      </c>
      <c r="P102" s="119"/>
      <c r="Q102" s="118"/>
    </row>
    <row r="103" spans="9:17" x14ac:dyDescent="0.25">
      <c r="I103" s="44"/>
      <c r="J103" s="127"/>
      <c r="K103" s="120"/>
      <c r="L103" s="117">
        <v>2000</v>
      </c>
      <c r="M103" s="117">
        <v>2025</v>
      </c>
      <c r="N103" s="117">
        <v>2050</v>
      </c>
      <c r="O103" s="117">
        <v>2000</v>
      </c>
      <c r="P103" s="117">
        <v>2025</v>
      </c>
      <c r="Q103" s="117">
        <v>2050</v>
      </c>
    </row>
    <row r="104" spans="9:17" x14ac:dyDescent="0.25">
      <c r="I104" s="44" t="s">
        <v>337</v>
      </c>
      <c r="J104" s="127" t="s">
        <v>334</v>
      </c>
      <c r="K104" s="125">
        <v>2000</v>
      </c>
      <c r="L104" s="111">
        <v>15</v>
      </c>
      <c r="M104" s="111">
        <v>6</v>
      </c>
      <c r="N104" s="111">
        <v>6</v>
      </c>
      <c r="O104" s="115">
        <v>0.82</v>
      </c>
      <c r="P104" s="115">
        <v>0.85</v>
      </c>
      <c r="Q104" s="115">
        <v>0.85</v>
      </c>
    </row>
    <row r="105" spans="9:17" x14ac:dyDescent="0.25">
      <c r="I105" s="44" t="s">
        <v>337</v>
      </c>
      <c r="J105" s="127" t="s">
        <v>336</v>
      </c>
      <c r="K105" s="125">
        <v>2020</v>
      </c>
      <c r="L105" s="111">
        <v>15</v>
      </c>
      <c r="M105" s="111">
        <v>10</v>
      </c>
      <c r="N105" s="111">
        <v>10</v>
      </c>
      <c r="O105" s="115">
        <v>0.75</v>
      </c>
      <c r="P105" s="115">
        <v>0.8</v>
      </c>
      <c r="Q105" s="115">
        <v>0.8</v>
      </c>
    </row>
    <row r="106" spans="9:17" x14ac:dyDescent="0.25">
      <c r="I106" s="44" t="s">
        <v>335</v>
      </c>
      <c r="J106" s="127" t="s">
        <v>334</v>
      </c>
      <c r="K106" s="125">
        <v>2020</v>
      </c>
      <c r="L106" s="111">
        <v>8</v>
      </c>
      <c r="M106" s="111">
        <v>4</v>
      </c>
      <c r="N106" s="111">
        <v>3</v>
      </c>
      <c r="O106" s="115">
        <v>0.95</v>
      </c>
      <c r="P106" s="115">
        <v>0.95</v>
      </c>
      <c r="Q106" s="115">
        <v>0.95</v>
      </c>
    </row>
    <row r="107" spans="9:17" x14ac:dyDescent="0.25">
      <c r="I107" s="44" t="s">
        <v>333</v>
      </c>
      <c r="J107" s="127" t="s">
        <v>332</v>
      </c>
      <c r="K107" s="125">
        <v>2020</v>
      </c>
      <c r="L107" s="111">
        <v>4</v>
      </c>
      <c r="M107" s="111">
        <v>4</v>
      </c>
      <c r="N107" s="111">
        <v>4</v>
      </c>
      <c r="O107" s="115">
        <v>0.98</v>
      </c>
      <c r="P107" s="115">
        <v>0.98</v>
      </c>
      <c r="Q107" s="115">
        <v>0.98</v>
      </c>
    </row>
    <row r="108" spans="9:17" x14ac:dyDescent="0.25">
      <c r="I108" s="129">
        <v>22</v>
      </c>
      <c r="J108" s="114"/>
      <c r="K108" s="114"/>
      <c r="L108" s="114"/>
      <c r="M108" s="114"/>
      <c r="N108" s="114"/>
      <c r="O108" s="114"/>
      <c r="P108" s="114"/>
      <c r="Q108" s="114"/>
    </row>
    <row r="109" spans="9:17" x14ac:dyDescent="0.25">
      <c r="I109" s="114" t="s">
        <v>343</v>
      </c>
      <c r="J109" s="114"/>
      <c r="K109" s="114"/>
      <c r="L109" s="114"/>
      <c r="M109" s="114"/>
      <c r="N109" s="114"/>
      <c r="O109" s="114"/>
      <c r="P109" s="114"/>
      <c r="Q109" s="114"/>
    </row>
    <row r="110" spans="9:17" x14ac:dyDescent="0.25">
      <c r="I110" s="114" t="s">
        <v>342</v>
      </c>
      <c r="J110" s="114"/>
      <c r="K110" s="114"/>
      <c r="L110" s="114"/>
      <c r="M110" s="114"/>
      <c r="N110" s="114"/>
      <c r="O110" s="114"/>
      <c r="P110" s="114"/>
      <c r="Q110" s="114"/>
    </row>
    <row r="111" spans="9:17" x14ac:dyDescent="0.25">
      <c r="I111" s="114" t="s">
        <v>341</v>
      </c>
      <c r="J111" s="114"/>
      <c r="K111" s="114"/>
      <c r="L111" s="114"/>
      <c r="M111" s="114"/>
      <c r="N111" s="114"/>
      <c r="O111" s="114"/>
      <c r="P111" s="114"/>
      <c r="Q111" s="114"/>
    </row>
    <row r="112" spans="9:17" x14ac:dyDescent="0.25">
      <c r="I112" s="114" t="s">
        <v>340</v>
      </c>
      <c r="J112" s="114"/>
      <c r="K112" s="114"/>
      <c r="L112" s="114"/>
      <c r="M112" s="114"/>
      <c r="N112" s="114"/>
      <c r="O112" s="114"/>
      <c r="P112" s="114"/>
      <c r="Q112" s="114"/>
    </row>
    <row r="113" spans="9:17" x14ac:dyDescent="0.25">
      <c r="I113" s="44" t="s">
        <v>328</v>
      </c>
      <c r="J113" s="127" t="s">
        <v>339</v>
      </c>
      <c r="K113" s="127" t="s">
        <v>338</v>
      </c>
      <c r="L113" s="120" t="s">
        <v>326</v>
      </c>
      <c r="M113" s="119"/>
      <c r="N113" s="118"/>
      <c r="O113" s="120" t="s">
        <v>325</v>
      </c>
      <c r="P113" s="119"/>
      <c r="Q113" s="118"/>
    </row>
    <row r="114" spans="9:17" x14ac:dyDescent="0.25">
      <c r="I114" s="44"/>
      <c r="J114" s="127"/>
      <c r="K114" s="127"/>
      <c r="L114" s="128">
        <v>2000</v>
      </c>
      <c r="M114" s="128">
        <v>2025</v>
      </c>
      <c r="N114" s="128">
        <v>2050</v>
      </c>
      <c r="O114" s="117">
        <v>2000</v>
      </c>
      <c r="P114" s="117">
        <v>2025</v>
      </c>
      <c r="Q114" s="117">
        <v>2050</v>
      </c>
    </row>
    <row r="115" spans="9:17" x14ac:dyDescent="0.25">
      <c r="I115" s="44" t="s">
        <v>337</v>
      </c>
      <c r="J115" s="127" t="s">
        <v>334</v>
      </c>
      <c r="K115" s="126">
        <v>2000</v>
      </c>
      <c r="L115" s="125">
        <v>31</v>
      </c>
      <c r="M115" s="125">
        <v>12</v>
      </c>
      <c r="N115" s="125">
        <v>12</v>
      </c>
      <c r="O115" s="115">
        <v>0.82</v>
      </c>
      <c r="P115" s="115">
        <v>0.85</v>
      </c>
      <c r="Q115" s="115">
        <v>0.85</v>
      </c>
    </row>
    <row r="116" spans="9:17" x14ac:dyDescent="0.25">
      <c r="I116" s="44" t="s">
        <v>337</v>
      </c>
      <c r="J116" s="127" t="s">
        <v>336</v>
      </c>
      <c r="K116" s="126">
        <v>2020</v>
      </c>
      <c r="L116" s="125">
        <v>31</v>
      </c>
      <c r="M116" s="125">
        <v>21</v>
      </c>
      <c r="N116" s="125">
        <v>21</v>
      </c>
      <c r="O116" s="115">
        <v>0.75</v>
      </c>
      <c r="P116" s="115">
        <v>0.8</v>
      </c>
      <c r="Q116" s="115">
        <v>0.8</v>
      </c>
    </row>
    <row r="117" spans="9:17" x14ac:dyDescent="0.25">
      <c r="I117" s="44" t="s">
        <v>335</v>
      </c>
      <c r="J117" s="127" t="s">
        <v>334</v>
      </c>
      <c r="K117" s="126">
        <v>2020</v>
      </c>
      <c r="L117" s="125">
        <v>16</v>
      </c>
      <c r="M117" s="125">
        <v>8</v>
      </c>
      <c r="N117" s="125">
        <v>6</v>
      </c>
      <c r="O117" s="115">
        <v>0.95</v>
      </c>
      <c r="P117" s="115">
        <v>0.95</v>
      </c>
      <c r="Q117" s="115">
        <v>0.95</v>
      </c>
    </row>
    <row r="118" spans="9:17" x14ac:dyDescent="0.25">
      <c r="I118" s="44" t="s">
        <v>333</v>
      </c>
      <c r="J118" s="127" t="s">
        <v>332</v>
      </c>
      <c r="K118" s="126">
        <v>2020</v>
      </c>
      <c r="L118" s="125">
        <v>8</v>
      </c>
      <c r="M118" s="125">
        <v>8</v>
      </c>
      <c r="N118" s="125">
        <v>8</v>
      </c>
      <c r="O118" s="115">
        <v>0.98</v>
      </c>
      <c r="P118" s="115">
        <v>0.98</v>
      </c>
      <c r="Q118" s="115">
        <v>0.98</v>
      </c>
    </row>
    <row r="119" spans="9:17" x14ac:dyDescent="0.25">
      <c r="I119" s="124"/>
      <c r="J119" s="124"/>
      <c r="K119" s="124"/>
      <c r="L119" s="123"/>
      <c r="M119" s="123"/>
      <c r="N119" s="123"/>
      <c r="O119" s="123"/>
      <c r="P119" s="122"/>
      <c r="Q119" s="122"/>
    </row>
    <row r="120" spans="9:17" x14ac:dyDescent="0.25">
      <c r="I120" s="121" t="s">
        <v>331</v>
      </c>
      <c r="J120" s="114"/>
      <c r="K120" s="114"/>
      <c r="L120" s="114"/>
      <c r="M120" s="114"/>
      <c r="N120" s="114"/>
      <c r="O120" s="114"/>
      <c r="P120" s="114"/>
      <c r="Q120" s="114"/>
    </row>
    <row r="121" spans="9:17" x14ac:dyDescent="0.25">
      <c r="I121" s="114" t="s">
        <v>330</v>
      </c>
      <c r="J121" s="114"/>
      <c r="K121" s="114"/>
      <c r="L121" s="114"/>
      <c r="M121" s="114"/>
      <c r="N121" s="114"/>
      <c r="O121" s="114"/>
      <c r="P121" s="114"/>
      <c r="Q121" s="114"/>
    </row>
    <row r="122" spans="9:17" x14ac:dyDescent="0.25">
      <c r="I122" s="114" t="s">
        <v>329</v>
      </c>
      <c r="J122" s="114"/>
      <c r="K122" s="114"/>
      <c r="L122" s="114"/>
      <c r="M122" s="114"/>
      <c r="N122" s="114"/>
      <c r="O122" s="114"/>
      <c r="P122" s="114"/>
      <c r="Q122" s="114"/>
    </row>
    <row r="123" spans="9:17" x14ac:dyDescent="0.25">
      <c r="I123" s="116" t="s">
        <v>328</v>
      </c>
      <c r="J123" s="113" t="s">
        <v>327</v>
      </c>
      <c r="K123" s="367" t="s">
        <v>326</v>
      </c>
      <c r="L123" s="368"/>
      <c r="M123" s="369"/>
      <c r="N123" s="367" t="s">
        <v>325</v>
      </c>
      <c r="O123" s="368"/>
      <c r="P123" s="369"/>
      <c r="Q123" s="114"/>
    </row>
    <row r="124" spans="9:17" x14ac:dyDescent="0.25">
      <c r="I124" s="116"/>
      <c r="J124" s="113" t="s">
        <v>324</v>
      </c>
      <c r="K124" s="117">
        <v>2000</v>
      </c>
      <c r="L124" s="117">
        <v>2025</v>
      </c>
      <c r="M124" s="117">
        <v>2050</v>
      </c>
      <c r="N124" s="117">
        <v>2000</v>
      </c>
      <c r="O124" s="117">
        <v>2025</v>
      </c>
      <c r="P124" s="117">
        <v>2050</v>
      </c>
      <c r="Q124" s="114"/>
    </row>
    <row r="125" spans="9:17" ht="30" x14ac:dyDescent="0.25">
      <c r="I125" s="116" t="s">
        <v>323</v>
      </c>
      <c r="J125" s="111">
        <v>2000</v>
      </c>
      <c r="K125" s="111">
        <v>16</v>
      </c>
      <c r="L125" s="111">
        <v>10</v>
      </c>
      <c r="M125" s="111">
        <v>6</v>
      </c>
      <c r="N125" s="115">
        <v>0.95</v>
      </c>
      <c r="O125" s="115">
        <v>0.95</v>
      </c>
      <c r="P125" s="115">
        <v>0.95</v>
      </c>
      <c r="Q125" s="114"/>
    </row>
    <row r="126" spans="9:17" ht="30" x14ac:dyDescent="0.25">
      <c r="I126" s="116" t="s">
        <v>322</v>
      </c>
      <c r="J126" s="111">
        <v>2000</v>
      </c>
      <c r="K126" s="111">
        <v>33</v>
      </c>
      <c r="L126" s="111">
        <v>20</v>
      </c>
      <c r="M126" s="111">
        <v>12</v>
      </c>
      <c r="N126" s="115">
        <v>0.95</v>
      </c>
      <c r="O126" s="115">
        <v>0.95</v>
      </c>
      <c r="P126" s="115">
        <v>0.95</v>
      </c>
      <c r="Q126" s="114"/>
    </row>
    <row r="128" spans="9:17" x14ac:dyDescent="0.25">
      <c r="I128" s="355" t="s">
        <v>321</v>
      </c>
      <c r="J128" s="355"/>
      <c r="K128" s="355"/>
      <c r="L128" s="355"/>
      <c r="M128" s="355"/>
      <c r="N128" s="355"/>
      <c r="O128" s="355"/>
      <c r="P128" s="355"/>
      <c r="Q128" s="355"/>
    </row>
    <row r="129" spans="9:17" x14ac:dyDescent="0.25">
      <c r="I129" s="355"/>
      <c r="J129" s="355"/>
      <c r="K129" s="355"/>
      <c r="L129" s="355"/>
      <c r="M129" s="355"/>
      <c r="N129" s="355"/>
      <c r="O129" s="355"/>
      <c r="P129" s="355"/>
      <c r="Q129" s="355"/>
    </row>
    <row r="130" spans="9:17" x14ac:dyDescent="0.25">
      <c r="I130" s="355"/>
      <c r="J130" s="355"/>
      <c r="K130" s="355"/>
      <c r="L130" s="355"/>
      <c r="M130" s="355"/>
      <c r="N130" s="355"/>
      <c r="O130" s="355"/>
      <c r="P130" s="355"/>
      <c r="Q130" s="355"/>
    </row>
    <row r="131" spans="9:17" x14ac:dyDescent="0.25">
      <c r="I131" s="355"/>
      <c r="J131" s="355"/>
      <c r="K131" s="355"/>
      <c r="L131" s="355"/>
      <c r="M131" s="355"/>
      <c r="N131" s="355"/>
      <c r="O131" s="355"/>
      <c r="P131" s="355"/>
      <c r="Q131" s="355"/>
    </row>
    <row r="132" spans="9:17" x14ac:dyDescent="0.25">
      <c r="I132" s="355"/>
      <c r="J132" s="355"/>
      <c r="K132" s="355"/>
      <c r="L132" s="355"/>
      <c r="M132" s="355"/>
      <c r="N132" s="355"/>
      <c r="O132" s="355"/>
      <c r="P132" s="355"/>
      <c r="Q132" s="355"/>
    </row>
    <row r="134" spans="9:17" x14ac:dyDescent="0.25">
      <c r="I134" s="114" t="s">
        <v>320</v>
      </c>
      <c r="J134" s="114"/>
      <c r="K134" s="114"/>
      <c r="L134" s="114"/>
      <c r="M134" s="114"/>
      <c r="N134" s="114"/>
    </row>
    <row r="135" spans="9:17" ht="30" x14ac:dyDescent="0.25">
      <c r="I135" s="44" t="s">
        <v>318</v>
      </c>
      <c r="J135" s="44" t="s">
        <v>317</v>
      </c>
      <c r="K135" s="44" t="s">
        <v>316</v>
      </c>
      <c r="L135" s="113" t="s">
        <v>315</v>
      </c>
      <c r="M135" s="113" t="s">
        <v>314</v>
      </c>
      <c r="N135" s="44" t="s">
        <v>313</v>
      </c>
    </row>
    <row r="136" spans="9:17" x14ac:dyDescent="0.25">
      <c r="I136" s="112">
        <v>2000</v>
      </c>
      <c r="J136" s="111">
        <v>10</v>
      </c>
      <c r="K136" s="111">
        <v>15</v>
      </c>
      <c r="L136" s="111">
        <v>12</v>
      </c>
      <c r="M136" s="111">
        <v>19</v>
      </c>
      <c r="N136" s="111">
        <v>29</v>
      </c>
    </row>
    <row r="137" spans="9:17" x14ac:dyDescent="0.25">
      <c r="I137" s="112">
        <v>2010</v>
      </c>
      <c r="J137" s="111">
        <v>9</v>
      </c>
      <c r="K137" s="111">
        <v>14</v>
      </c>
      <c r="L137" s="111">
        <v>11</v>
      </c>
      <c r="M137" s="111">
        <v>16</v>
      </c>
      <c r="N137" s="111">
        <v>25</v>
      </c>
    </row>
    <row r="138" spans="9:17" x14ac:dyDescent="0.25">
      <c r="I138" s="112">
        <v>2020</v>
      </c>
      <c r="J138" s="111">
        <v>8</v>
      </c>
      <c r="K138" s="111">
        <v>12</v>
      </c>
      <c r="L138" s="111">
        <v>10</v>
      </c>
      <c r="M138" s="111">
        <v>14</v>
      </c>
      <c r="N138" s="111">
        <v>21</v>
      </c>
    </row>
    <row r="139" spans="9:17" x14ac:dyDescent="0.25">
      <c r="I139" s="112">
        <v>2030</v>
      </c>
      <c r="J139" s="111">
        <v>7</v>
      </c>
      <c r="K139" s="111">
        <v>11</v>
      </c>
      <c r="L139" s="111">
        <v>9</v>
      </c>
      <c r="M139" s="111">
        <v>12</v>
      </c>
      <c r="N139" s="111">
        <v>18</v>
      </c>
    </row>
    <row r="140" spans="9:17" x14ac:dyDescent="0.25">
      <c r="I140" s="112">
        <v>2040</v>
      </c>
      <c r="J140" s="111">
        <v>7</v>
      </c>
      <c r="K140" s="111">
        <v>10</v>
      </c>
      <c r="L140" s="111">
        <v>8</v>
      </c>
      <c r="M140" s="111">
        <v>11</v>
      </c>
      <c r="N140" s="111">
        <v>15</v>
      </c>
    </row>
    <row r="141" spans="9:17" x14ac:dyDescent="0.25">
      <c r="I141" s="112">
        <v>2050</v>
      </c>
      <c r="J141" s="111">
        <v>6</v>
      </c>
      <c r="K141" s="111">
        <v>9</v>
      </c>
      <c r="L141" s="111">
        <v>7</v>
      </c>
      <c r="M141" s="111">
        <v>10</v>
      </c>
      <c r="N141" s="111">
        <v>13</v>
      </c>
    </row>
    <row r="142" spans="9:17" x14ac:dyDescent="0.25">
      <c r="I142" s="114" t="s">
        <v>319</v>
      </c>
      <c r="J142" s="114"/>
      <c r="K142" s="114"/>
      <c r="L142" s="114"/>
      <c r="M142" s="114"/>
      <c r="N142" s="114"/>
    </row>
    <row r="143" spans="9:17" ht="30" x14ac:dyDescent="0.25">
      <c r="I143" s="44" t="s">
        <v>318</v>
      </c>
      <c r="J143" s="44" t="s">
        <v>317</v>
      </c>
      <c r="K143" s="44" t="s">
        <v>316</v>
      </c>
      <c r="L143" s="113" t="s">
        <v>315</v>
      </c>
      <c r="M143" s="113" t="s">
        <v>314</v>
      </c>
      <c r="N143" s="44" t="s">
        <v>313</v>
      </c>
    </row>
    <row r="144" spans="9:17" x14ac:dyDescent="0.25">
      <c r="I144" s="112">
        <v>2000</v>
      </c>
      <c r="J144" s="111">
        <v>20</v>
      </c>
      <c r="K144" s="111">
        <v>31</v>
      </c>
      <c r="L144" s="111">
        <v>25</v>
      </c>
      <c r="M144" s="111">
        <v>39</v>
      </c>
      <c r="N144" s="111">
        <v>59</v>
      </c>
    </row>
    <row r="145" spans="9:14" x14ac:dyDescent="0.25">
      <c r="I145" s="112">
        <v>2010</v>
      </c>
      <c r="J145" s="111">
        <v>18</v>
      </c>
      <c r="K145" s="111">
        <v>28</v>
      </c>
      <c r="L145" s="111">
        <v>23</v>
      </c>
      <c r="M145" s="111">
        <v>34</v>
      </c>
      <c r="N145" s="111">
        <v>50</v>
      </c>
    </row>
    <row r="146" spans="9:14" x14ac:dyDescent="0.25">
      <c r="I146" s="112">
        <v>2020</v>
      </c>
      <c r="J146" s="111">
        <v>16</v>
      </c>
      <c r="K146" s="111">
        <v>25</v>
      </c>
      <c r="L146" s="111">
        <v>20</v>
      </c>
      <c r="M146" s="111">
        <v>29</v>
      </c>
      <c r="N146" s="111">
        <v>43</v>
      </c>
    </row>
    <row r="147" spans="9:14" x14ac:dyDescent="0.25">
      <c r="I147" s="112">
        <v>2030</v>
      </c>
      <c r="J147" s="111">
        <v>15</v>
      </c>
      <c r="K147" s="111">
        <v>23</v>
      </c>
      <c r="L147" s="111">
        <v>18</v>
      </c>
      <c r="M147" s="111">
        <v>26</v>
      </c>
      <c r="N147" s="111">
        <v>37</v>
      </c>
    </row>
    <row r="148" spans="9:14" x14ac:dyDescent="0.25">
      <c r="I148" s="112">
        <v>2040</v>
      </c>
      <c r="J148" s="111">
        <v>13</v>
      </c>
      <c r="K148" s="111">
        <v>20</v>
      </c>
      <c r="L148" s="111">
        <v>16</v>
      </c>
      <c r="M148" s="111">
        <v>22</v>
      </c>
      <c r="N148" s="111">
        <v>31</v>
      </c>
    </row>
    <row r="149" spans="9:14" x14ac:dyDescent="0.25">
      <c r="I149" s="112">
        <v>2050</v>
      </c>
      <c r="J149" s="111">
        <v>12</v>
      </c>
      <c r="K149" s="111">
        <v>18</v>
      </c>
      <c r="L149" s="111">
        <v>15</v>
      </c>
      <c r="M149" s="111">
        <v>20</v>
      </c>
      <c r="N149" s="111">
        <v>27</v>
      </c>
    </row>
  </sheetData>
  <mergeCells count="29">
    <mergeCell ref="K123:M123"/>
    <mergeCell ref="N123:P123"/>
    <mergeCell ref="I128:Q132"/>
    <mergeCell ref="R26:T26"/>
    <mergeCell ref="O67:Q67"/>
    <mergeCell ref="J87:K87"/>
    <mergeCell ref="L87:M87"/>
    <mergeCell ref="U26:V26"/>
    <mergeCell ref="R67:S67"/>
    <mergeCell ref="I67:I68"/>
    <mergeCell ref="J67:J68"/>
    <mergeCell ref="K67:K68"/>
    <mergeCell ref="L67:N67"/>
    <mergeCell ref="A9:G9"/>
    <mergeCell ref="L46:N46"/>
    <mergeCell ref="A49:G49"/>
    <mergeCell ref="I27:K27"/>
    <mergeCell ref="D31:F31"/>
    <mergeCell ref="D32:F32"/>
    <mergeCell ref="D33:F33"/>
    <mergeCell ref="D34:F34"/>
    <mergeCell ref="O6:Q6"/>
    <mergeCell ref="L6:N6"/>
    <mergeCell ref="I46:I47"/>
    <mergeCell ref="J46:J47"/>
    <mergeCell ref="K46:K47"/>
    <mergeCell ref="O26:Q26"/>
    <mergeCell ref="I7:K7"/>
    <mergeCell ref="L26:N26"/>
  </mergeCells>
  <hyperlinks>
    <hyperlink ref="A3" location="Hydrogen!A8" display="General Notes" xr:uid="{A141E675-9962-4785-8A8D-B1A687A4B1B7}"/>
    <hyperlink ref="A5" location="Hydrogen!A17" display="Hydrogen!A17" xr:uid="{7B4EA3DC-4104-4144-BFDB-1F40E3B4994F}"/>
    <hyperlink ref="A6" location="Hydrogen!A58" display="Hydrogen!A58" xr:uid="{CFD7BF23-710F-4011-9889-1C4E9F71A123}"/>
    <hyperlink ref="A4" location="Hydrogen!I1" display="Hydrogen!I1" xr:uid="{C623D6B6-60BD-4F53-B488-0A80288718BC}"/>
    <hyperlink ref="I2" r:id="rId1" xr:uid="{8B039D51-C2E4-4959-8659-64B21FC9D0F1}"/>
    <hyperlink ref="M2" r:id="rId2" xr:uid="{C1F68481-0A47-43A9-AE7C-D9A181581372}"/>
    <hyperlink ref="Z14" r:id="rId3" xr:uid="{DB6F6AD2-E075-45B0-A98B-0690BD260D99}"/>
    <hyperlink ref="Z15" r:id="rId4" xr:uid="{7737A280-92E2-41B4-9863-512C1D111381}"/>
  </hyperlinks>
  <pageMargins left="0.7" right="0.7" top="0.75" bottom="0.75" header="0.3" footer="0.3"/>
  <pageSetup paperSize="9" orientation="portrait" r:id="rId5"/>
  <drawing r:id="rId6"/>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39DF-0B08-478C-9C12-80E245B00458}">
  <sheetPr>
    <tabColor rgb="FF92D050"/>
  </sheetPr>
  <dimension ref="A1:S62"/>
  <sheetViews>
    <sheetView workbookViewId="0">
      <selection activeCell="F7" sqref="F7"/>
    </sheetView>
  </sheetViews>
  <sheetFormatPr defaultRowHeight="15" x14ac:dyDescent="0.25"/>
  <cols>
    <col min="1" max="2" width="16.85546875" customWidth="1"/>
    <col min="3" max="3" width="23.85546875" customWidth="1"/>
    <col min="4" max="4" width="15.5703125" customWidth="1"/>
    <col min="5" max="5" width="15.42578125" customWidth="1"/>
    <col min="6" max="6" width="14.42578125" customWidth="1"/>
    <col min="7" max="7" width="14.7109375" bestFit="1" customWidth="1"/>
    <col min="8" max="8" width="15.7109375" bestFit="1" customWidth="1"/>
    <col min="9" max="9" width="19" customWidth="1"/>
    <col min="10" max="10" width="12.5703125" bestFit="1" customWidth="1"/>
    <col min="13" max="13" width="9.5703125" bestFit="1" customWidth="1"/>
  </cols>
  <sheetData>
    <row r="1" spans="1:10" x14ac:dyDescent="0.25">
      <c r="A1" s="32" t="s">
        <v>594</v>
      </c>
    </row>
    <row r="2" spans="1:10" x14ac:dyDescent="0.25">
      <c r="A2" t="s">
        <v>593</v>
      </c>
      <c r="B2" t="s">
        <v>592</v>
      </c>
    </row>
    <row r="3" spans="1:10" x14ac:dyDescent="0.25">
      <c r="A3" t="s">
        <v>591</v>
      </c>
      <c r="B3" t="s">
        <v>590</v>
      </c>
    </row>
    <row r="4" spans="1:10" x14ac:dyDescent="0.25">
      <c r="A4" s="32"/>
      <c r="I4" s="231" t="s">
        <v>589</v>
      </c>
      <c r="J4" s="231"/>
    </row>
    <row r="5" spans="1:10" x14ac:dyDescent="0.25">
      <c r="A5" t="s">
        <v>269</v>
      </c>
      <c r="B5" t="s">
        <v>268</v>
      </c>
      <c r="C5" s="32"/>
      <c r="F5" s="207">
        <v>2020</v>
      </c>
      <c r="G5" s="207">
        <v>2030</v>
      </c>
      <c r="H5" s="221">
        <v>2035</v>
      </c>
      <c r="I5" s="230">
        <v>2040</v>
      </c>
      <c r="J5" s="230">
        <v>2050</v>
      </c>
    </row>
    <row r="6" spans="1:10" x14ac:dyDescent="0.25">
      <c r="A6" s="226" t="s">
        <v>583</v>
      </c>
      <c r="B6" t="s">
        <v>24</v>
      </c>
      <c r="C6" t="s">
        <v>588</v>
      </c>
      <c r="F6" s="228">
        <f>F51*$D$20</f>
        <v>19642.016806722688</v>
      </c>
      <c r="G6" s="228">
        <f>AVERAGE(F6,H6)</f>
        <v>13546.218487394957</v>
      </c>
      <c r="H6" s="228">
        <f t="shared" ref="H6:J7" si="0">H51*$D$20</f>
        <v>7450.4201680672268</v>
      </c>
      <c r="I6" s="227">
        <f t="shared" si="0"/>
        <v>6271.0466004583659</v>
      </c>
      <c r="J6" s="227">
        <f t="shared" si="0"/>
        <v>5091.6730328495041</v>
      </c>
    </row>
    <row r="7" spans="1:10" x14ac:dyDescent="0.25">
      <c r="A7" s="226" t="s">
        <v>582</v>
      </c>
      <c r="B7" t="s">
        <v>24</v>
      </c>
      <c r="C7" t="s">
        <v>588</v>
      </c>
      <c r="F7" s="228">
        <f>F52*$D$20</f>
        <v>12868.90756302521</v>
      </c>
      <c r="G7" s="228">
        <f>AVERAGE(F7,H7)</f>
        <v>9482.3529411764703</v>
      </c>
      <c r="H7" s="228">
        <f t="shared" si="0"/>
        <v>6095.7983193277314</v>
      </c>
      <c r="I7" s="227">
        <f t="shared" si="0"/>
        <v>4856.9561157796461</v>
      </c>
      <c r="J7" s="227">
        <f t="shared" si="0"/>
        <v>3618.1139122315594</v>
      </c>
    </row>
    <row r="8" spans="1:10" x14ac:dyDescent="0.25">
      <c r="A8" s="226" t="s">
        <v>583</v>
      </c>
      <c r="B8" t="s">
        <v>44</v>
      </c>
      <c r="C8" t="s">
        <v>587</v>
      </c>
      <c r="D8" s="229">
        <v>1.4999999999999999E-2</v>
      </c>
      <c r="F8" s="228">
        <f t="shared" ref="F8:J9" si="1">$D$8*F6</f>
        <v>294.63025210084032</v>
      </c>
      <c r="G8" s="228">
        <f t="shared" si="1"/>
        <v>203.19327731092434</v>
      </c>
      <c r="H8" s="228">
        <f t="shared" si="1"/>
        <v>111.75630252100839</v>
      </c>
      <c r="I8" s="227">
        <f t="shared" si="1"/>
        <v>94.065699006875491</v>
      </c>
      <c r="J8" s="227">
        <f t="shared" si="1"/>
        <v>76.37509549274256</v>
      </c>
    </row>
    <row r="9" spans="1:10" x14ac:dyDescent="0.25">
      <c r="A9" s="226" t="s">
        <v>582</v>
      </c>
      <c r="B9" t="s">
        <v>44</v>
      </c>
      <c r="C9" t="s">
        <v>587</v>
      </c>
      <c r="D9" s="229">
        <f>D8</f>
        <v>1.4999999999999999E-2</v>
      </c>
      <c r="F9" s="228">
        <f t="shared" si="1"/>
        <v>193.03361344537814</v>
      </c>
      <c r="G9" s="228">
        <f t="shared" si="1"/>
        <v>142.23529411764704</v>
      </c>
      <c r="H9" s="228">
        <f t="shared" si="1"/>
        <v>91.436974789915965</v>
      </c>
      <c r="I9" s="227">
        <f t="shared" si="1"/>
        <v>72.854341736694693</v>
      </c>
      <c r="J9" s="227">
        <f t="shared" si="1"/>
        <v>54.271708683473392</v>
      </c>
    </row>
    <row r="10" spans="1:10" x14ac:dyDescent="0.25">
      <c r="A10" s="226" t="s">
        <v>583</v>
      </c>
      <c r="B10" t="s">
        <v>239</v>
      </c>
      <c r="C10" t="s">
        <v>586</v>
      </c>
      <c r="F10" s="228">
        <f t="shared" ref="F10:H11" si="2">F60/8760</f>
        <v>7.6103500761035017</v>
      </c>
      <c r="G10" s="228">
        <f t="shared" si="2"/>
        <v>9.512937595129376</v>
      </c>
      <c r="H10" s="228">
        <f t="shared" si="2"/>
        <v>15.854895991882291</v>
      </c>
      <c r="I10" s="227">
        <f>H10</f>
        <v>15.854895991882291</v>
      </c>
      <c r="J10" s="227">
        <f>I10</f>
        <v>15.854895991882291</v>
      </c>
    </row>
    <row r="11" spans="1:10" x14ac:dyDescent="0.25">
      <c r="A11" s="226" t="s">
        <v>582</v>
      </c>
      <c r="B11" t="s">
        <v>239</v>
      </c>
      <c r="C11" t="s">
        <v>586</v>
      </c>
      <c r="F11" s="228">
        <f t="shared" si="2"/>
        <v>9.512937595129376</v>
      </c>
      <c r="G11" s="228">
        <f t="shared" si="2"/>
        <v>12.049720953830542</v>
      </c>
      <c r="H11" s="228">
        <f t="shared" si="2"/>
        <v>15.854895991882291</v>
      </c>
      <c r="I11" s="227">
        <f>I10</f>
        <v>15.854895991882291</v>
      </c>
      <c r="J11" s="227">
        <f>I11</f>
        <v>15.854895991882291</v>
      </c>
    </row>
    <row r="12" spans="1:10" x14ac:dyDescent="0.25">
      <c r="A12" s="226" t="s">
        <v>583</v>
      </c>
      <c r="B12" t="s">
        <v>46</v>
      </c>
      <c r="C12" t="s">
        <v>585</v>
      </c>
      <c r="F12" s="225">
        <v>0.9</v>
      </c>
      <c r="G12" s="225">
        <v>0.9</v>
      </c>
      <c r="H12" s="225">
        <v>0.9</v>
      </c>
      <c r="I12" s="224">
        <f>H12</f>
        <v>0.9</v>
      </c>
      <c r="J12" s="224">
        <f>I12</f>
        <v>0.9</v>
      </c>
    </row>
    <row r="13" spans="1:10" x14ac:dyDescent="0.25">
      <c r="A13" s="226" t="s">
        <v>582</v>
      </c>
      <c r="B13" t="s">
        <v>46</v>
      </c>
      <c r="C13" t="s">
        <v>585</v>
      </c>
      <c r="F13" s="225">
        <v>0.9</v>
      </c>
      <c r="G13" s="225">
        <v>0.9</v>
      </c>
      <c r="H13" s="225">
        <v>0.9</v>
      </c>
      <c r="I13" s="224">
        <f>H13</f>
        <v>0.9</v>
      </c>
      <c r="J13" s="224">
        <f>I13</f>
        <v>0.9</v>
      </c>
    </row>
    <row r="14" spans="1:10" x14ac:dyDescent="0.25">
      <c r="A14" s="226" t="s">
        <v>583</v>
      </c>
      <c r="B14" t="s">
        <v>255</v>
      </c>
      <c r="C14" t="s">
        <v>584</v>
      </c>
      <c r="F14" s="225">
        <f>AVERAGE(56, 60)/100</f>
        <v>0.57999999999999996</v>
      </c>
      <c r="G14" s="225">
        <f>AVERAGE(63,68)/100</f>
        <v>0.65500000000000003</v>
      </c>
      <c r="H14" s="225">
        <f>AVERAGE(67,74)/100</f>
        <v>0.70499999999999996</v>
      </c>
      <c r="I14" s="224">
        <f>$R$40*I$5 +$S$40</f>
        <v>0.71300000000000097</v>
      </c>
      <c r="J14" s="224">
        <f>$R$40*J$5 +$S$40</f>
        <v>0.79500000000000171</v>
      </c>
    </row>
    <row r="15" spans="1:10" x14ac:dyDescent="0.25">
      <c r="A15" s="226" t="s">
        <v>582</v>
      </c>
      <c r="B15" t="s">
        <v>255</v>
      </c>
      <c r="C15" t="s">
        <v>584</v>
      </c>
      <c r="F15" s="225">
        <f>AVERAGE(63, 70)/100</f>
        <v>0.66500000000000004</v>
      </c>
      <c r="G15" s="225">
        <f>AVERAGE(65,71)/100</f>
        <v>0.68</v>
      </c>
      <c r="H15" s="225">
        <f>AVERAGE(70,80)/100</f>
        <v>0.75</v>
      </c>
      <c r="I15" s="224">
        <f>$R$59*I$5 +$S$59</f>
        <v>0.81579999999999941</v>
      </c>
      <c r="J15" s="224">
        <f>I15</f>
        <v>0.81579999999999941</v>
      </c>
    </row>
    <row r="16" spans="1:10" x14ac:dyDescent="0.25">
      <c r="A16" s="226" t="s">
        <v>583</v>
      </c>
      <c r="B16" t="s">
        <v>47</v>
      </c>
      <c r="C16" t="s">
        <v>237</v>
      </c>
      <c r="F16" s="225">
        <v>-2</v>
      </c>
      <c r="G16" s="225">
        <f>F16</f>
        <v>-2</v>
      </c>
      <c r="H16" s="225">
        <f>G16</f>
        <v>-2</v>
      </c>
      <c r="I16" s="224">
        <f>H16</f>
        <v>-2</v>
      </c>
      <c r="J16" s="224">
        <f>I16</f>
        <v>-2</v>
      </c>
    </row>
    <row r="17" spans="1:10" x14ac:dyDescent="0.25">
      <c r="A17" s="226" t="s">
        <v>582</v>
      </c>
      <c r="B17" t="s">
        <v>47</v>
      </c>
      <c r="C17" t="s">
        <v>237</v>
      </c>
      <c r="F17" s="225">
        <f>F16</f>
        <v>-2</v>
      </c>
      <c r="G17" s="225">
        <f>G16</f>
        <v>-2</v>
      </c>
      <c r="H17" s="225">
        <f>H16</f>
        <v>-2</v>
      </c>
      <c r="I17" s="224">
        <f>I16</f>
        <v>-2</v>
      </c>
      <c r="J17" s="224">
        <f>J16</f>
        <v>-2</v>
      </c>
    </row>
    <row r="19" spans="1:10" x14ac:dyDescent="0.25">
      <c r="C19" t="s">
        <v>581</v>
      </c>
      <c r="D19" s="223">
        <f>D23*D21*D20</f>
        <v>13.54621848739496</v>
      </c>
    </row>
    <row r="20" spans="1:10" x14ac:dyDescent="0.25">
      <c r="C20" s="70" t="s">
        <v>164</v>
      </c>
      <c r="D20" s="69">
        <f>1/1.19</f>
        <v>0.84033613445378152</v>
      </c>
    </row>
    <row r="21" spans="1:10" x14ac:dyDescent="0.25">
      <c r="C21" s="70" t="s">
        <v>163</v>
      </c>
      <c r="D21" s="69">
        <v>15.5</v>
      </c>
      <c r="E21" t="s">
        <v>162</v>
      </c>
    </row>
    <row r="22" spans="1:10" x14ac:dyDescent="0.25">
      <c r="C22" s="70" t="s">
        <v>580</v>
      </c>
      <c r="D22" s="69">
        <f>1/1.56</f>
        <v>0.64102564102564097</v>
      </c>
    </row>
    <row r="23" spans="1:10" x14ac:dyDescent="0.25">
      <c r="C23" s="69" t="s">
        <v>167</v>
      </c>
      <c r="D23" s="69">
        <v>1.04</v>
      </c>
      <c r="E23" t="s">
        <v>166</v>
      </c>
    </row>
    <row r="27" spans="1:10" x14ac:dyDescent="0.25">
      <c r="A27" s="222"/>
    </row>
    <row r="29" spans="1:10" x14ac:dyDescent="0.25">
      <c r="D29">
        <v>19642.016806722688</v>
      </c>
    </row>
    <row r="39" spans="3:19" x14ac:dyDescent="0.25">
      <c r="C39" t="s">
        <v>579</v>
      </c>
      <c r="D39">
        <v>120.1</v>
      </c>
      <c r="E39" t="s">
        <v>139</v>
      </c>
      <c r="F39" t="s">
        <v>578</v>
      </c>
    </row>
    <row r="40" spans="3:19" x14ac:dyDescent="0.25">
      <c r="F40" s="207">
        <f>F5</f>
        <v>2020</v>
      </c>
      <c r="G40" s="207">
        <f>G5</f>
        <v>2030</v>
      </c>
      <c r="H40" s="221">
        <f>H5</f>
        <v>2035</v>
      </c>
      <c r="I40" s="207">
        <f>I5</f>
        <v>2040</v>
      </c>
      <c r="J40" s="207">
        <f>J5</f>
        <v>2050</v>
      </c>
      <c r="K40" s="371" t="s">
        <v>577</v>
      </c>
      <c r="L40" s="60" t="s">
        <v>576</v>
      </c>
      <c r="R40">
        <v>8.2000000000000007E-3</v>
      </c>
      <c r="S40">
        <v>-16.015000000000001</v>
      </c>
    </row>
    <row r="41" spans="3:19" x14ac:dyDescent="0.25">
      <c r="C41" t="s">
        <v>562</v>
      </c>
      <c r="D41" t="s">
        <v>474</v>
      </c>
      <c r="E41" s="213" t="s">
        <v>574</v>
      </c>
      <c r="F41" s="220">
        <f>AVERAGE(1800,1100)* $D$23</f>
        <v>1508</v>
      </c>
      <c r="G41" s="220">
        <f>AVERAGE(650,1500)*$D$23</f>
        <v>1118</v>
      </c>
      <c r="H41" s="220">
        <f>AVERAGE(200,900)*$D$23</f>
        <v>572</v>
      </c>
      <c r="I41" s="219">
        <f>AVERAGE(H41,J41)</f>
        <v>481.4545454545455</v>
      </c>
      <c r="J41" s="219">
        <f>INDEX(L41:M41,MATCH($J$43,$L$43:$M$43,0))</f>
        <v>390.90909090909093</v>
      </c>
      <c r="K41" s="371"/>
      <c r="L41" s="144">
        <v>200</v>
      </c>
      <c r="M41" s="218">
        <f>G41/H41*L41</f>
        <v>390.90909090909093</v>
      </c>
    </row>
    <row r="42" spans="3:19" x14ac:dyDescent="0.25">
      <c r="C42" t="s">
        <v>575</v>
      </c>
      <c r="D42" t="s">
        <v>474</v>
      </c>
      <c r="E42" s="213" t="s">
        <v>574</v>
      </c>
      <c r="F42" s="220">
        <f>AVERAGE(500,1400)*$D$23</f>
        <v>988</v>
      </c>
      <c r="G42" s="220">
        <f>AVERAGE(400,850)*$D$23</f>
        <v>650</v>
      </c>
      <c r="H42" s="220">
        <f>AVERAGE(700,200)*$D$23</f>
        <v>468</v>
      </c>
      <c r="I42" s="219">
        <f>AVERAGE(H42,J42)</f>
        <v>372.88888888888891</v>
      </c>
      <c r="J42" s="219">
        <f>INDEX(L42:M42,MATCH($J$43,$L$43:$M$43,0))</f>
        <v>277.77777777777777</v>
      </c>
      <c r="K42" s="371"/>
      <c r="L42" s="144">
        <v>200</v>
      </c>
      <c r="M42" s="218">
        <f>G42/H42*L42</f>
        <v>277.77777777777777</v>
      </c>
    </row>
    <row r="43" spans="3:19" x14ac:dyDescent="0.25">
      <c r="F43" s="207"/>
      <c r="G43" s="207"/>
      <c r="H43" s="207"/>
      <c r="I43" s="207"/>
      <c r="J43" s="217">
        <v>2</v>
      </c>
      <c r="L43" s="144">
        <v>1</v>
      </c>
      <c r="M43" s="144">
        <v>2</v>
      </c>
    </row>
    <row r="44" spans="3:19" x14ac:dyDescent="0.25">
      <c r="L44" t="s">
        <v>573</v>
      </c>
      <c r="M44" t="s">
        <v>572</v>
      </c>
    </row>
    <row r="45" spans="3:19" x14ac:dyDescent="0.25">
      <c r="C45" s="216" t="s">
        <v>571</v>
      </c>
      <c r="D45" s="215">
        <f>1000000000</f>
        <v>1000000000</v>
      </c>
      <c r="E45" t="s">
        <v>570</v>
      </c>
    </row>
    <row r="46" spans="3:19" x14ac:dyDescent="0.25">
      <c r="E46" s="213" t="s">
        <v>569</v>
      </c>
      <c r="F46" s="207">
        <f>1000*8760*3600</f>
        <v>31536000000</v>
      </c>
      <c r="G46" s="207">
        <f>1000*8760*3600</f>
        <v>31536000000</v>
      </c>
      <c r="H46" s="207">
        <f>1000*8760*3600</f>
        <v>31536000000</v>
      </c>
      <c r="I46" s="207">
        <f>1000*8760*3600</f>
        <v>31536000000</v>
      </c>
      <c r="J46" s="207">
        <f>1000*8760*3600</f>
        <v>31536000000</v>
      </c>
    </row>
    <row r="47" spans="3:19" x14ac:dyDescent="0.25">
      <c r="C47" t="s">
        <v>562</v>
      </c>
      <c r="D47" t="s">
        <v>474</v>
      </c>
      <c r="E47" s="213" t="s">
        <v>568</v>
      </c>
      <c r="F47" s="214">
        <f t="shared" ref="F47:J48" si="3">F41/F$46</f>
        <v>4.7818366311516996E-8</v>
      </c>
      <c r="G47" s="214">
        <f t="shared" si="3"/>
        <v>3.545154743784881E-8</v>
      </c>
      <c r="H47" s="214">
        <f t="shared" si="3"/>
        <v>1.8138001014713343E-8</v>
      </c>
      <c r="I47" s="214">
        <f t="shared" si="3"/>
        <v>1.5266823486001568E-8</v>
      </c>
      <c r="J47" s="214">
        <f t="shared" si="3"/>
        <v>1.2395645957289793E-8</v>
      </c>
    </row>
    <row r="48" spans="3:19" x14ac:dyDescent="0.25">
      <c r="C48" t="s">
        <v>561</v>
      </c>
      <c r="D48" t="s">
        <v>474</v>
      </c>
      <c r="E48" s="213" t="s">
        <v>568</v>
      </c>
      <c r="F48" s="214">
        <f t="shared" si="3"/>
        <v>3.1329274479959411E-8</v>
      </c>
      <c r="G48" s="214">
        <f t="shared" si="3"/>
        <v>2.0611364789446981E-8</v>
      </c>
      <c r="H48" s="214">
        <f t="shared" si="3"/>
        <v>1.4840182648401826E-8</v>
      </c>
      <c r="I48" s="214">
        <f t="shared" si="3"/>
        <v>1.1824229099723774E-8</v>
      </c>
      <c r="J48" s="214">
        <f t="shared" si="3"/>
        <v>8.8082755510457179E-9</v>
      </c>
    </row>
    <row r="49" spans="3:19" x14ac:dyDescent="0.25">
      <c r="C49" t="s">
        <v>562</v>
      </c>
      <c r="D49" t="s">
        <v>474</v>
      </c>
      <c r="E49" s="213" t="s">
        <v>567</v>
      </c>
      <c r="F49" s="211">
        <f t="shared" ref="F49:J50" si="4">F47*$D$45</f>
        <v>47.818366311516996</v>
      </c>
      <c r="G49" s="211">
        <f t="shared" si="4"/>
        <v>35.451547437848809</v>
      </c>
      <c r="H49" s="211">
        <f t="shared" si="4"/>
        <v>18.138001014713343</v>
      </c>
      <c r="I49" s="211">
        <f t="shared" si="4"/>
        <v>15.266823486001568</v>
      </c>
      <c r="J49" s="211">
        <f t="shared" si="4"/>
        <v>12.395645957289794</v>
      </c>
    </row>
    <row r="50" spans="3:19" x14ac:dyDescent="0.25">
      <c r="C50" t="s">
        <v>561</v>
      </c>
      <c r="D50" t="s">
        <v>474</v>
      </c>
      <c r="E50" s="213" t="s">
        <v>567</v>
      </c>
      <c r="F50" s="211">
        <f t="shared" si="4"/>
        <v>31.329274479959413</v>
      </c>
      <c r="G50" s="211">
        <f t="shared" si="4"/>
        <v>20.611364789446981</v>
      </c>
      <c r="H50" s="211">
        <f t="shared" si="4"/>
        <v>14.840182648401827</v>
      </c>
      <c r="I50" s="211">
        <f t="shared" si="4"/>
        <v>11.824229099723773</v>
      </c>
      <c r="J50" s="211">
        <f t="shared" si="4"/>
        <v>8.8082755510457176</v>
      </c>
    </row>
    <row r="51" spans="3:19" x14ac:dyDescent="0.25">
      <c r="C51" t="s">
        <v>562</v>
      </c>
      <c r="D51" t="s">
        <v>474</v>
      </c>
      <c r="E51" s="212" t="s">
        <v>566</v>
      </c>
      <c r="F51" s="208">
        <f t="shared" ref="F51:J52" si="5">F41*$D$21</f>
        <v>23374</v>
      </c>
      <c r="G51" s="208">
        <f t="shared" si="5"/>
        <v>17329</v>
      </c>
      <c r="H51" s="208">
        <f t="shared" si="5"/>
        <v>8866</v>
      </c>
      <c r="I51" s="208">
        <f t="shared" si="5"/>
        <v>7462.545454545455</v>
      </c>
      <c r="J51" s="208">
        <f t="shared" si="5"/>
        <v>6059.0909090909099</v>
      </c>
    </row>
    <row r="52" spans="3:19" x14ac:dyDescent="0.25">
      <c r="C52" t="s">
        <v>561</v>
      </c>
      <c r="D52" t="s">
        <v>474</v>
      </c>
      <c r="E52" s="212" t="s">
        <v>566</v>
      </c>
      <c r="F52" s="208">
        <f t="shared" si="5"/>
        <v>15314</v>
      </c>
      <c r="G52" s="208">
        <f t="shared" si="5"/>
        <v>10075</v>
      </c>
      <c r="H52" s="208">
        <f t="shared" si="5"/>
        <v>7254</v>
      </c>
      <c r="I52" s="208">
        <f t="shared" si="5"/>
        <v>5779.7777777777783</v>
      </c>
      <c r="J52" s="208">
        <f t="shared" si="5"/>
        <v>4305.5555555555557</v>
      </c>
    </row>
    <row r="53" spans="3:19" x14ac:dyDescent="0.25">
      <c r="C53" t="s">
        <v>562</v>
      </c>
      <c r="D53" t="s">
        <v>474</v>
      </c>
      <c r="E53" s="212" t="s">
        <v>565</v>
      </c>
      <c r="F53" s="211">
        <f t="shared" ref="F53:J54" si="6">F49*$D$21</f>
        <v>741.18467782851349</v>
      </c>
      <c r="G53" s="211">
        <f t="shared" si="6"/>
        <v>549.49898528665653</v>
      </c>
      <c r="H53" s="211">
        <f t="shared" si="6"/>
        <v>281.13901572805679</v>
      </c>
      <c r="I53" s="211">
        <f t="shared" si="6"/>
        <v>236.63576403302432</v>
      </c>
      <c r="J53" s="211">
        <f t="shared" si="6"/>
        <v>192.13251233799181</v>
      </c>
    </row>
    <row r="54" spans="3:19" x14ac:dyDescent="0.25">
      <c r="C54" t="s">
        <v>561</v>
      </c>
      <c r="D54" t="s">
        <v>474</v>
      </c>
      <c r="E54" s="212" t="s">
        <v>565</v>
      </c>
      <c r="F54" s="211">
        <f t="shared" si="6"/>
        <v>485.6037544393709</v>
      </c>
      <c r="G54" s="211">
        <f t="shared" si="6"/>
        <v>319.47615423642821</v>
      </c>
      <c r="H54" s="211">
        <f t="shared" si="6"/>
        <v>230.02283105022832</v>
      </c>
      <c r="I54" s="211">
        <f t="shared" si="6"/>
        <v>183.27555104571849</v>
      </c>
      <c r="J54" s="211">
        <f t="shared" si="6"/>
        <v>136.52827104120863</v>
      </c>
    </row>
    <row r="55" spans="3:19" x14ac:dyDescent="0.25">
      <c r="E55" s="212"/>
      <c r="F55" s="211"/>
      <c r="G55" s="211"/>
      <c r="H55" s="211"/>
      <c r="I55" s="211"/>
      <c r="J55" s="211"/>
    </row>
    <row r="56" spans="3:19" x14ac:dyDescent="0.25">
      <c r="E56" s="212"/>
      <c r="F56" s="211"/>
      <c r="G56" s="211"/>
      <c r="H56" s="211"/>
      <c r="I56" s="207"/>
      <c r="J56" s="207"/>
    </row>
    <row r="57" spans="3:19" x14ac:dyDescent="0.25">
      <c r="C57" t="s">
        <v>564</v>
      </c>
      <c r="F57" s="207">
        <f>F40</f>
        <v>2020</v>
      </c>
      <c r="G57" s="207">
        <f>G40</f>
        <v>2030</v>
      </c>
      <c r="H57" s="207">
        <f>H40</f>
        <v>2035</v>
      </c>
      <c r="I57" s="207"/>
      <c r="J57" s="207"/>
    </row>
    <row r="58" spans="3:19" x14ac:dyDescent="0.25">
      <c r="C58" t="s">
        <v>562</v>
      </c>
      <c r="E58" t="s">
        <v>563</v>
      </c>
      <c r="F58" s="210">
        <f>AVERAGE(30000,90000)</f>
        <v>60000</v>
      </c>
      <c r="G58" s="210">
        <f>AVERAGE(60000,90000)</f>
        <v>75000</v>
      </c>
      <c r="H58" s="210">
        <f>AVERAGE(100000,150000)</f>
        <v>125000</v>
      </c>
      <c r="I58" s="207"/>
      <c r="J58" s="207"/>
    </row>
    <row r="59" spans="3:19" x14ac:dyDescent="0.25">
      <c r="C59" t="s">
        <v>561</v>
      </c>
      <c r="E59" t="s">
        <v>563</v>
      </c>
      <c r="F59" s="210">
        <f>AVERAGE(60000,90000)</f>
        <v>75000</v>
      </c>
      <c r="G59" s="210">
        <f>AVERAGE(90000,100000)</f>
        <v>95000</v>
      </c>
      <c r="H59" s="210">
        <f>AVERAGE(100000,150000)</f>
        <v>125000</v>
      </c>
      <c r="I59" s="207"/>
      <c r="J59" s="207"/>
      <c r="M59" s="209"/>
      <c r="R59">
        <v>5.1000000000000004E-3</v>
      </c>
      <c r="S59">
        <v>-9.5882000000000005</v>
      </c>
    </row>
    <row r="60" spans="3:19" x14ac:dyDescent="0.25">
      <c r="C60" t="s">
        <v>562</v>
      </c>
      <c r="E60" t="s">
        <v>560</v>
      </c>
      <c r="F60" s="208">
        <f t="shared" ref="F60:H61" si="7">F58/F12</f>
        <v>66666.666666666672</v>
      </c>
      <c r="G60" s="208">
        <f t="shared" si="7"/>
        <v>83333.333333333328</v>
      </c>
      <c r="H60" s="208">
        <f t="shared" si="7"/>
        <v>138888.88888888888</v>
      </c>
      <c r="I60" s="207"/>
      <c r="J60" s="207"/>
    </row>
    <row r="61" spans="3:19" x14ac:dyDescent="0.25">
      <c r="C61" t="s">
        <v>561</v>
      </c>
      <c r="E61" t="s">
        <v>560</v>
      </c>
      <c r="F61" s="208">
        <f t="shared" si="7"/>
        <v>83333.333333333328</v>
      </c>
      <c r="G61" s="208">
        <f t="shared" si="7"/>
        <v>105555.55555555555</v>
      </c>
      <c r="H61" s="208">
        <f t="shared" si="7"/>
        <v>138888.88888888888</v>
      </c>
      <c r="I61" s="207"/>
      <c r="J61" s="207"/>
    </row>
    <row r="62" spans="3:19" x14ac:dyDescent="0.25">
      <c r="I62" s="207"/>
      <c r="J62" s="207"/>
    </row>
  </sheetData>
  <mergeCells count="1">
    <mergeCell ref="K40:K42"/>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5FDB4-D01B-48D7-8203-524325B8768A}">
  <sheetPr>
    <tabColor rgb="FF92D050"/>
  </sheetPr>
  <dimension ref="A1:AB148"/>
  <sheetViews>
    <sheetView workbookViewId="0">
      <selection activeCell="C32" sqref="C32"/>
    </sheetView>
  </sheetViews>
  <sheetFormatPr defaultRowHeight="15" x14ac:dyDescent="0.25"/>
  <cols>
    <col min="1" max="1" width="12.7109375" customWidth="1"/>
    <col min="2" max="2" width="28.5703125" customWidth="1"/>
    <col min="3" max="3" width="15" customWidth="1"/>
    <col min="4" max="4" width="15.85546875" customWidth="1"/>
    <col min="5" max="5" width="10.7109375" bestFit="1" customWidth="1"/>
    <col min="6" max="6" width="12.140625" customWidth="1"/>
    <col min="7" max="7" width="16.28515625" bestFit="1" customWidth="1"/>
    <col min="8" max="8" width="11.140625" customWidth="1"/>
    <col min="9" max="10" width="10.7109375" bestFit="1" customWidth="1"/>
    <col min="23" max="23" width="35.85546875" customWidth="1"/>
    <col min="24" max="24" width="14.7109375" customWidth="1"/>
    <col min="25" max="25" width="17.42578125" customWidth="1"/>
    <col min="26" max="26" width="23.28515625" customWidth="1"/>
  </cols>
  <sheetData>
    <row r="1" spans="1:10" ht="21" x14ac:dyDescent="0.35">
      <c r="A1" s="251" t="s">
        <v>707</v>
      </c>
    </row>
    <row r="2" spans="1:10" ht="21" x14ac:dyDescent="0.35">
      <c r="A2" t="s">
        <v>269</v>
      </c>
      <c r="B2" t="s">
        <v>268</v>
      </c>
      <c r="C2" s="251" t="s">
        <v>719</v>
      </c>
      <c r="F2" s="207">
        <v>2020</v>
      </c>
      <c r="G2" s="207">
        <v>2030</v>
      </c>
      <c r="H2" s="207">
        <v>2035</v>
      </c>
      <c r="I2" s="207">
        <v>2040</v>
      </c>
      <c r="J2" s="207">
        <v>2050</v>
      </c>
    </row>
    <row r="3" spans="1:10" x14ac:dyDescent="0.25">
      <c r="A3" t="s">
        <v>744</v>
      </c>
      <c r="B3" s="257" t="s">
        <v>24</v>
      </c>
      <c r="C3" t="s">
        <v>727</v>
      </c>
      <c r="F3" s="228">
        <f>D29</f>
        <v>46896.125174280474</v>
      </c>
      <c r="G3" s="225">
        <f>AVERAGE(H3,F3)*1.1</f>
        <v>43674.479600333063</v>
      </c>
      <c r="H3" s="225">
        <f>E29</f>
        <v>32512.019553597809</v>
      </c>
      <c r="I3" s="228">
        <f>F29</f>
        <v>28141.935483870966</v>
      </c>
      <c r="J3" s="225">
        <f>F29</f>
        <v>28141.935483870966</v>
      </c>
    </row>
    <row r="4" spans="1:10" x14ac:dyDescent="0.25">
      <c r="A4" t="s">
        <v>744</v>
      </c>
      <c r="B4" s="257" t="s">
        <v>44</v>
      </c>
      <c r="C4" t="s">
        <v>748</v>
      </c>
      <c r="D4" s="102">
        <v>0.03</v>
      </c>
      <c r="E4" t="s">
        <v>745</v>
      </c>
      <c r="F4" s="225">
        <f>$D$4*F3</f>
        <v>1406.8837552284142</v>
      </c>
      <c r="G4" s="225">
        <f>$D$4*G3</f>
        <v>1310.2343880099918</v>
      </c>
      <c r="H4" s="225">
        <f>$D$4*H3</f>
        <v>975.36058660793424</v>
      </c>
      <c r="I4" s="225">
        <f>$D$4*I3</f>
        <v>844.25806451612891</v>
      </c>
      <c r="J4" s="225">
        <f>$D$4*J3</f>
        <v>844.25806451612891</v>
      </c>
    </row>
    <row r="5" spans="1:10" x14ac:dyDescent="0.25">
      <c r="A5" t="s">
        <v>744</v>
      </c>
      <c r="B5" s="257" t="s">
        <v>239</v>
      </c>
      <c r="C5" t="s">
        <v>747</v>
      </c>
      <c r="E5" t="s">
        <v>745</v>
      </c>
      <c r="F5" s="228">
        <v>10</v>
      </c>
      <c r="G5" s="228">
        <v>10</v>
      </c>
      <c r="H5" s="228">
        <v>10</v>
      </c>
      <c r="I5" s="228">
        <v>15</v>
      </c>
      <c r="J5" s="228">
        <v>15</v>
      </c>
    </row>
    <row r="6" spans="1:10" x14ac:dyDescent="0.25">
      <c r="A6" t="s">
        <v>744</v>
      </c>
      <c r="B6" s="257" t="s">
        <v>46</v>
      </c>
      <c r="C6" t="s">
        <v>38</v>
      </c>
      <c r="E6" t="s">
        <v>745</v>
      </c>
      <c r="F6" s="225">
        <v>0.9</v>
      </c>
      <c r="G6" s="225">
        <v>0.9</v>
      </c>
      <c r="H6" s="225">
        <v>0.9</v>
      </c>
      <c r="I6" s="225">
        <v>0.9</v>
      </c>
      <c r="J6" s="225">
        <v>0.9</v>
      </c>
    </row>
    <row r="7" spans="1:10" x14ac:dyDescent="0.25">
      <c r="A7" t="s">
        <v>744</v>
      </c>
      <c r="B7" s="257" t="s">
        <v>746</v>
      </c>
      <c r="C7" t="s">
        <v>38</v>
      </c>
      <c r="D7" t="s">
        <v>708</v>
      </c>
      <c r="E7" t="s">
        <v>745</v>
      </c>
      <c r="F7" s="225">
        <v>0.98</v>
      </c>
      <c r="G7" s="225">
        <v>0.98</v>
      </c>
      <c r="H7" s="225">
        <v>0.98</v>
      </c>
      <c r="I7" s="225">
        <v>0.98</v>
      </c>
      <c r="J7" s="225">
        <v>0.98</v>
      </c>
    </row>
    <row r="8" spans="1:10" x14ac:dyDescent="0.25">
      <c r="A8" t="s">
        <v>744</v>
      </c>
      <c r="B8" s="257"/>
      <c r="F8" s="225"/>
      <c r="G8" s="225"/>
      <c r="H8" s="225"/>
      <c r="I8" s="225"/>
      <c r="J8" s="225"/>
    </row>
    <row r="9" spans="1:10" x14ac:dyDescent="0.25">
      <c r="A9" t="s">
        <v>744</v>
      </c>
      <c r="B9" s="221" t="s">
        <v>28</v>
      </c>
      <c r="F9" s="256">
        <v>2025</v>
      </c>
    </row>
    <row r="10" spans="1:10" ht="21" x14ac:dyDescent="0.35">
      <c r="A10" s="251" t="s">
        <v>743</v>
      </c>
      <c r="C10" s="251"/>
      <c r="F10" s="207"/>
      <c r="G10" s="207"/>
      <c r="H10" s="207"/>
      <c r="I10" s="207"/>
      <c r="J10" s="207"/>
    </row>
    <row r="11" spans="1:10" x14ac:dyDescent="0.25">
      <c r="A11" t="s">
        <v>739</v>
      </c>
      <c r="B11" t="s">
        <v>742</v>
      </c>
      <c r="C11" t="s">
        <v>737</v>
      </c>
      <c r="D11" t="str">
        <f>E44</f>
        <v>turbine</v>
      </c>
      <c r="E11" t="s">
        <v>741</v>
      </c>
      <c r="F11" s="102">
        <f>C43</f>
        <v>0.52</v>
      </c>
      <c r="G11" s="102">
        <f>F11</f>
        <v>0.52</v>
      </c>
      <c r="H11" s="102">
        <f>G11</f>
        <v>0.52</v>
      </c>
      <c r="I11" s="102">
        <f>H11</f>
        <v>0.52</v>
      </c>
      <c r="J11" s="102">
        <f>I11</f>
        <v>0.52</v>
      </c>
    </row>
    <row r="12" spans="1:10" x14ac:dyDescent="0.25">
      <c r="A12" t="s">
        <v>739</v>
      </c>
      <c r="B12" t="s">
        <v>742</v>
      </c>
      <c r="C12" t="s">
        <v>737</v>
      </c>
      <c r="D12" t="str">
        <f>E45</f>
        <v>pipeline</v>
      </c>
      <c r="E12" t="s">
        <v>741</v>
      </c>
      <c r="F12" s="102">
        <f t="shared" ref="F12:J13" si="0">F11</f>
        <v>0.52</v>
      </c>
      <c r="G12" s="102">
        <f t="shared" si="0"/>
        <v>0.52</v>
      </c>
      <c r="H12" s="102">
        <f t="shared" si="0"/>
        <v>0.52</v>
      </c>
      <c r="I12" s="102">
        <f t="shared" si="0"/>
        <v>0.52</v>
      </c>
      <c r="J12" s="102">
        <f t="shared" si="0"/>
        <v>0.52</v>
      </c>
    </row>
    <row r="13" spans="1:10" x14ac:dyDescent="0.25">
      <c r="A13" t="s">
        <v>739</v>
      </c>
      <c r="B13" t="s">
        <v>742</v>
      </c>
      <c r="C13" t="s">
        <v>737</v>
      </c>
      <c r="D13" t="str">
        <f>E46</f>
        <v>vehicle</v>
      </c>
      <c r="E13" t="s">
        <v>741</v>
      </c>
      <c r="F13" s="102">
        <f t="shared" si="0"/>
        <v>0.52</v>
      </c>
      <c r="G13" s="102">
        <f t="shared" si="0"/>
        <v>0.52</v>
      </c>
      <c r="H13" s="102">
        <f t="shared" si="0"/>
        <v>0.52</v>
      </c>
      <c r="I13" s="102">
        <f t="shared" si="0"/>
        <v>0.52</v>
      </c>
      <c r="J13" s="102">
        <f t="shared" si="0"/>
        <v>0.52</v>
      </c>
    </row>
    <row r="14" spans="1:10" x14ac:dyDescent="0.25">
      <c r="A14" t="s">
        <v>740</v>
      </c>
      <c r="B14" t="s">
        <v>264</v>
      </c>
      <c r="C14" t="s">
        <v>737</v>
      </c>
      <c r="D14" t="str">
        <f>D11</f>
        <v>turbine</v>
      </c>
      <c r="E14" t="str">
        <f>$D$42&amp;"-&gt;"&amp;D44</f>
        <v>30-&gt;200</v>
      </c>
      <c r="F14" s="83">
        <f>(($C44-$C$42)*3.6)/H2.LHV.MJ_kg</f>
        <v>3.0332436967337745E-2</v>
      </c>
      <c r="G14" s="83">
        <f t="shared" ref="G14:J16" si="1">F14</f>
        <v>3.0332436967337745E-2</v>
      </c>
      <c r="H14" s="83">
        <f t="shared" si="1"/>
        <v>3.0332436967337745E-2</v>
      </c>
      <c r="I14" s="83">
        <f t="shared" si="1"/>
        <v>3.0332436967337745E-2</v>
      </c>
      <c r="J14" s="83">
        <f t="shared" si="1"/>
        <v>3.0332436967337745E-2</v>
      </c>
    </row>
    <row r="15" spans="1:10" x14ac:dyDescent="0.25">
      <c r="A15" t="s">
        <v>739</v>
      </c>
      <c r="B15" t="s">
        <v>264</v>
      </c>
      <c r="C15" t="s">
        <v>737</v>
      </c>
      <c r="D15" t="str">
        <f>D12</f>
        <v>pipeline</v>
      </c>
      <c r="E15" t="str">
        <f>$D$42&amp;"-&gt;"&amp;D45</f>
        <v>30-&gt;75</v>
      </c>
      <c r="F15" s="83">
        <f>(($C45-$C$42)*3.6)/H2.LHV.MJ_kg</f>
        <v>1.4650275728343275E-2</v>
      </c>
      <c r="G15" s="83">
        <f t="shared" si="1"/>
        <v>1.4650275728343275E-2</v>
      </c>
      <c r="H15" s="83">
        <f t="shared" si="1"/>
        <v>1.4650275728343275E-2</v>
      </c>
      <c r="I15" s="83">
        <f t="shared" si="1"/>
        <v>1.4650275728343275E-2</v>
      </c>
      <c r="J15" s="83">
        <f t="shared" si="1"/>
        <v>1.4650275728343275E-2</v>
      </c>
    </row>
    <row r="16" spans="1:10" x14ac:dyDescent="0.25">
      <c r="A16" t="s">
        <v>738</v>
      </c>
      <c r="B16" t="s">
        <v>264</v>
      </c>
      <c r="C16" t="s">
        <v>737</v>
      </c>
      <c r="D16" t="str">
        <f>D13</f>
        <v>vehicle</v>
      </c>
      <c r="E16" t="str">
        <f>$D$42&amp;"-&gt;"&amp;D46</f>
        <v>30-&gt;700</v>
      </c>
      <c r="F16" s="83">
        <f>(($C46-$C$42)*3.6)/H2.LHV.MJ_kg</f>
        <v>5.0362458304752777E-2</v>
      </c>
      <c r="G16" s="83">
        <f t="shared" si="1"/>
        <v>5.0362458304752777E-2</v>
      </c>
      <c r="H16" s="83">
        <f t="shared" si="1"/>
        <v>5.0362458304752777E-2</v>
      </c>
      <c r="I16" s="83">
        <f t="shared" si="1"/>
        <v>5.0362458304752777E-2</v>
      </c>
      <c r="J16" s="83">
        <f t="shared" si="1"/>
        <v>5.0362458304752777E-2</v>
      </c>
    </row>
    <row r="23" spans="2:10" x14ac:dyDescent="0.25">
      <c r="C23" t="s">
        <v>736</v>
      </c>
      <c r="D23" s="207" t="s">
        <v>735</v>
      </c>
      <c r="E23" s="207" t="s">
        <v>4</v>
      </c>
    </row>
    <row r="24" spans="2:10" ht="17.25" x14ac:dyDescent="0.25">
      <c r="B24">
        <f>E24-D24</f>
        <v>9</v>
      </c>
      <c r="C24" s="207" t="s">
        <v>734</v>
      </c>
      <c r="D24" s="207">
        <v>6</v>
      </c>
      <c r="E24" s="207">
        <v>15</v>
      </c>
    </row>
    <row r="25" spans="2:10" ht="17.25" x14ac:dyDescent="0.25">
      <c r="B25">
        <f>B24-6</f>
        <v>3</v>
      </c>
      <c r="C25" s="207" t="s">
        <v>734</v>
      </c>
      <c r="D25" s="207" t="s">
        <v>733</v>
      </c>
      <c r="E25" s="207" t="s">
        <v>732</v>
      </c>
    </row>
    <row r="26" spans="2:10" ht="16.5" customHeight="1" x14ac:dyDescent="0.25">
      <c r="D26">
        <v>2020</v>
      </c>
      <c r="E26" t="s">
        <v>731</v>
      </c>
      <c r="F26" t="s">
        <v>730</v>
      </c>
      <c r="J26" s="81"/>
    </row>
    <row r="27" spans="2:10" ht="16.5" customHeight="1" x14ac:dyDescent="0.25">
      <c r="B27" s="207" t="s">
        <v>474</v>
      </c>
      <c r="C27" t="s">
        <v>729</v>
      </c>
      <c r="D27" s="255">
        <f>C50/D50</f>
        <v>480.32727272727271</v>
      </c>
      <c r="E27" s="255">
        <v>333</v>
      </c>
      <c r="F27" s="255">
        <f>($C$39*8) / 3.6 *H2.LHV.MJ_kg</f>
        <v>288.23999999999995</v>
      </c>
    </row>
    <row r="28" spans="2:10" ht="16.5" customHeight="1" x14ac:dyDescent="0.25">
      <c r="C28" t="s">
        <v>728</v>
      </c>
      <c r="D28">
        <f>D27*$C$37*$C$38</f>
        <v>5632.2246334310848</v>
      </c>
      <c r="E28">
        <f>E27*$C$37*$C$38</f>
        <v>3904.6935483870971</v>
      </c>
      <c r="F28">
        <f>F27*$C$37*$C$38</f>
        <v>3379.8464516129029</v>
      </c>
    </row>
    <row r="29" spans="2:10" ht="16.5" customHeight="1" x14ac:dyDescent="0.25">
      <c r="B29">
        <f>E29/F29</f>
        <v>1.1552872606161533</v>
      </c>
      <c r="C29" t="s">
        <v>727</v>
      </c>
      <c r="D29" s="254">
        <f>D28/H2.LHV.MJ_kg *1000</f>
        <v>46896.125174280474</v>
      </c>
      <c r="E29" s="254">
        <f>E28/H2.LHV.MJ_kg *1000</f>
        <v>32512.019553597809</v>
      </c>
      <c r="F29" s="254">
        <f>F28/H2.LHV.MJ_kg *1000</f>
        <v>28141.935483870966</v>
      </c>
    </row>
    <row r="30" spans="2:10" ht="16.5" customHeight="1" x14ac:dyDescent="0.25">
      <c r="E30" s="82">
        <f>E29/D29</f>
        <v>0.69327731092436973</v>
      </c>
      <c r="F30" s="82">
        <f>F29/D29</f>
        <v>0.60009084714967065</v>
      </c>
    </row>
    <row r="31" spans="2:10" ht="16.5" customHeight="1" x14ac:dyDescent="0.25"/>
    <row r="35" spans="2:6" ht="21" x14ac:dyDescent="0.35">
      <c r="B35" s="251" t="s">
        <v>726</v>
      </c>
    </row>
    <row r="36" spans="2:6" x14ac:dyDescent="0.25">
      <c r="B36" s="253">
        <v>44294.597152662034</v>
      </c>
    </row>
    <row r="37" spans="2:6" x14ac:dyDescent="0.25">
      <c r="B37" t="s">
        <v>725</v>
      </c>
      <c r="C37">
        <v>14.54</v>
      </c>
      <c r="D37" t="s">
        <v>724</v>
      </c>
    </row>
    <row r="38" spans="2:6" x14ac:dyDescent="0.25">
      <c r="B38" t="s">
        <v>723</v>
      </c>
      <c r="C38">
        <f>1/1.24</f>
        <v>0.80645161290322587</v>
      </c>
      <c r="D38" t="s">
        <v>170</v>
      </c>
    </row>
    <row r="39" spans="2:6" x14ac:dyDescent="0.25">
      <c r="B39" t="s">
        <v>722</v>
      </c>
      <c r="C39">
        <v>1.08</v>
      </c>
      <c r="D39" t="s">
        <v>721</v>
      </c>
    </row>
    <row r="41" spans="2:6" ht="21" x14ac:dyDescent="0.35">
      <c r="B41" s="251" t="s">
        <v>720</v>
      </c>
      <c r="C41" s="251" t="s">
        <v>719</v>
      </c>
      <c r="D41" t="s">
        <v>718</v>
      </c>
      <c r="E41" t="s">
        <v>717</v>
      </c>
      <c r="F41" t="s">
        <v>716</v>
      </c>
    </row>
    <row r="42" spans="2:6" x14ac:dyDescent="0.25">
      <c r="B42" t="s">
        <v>715</v>
      </c>
      <c r="C42" s="252">
        <f>$I$55*LN($D42)+$J$55</f>
        <v>1.1107986833785937</v>
      </c>
      <c r="D42" s="45">
        <v>30</v>
      </c>
    </row>
    <row r="43" spans="2:6" x14ac:dyDescent="0.25">
      <c r="B43" t="s">
        <v>714</v>
      </c>
      <c r="C43" s="102">
        <v>0.52</v>
      </c>
    </row>
    <row r="44" spans="2:6" x14ac:dyDescent="0.25">
      <c r="B44" t="s">
        <v>713</v>
      </c>
      <c r="C44" s="79">
        <f>$I$55*LN($D44)+$J$55</f>
        <v>2.1227224833167222</v>
      </c>
      <c r="D44">
        <v>200</v>
      </c>
      <c r="E44" t="s">
        <v>712</v>
      </c>
      <c r="F44" t="s">
        <v>711</v>
      </c>
    </row>
    <row r="45" spans="2:6" x14ac:dyDescent="0.25">
      <c r="C45" s="79">
        <f>$I$55*LN($D45)+$J$55</f>
        <v>1.5995481597602679</v>
      </c>
      <c r="D45">
        <v>75</v>
      </c>
      <c r="E45" t="s">
        <v>710</v>
      </c>
      <c r="F45" t="s">
        <v>708</v>
      </c>
    </row>
    <row r="46" spans="2:6" x14ac:dyDescent="0.25">
      <c r="C46" s="79">
        <f>$I$55*LN($D46)+$J$55</f>
        <v>2.7909462507121514</v>
      </c>
      <c r="D46">
        <v>700</v>
      </c>
      <c r="E46" t="s">
        <v>709</v>
      </c>
      <c r="F46" t="s">
        <v>708</v>
      </c>
    </row>
    <row r="48" spans="2:6" ht="21" x14ac:dyDescent="0.35">
      <c r="B48" s="251" t="s">
        <v>707</v>
      </c>
      <c r="C48" t="s">
        <v>706</v>
      </c>
      <c r="D48" t="s">
        <v>705</v>
      </c>
      <c r="E48" t="s">
        <v>704</v>
      </c>
    </row>
    <row r="49" spans="2:10" x14ac:dyDescent="0.25">
      <c r="B49" t="s">
        <v>703</v>
      </c>
      <c r="C49" t="s">
        <v>702</v>
      </c>
      <c r="D49" t="s">
        <v>701</v>
      </c>
      <c r="E49" t="s">
        <v>700</v>
      </c>
    </row>
    <row r="50" spans="2:10" x14ac:dyDescent="0.25">
      <c r="B50" t="s">
        <v>699</v>
      </c>
      <c r="C50">
        <f>Z117</f>
        <v>422688</v>
      </c>
      <c r="D50">
        <v>880</v>
      </c>
      <c r="E50" t="s">
        <v>661</v>
      </c>
    </row>
    <row r="53" spans="2:10" x14ac:dyDescent="0.25">
      <c r="H53" t="s">
        <v>698</v>
      </c>
      <c r="I53" t="s">
        <v>697</v>
      </c>
      <c r="J53" t="s">
        <v>696</v>
      </c>
    </row>
    <row r="54" spans="2:10" x14ac:dyDescent="0.25">
      <c r="H54" t="s">
        <v>695</v>
      </c>
      <c r="I54">
        <v>4.7000000000000002E-3</v>
      </c>
      <c r="J54">
        <v>0</v>
      </c>
    </row>
    <row r="55" spans="2:10" x14ac:dyDescent="0.25">
      <c r="H55" t="s">
        <v>694</v>
      </c>
      <c r="I55">
        <v>0.53339999999999999</v>
      </c>
      <c r="J55">
        <v>-0.70340000000000003</v>
      </c>
    </row>
    <row r="72" spans="2:12" x14ac:dyDescent="0.25">
      <c r="B72" t="s">
        <v>595</v>
      </c>
      <c r="L72" t="s">
        <v>693</v>
      </c>
    </row>
    <row r="86" spans="2:28" x14ac:dyDescent="0.25">
      <c r="B86" s="74" t="s">
        <v>692</v>
      </c>
      <c r="E86" t="s">
        <v>691</v>
      </c>
    </row>
    <row r="87" spans="2:28" x14ac:dyDescent="0.25">
      <c r="W87" t="s">
        <v>595</v>
      </c>
      <c r="AB87" t="s">
        <v>690</v>
      </c>
    </row>
    <row r="88" spans="2:28" x14ac:dyDescent="0.25">
      <c r="B88" s="74" t="s">
        <v>689</v>
      </c>
    </row>
    <row r="89" spans="2:28" x14ac:dyDescent="0.25">
      <c r="B89" t="s">
        <v>688</v>
      </c>
    </row>
    <row r="90" spans="2:28" x14ac:dyDescent="0.25">
      <c r="B90" t="s">
        <v>687</v>
      </c>
      <c r="W90" s="250" t="s">
        <v>686</v>
      </c>
      <c r="X90" s="250" t="s">
        <v>685</v>
      </c>
      <c r="Y90" s="250" t="s">
        <v>684</v>
      </c>
      <c r="Z90" s="250" t="s">
        <v>683</v>
      </c>
    </row>
    <row r="91" spans="2:28" x14ac:dyDescent="0.25">
      <c r="B91" t="s">
        <v>682</v>
      </c>
      <c r="W91" s="248" t="s">
        <v>681</v>
      </c>
      <c r="X91" s="249" t="s">
        <v>680</v>
      </c>
      <c r="Y91" s="248" t="s">
        <v>679</v>
      </c>
      <c r="Z91" s="248" t="s">
        <v>676</v>
      </c>
    </row>
    <row r="92" spans="2:28" ht="25.5" x14ac:dyDescent="0.25">
      <c r="B92" t="s">
        <v>678</v>
      </c>
      <c r="W92" s="235" t="s">
        <v>677</v>
      </c>
      <c r="X92" s="247">
        <v>1000</v>
      </c>
      <c r="Y92" s="246">
        <v>1000</v>
      </c>
      <c r="Z92" s="240" t="s">
        <v>676</v>
      </c>
    </row>
    <row r="93" spans="2:28" x14ac:dyDescent="0.25">
      <c r="B93" t="s">
        <v>675</v>
      </c>
      <c r="W93" s="238" t="s">
        <v>674</v>
      </c>
      <c r="X93" s="239">
        <v>4</v>
      </c>
      <c r="Y93" s="245">
        <v>4</v>
      </c>
      <c r="Z93" s="238" t="s">
        <v>673</v>
      </c>
    </row>
    <row r="94" spans="2:28" ht="21" customHeight="1" x14ac:dyDescent="0.25">
      <c r="B94" t="s">
        <v>672</v>
      </c>
      <c r="W94" s="235" t="s">
        <v>671</v>
      </c>
      <c r="X94" s="241">
        <v>250</v>
      </c>
      <c r="Y94" s="244">
        <v>250</v>
      </c>
      <c r="Z94" s="240" t="s">
        <v>670</v>
      </c>
    </row>
    <row r="95" spans="2:28" ht="21" customHeight="1" x14ac:dyDescent="0.25">
      <c r="B95" t="s">
        <v>669</v>
      </c>
      <c r="W95" s="238" t="s">
        <v>668</v>
      </c>
      <c r="X95" s="239">
        <v>700</v>
      </c>
      <c r="Y95" s="245">
        <v>700</v>
      </c>
      <c r="Z95" s="238" t="s">
        <v>667</v>
      </c>
    </row>
    <row r="96" spans="2:28" ht="21" customHeight="1" x14ac:dyDescent="0.25">
      <c r="W96" s="235" t="s">
        <v>666</v>
      </c>
      <c r="X96" s="241">
        <v>5</v>
      </c>
      <c r="Y96" s="244">
        <v>5</v>
      </c>
      <c r="Z96" s="240" t="s">
        <v>660</v>
      </c>
    </row>
    <row r="97" spans="23:26" ht="21" customHeight="1" x14ac:dyDescent="0.25">
      <c r="W97" s="238" t="s">
        <v>665</v>
      </c>
      <c r="X97" s="242" t="s">
        <v>664</v>
      </c>
      <c r="Y97" s="238" t="s">
        <v>664</v>
      </c>
      <c r="Z97" s="238" t="s">
        <v>663</v>
      </c>
    </row>
    <row r="98" spans="23:26" ht="21" customHeight="1" x14ac:dyDescent="0.25">
      <c r="W98" s="235" t="s">
        <v>662</v>
      </c>
      <c r="X98" s="243" t="s">
        <v>661</v>
      </c>
      <c r="Y98" s="235" t="s">
        <v>661</v>
      </c>
      <c r="Z98" s="240" t="s">
        <v>660</v>
      </c>
    </row>
    <row r="99" spans="23:26" ht="21" customHeight="1" x14ac:dyDescent="0.25">
      <c r="W99" s="238" t="s">
        <v>659</v>
      </c>
      <c r="X99" s="242" t="s">
        <v>658</v>
      </c>
      <c r="Y99" s="238" t="s">
        <v>658</v>
      </c>
      <c r="Z99" s="238" t="s">
        <v>654</v>
      </c>
    </row>
    <row r="100" spans="23:26" ht="21" customHeight="1" x14ac:dyDescent="0.25">
      <c r="W100" s="235" t="s">
        <v>657</v>
      </c>
      <c r="X100" s="241">
        <v>885</v>
      </c>
      <c r="Y100" s="235" t="s">
        <v>655</v>
      </c>
      <c r="Z100" s="240" t="s">
        <v>654</v>
      </c>
    </row>
    <row r="101" spans="23:26" ht="21" customHeight="1" x14ac:dyDescent="0.25">
      <c r="W101" s="238" t="s">
        <v>656</v>
      </c>
      <c r="X101" s="239">
        <v>250</v>
      </c>
      <c r="Y101" s="238" t="s">
        <v>655</v>
      </c>
      <c r="Z101" s="238" t="s">
        <v>654</v>
      </c>
    </row>
    <row r="102" spans="23:26" ht="21" customHeight="1" x14ac:dyDescent="0.25">
      <c r="W102" s="235" t="s">
        <v>653</v>
      </c>
      <c r="X102" s="237" t="s">
        <v>652</v>
      </c>
      <c r="Y102" s="236" t="s">
        <v>652</v>
      </c>
      <c r="Z102" s="235" t="s">
        <v>651</v>
      </c>
    </row>
    <row r="103" spans="23:26" ht="21" customHeight="1" x14ac:dyDescent="0.25">
      <c r="W103" s="232" t="s">
        <v>650</v>
      </c>
      <c r="X103" s="234">
        <v>0.65</v>
      </c>
      <c r="Y103" s="233">
        <v>0.65</v>
      </c>
      <c r="Z103" s="232" t="s">
        <v>649</v>
      </c>
    </row>
    <row r="104" spans="23:26" ht="21" customHeight="1" x14ac:dyDescent="0.25"/>
    <row r="105" spans="23:26" ht="21" customHeight="1" x14ac:dyDescent="0.25">
      <c r="W105" t="s">
        <v>648</v>
      </c>
      <c r="X105" t="s">
        <v>647</v>
      </c>
      <c r="Y105" t="s">
        <v>646</v>
      </c>
      <c r="Z105" t="s">
        <v>645</v>
      </c>
    </row>
    <row r="106" spans="23:26" ht="21" customHeight="1" x14ac:dyDescent="0.25">
      <c r="W106" t="s">
        <v>644</v>
      </c>
      <c r="X106">
        <v>4</v>
      </c>
      <c r="Y106" t="s">
        <v>643</v>
      </c>
      <c r="Z106">
        <v>307403</v>
      </c>
    </row>
    <row r="107" spans="23:26" ht="21" customHeight="1" x14ac:dyDescent="0.25">
      <c r="W107" t="s">
        <v>642</v>
      </c>
      <c r="X107">
        <v>1</v>
      </c>
      <c r="Y107" t="s">
        <v>641</v>
      </c>
      <c r="Z107">
        <v>40000</v>
      </c>
    </row>
    <row r="108" spans="23:26" x14ac:dyDescent="0.25">
      <c r="W108" t="s">
        <v>640</v>
      </c>
      <c r="X108">
        <v>1</v>
      </c>
      <c r="Y108" t="s">
        <v>639</v>
      </c>
      <c r="Z108">
        <v>50000</v>
      </c>
    </row>
    <row r="109" spans="23:26" x14ac:dyDescent="0.25">
      <c r="W109" t="s">
        <v>638</v>
      </c>
    </row>
    <row r="110" spans="23:26" x14ac:dyDescent="0.25">
      <c r="W110" t="s">
        <v>637</v>
      </c>
      <c r="X110">
        <v>4</v>
      </c>
      <c r="Y110" t="s">
        <v>636</v>
      </c>
      <c r="Z110">
        <v>12000</v>
      </c>
    </row>
    <row r="111" spans="23:26" x14ac:dyDescent="0.25">
      <c r="W111" t="s">
        <v>635</v>
      </c>
      <c r="X111">
        <v>9</v>
      </c>
      <c r="Y111" t="s">
        <v>634</v>
      </c>
      <c r="Z111">
        <v>2430</v>
      </c>
    </row>
    <row r="112" spans="23:26" x14ac:dyDescent="0.25">
      <c r="W112" t="s">
        <v>633</v>
      </c>
      <c r="X112">
        <v>1</v>
      </c>
      <c r="Y112" t="s">
        <v>632</v>
      </c>
      <c r="Z112">
        <v>300</v>
      </c>
    </row>
    <row r="113" spans="2:26" x14ac:dyDescent="0.25">
      <c r="W113" t="s">
        <v>631</v>
      </c>
      <c r="X113">
        <v>1</v>
      </c>
      <c r="Y113" t="s">
        <v>630</v>
      </c>
      <c r="Z113">
        <v>1250</v>
      </c>
    </row>
    <row r="114" spans="2:26" x14ac:dyDescent="0.25">
      <c r="W114" t="s">
        <v>629</v>
      </c>
      <c r="X114">
        <v>5</v>
      </c>
      <c r="Y114" t="s">
        <v>628</v>
      </c>
      <c r="Z114">
        <v>780</v>
      </c>
    </row>
    <row r="115" spans="2:26" x14ac:dyDescent="0.25">
      <c r="W115" t="s">
        <v>627</v>
      </c>
      <c r="X115" t="s">
        <v>626</v>
      </c>
      <c r="Y115" t="s">
        <v>625</v>
      </c>
      <c r="Z115">
        <v>525</v>
      </c>
    </row>
    <row r="116" spans="2:26" x14ac:dyDescent="0.25">
      <c r="W116" t="s">
        <v>624</v>
      </c>
      <c r="X116">
        <v>1</v>
      </c>
      <c r="Y116">
        <v>8000</v>
      </c>
      <c r="Z116">
        <v>8000</v>
      </c>
    </row>
    <row r="117" spans="2:26" x14ac:dyDescent="0.25">
      <c r="B117" t="s">
        <v>623</v>
      </c>
      <c r="W117" t="s">
        <v>622</v>
      </c>
      <c r="Z117">
        <v>422688</v>
      </c>
    </row>
    <row r="118" spans="2:26" x14ac:dyDescent="0.25">
      <c r="B118" t="s">
        <v>621</v>
      </c>
      <c r="C118">
        <v>20</v>
      </c>
      <c r="D118">
        <v>350</v>
      </c>
      <c r="E118">
        <v>350</v>
      </c>
      <c r="F118">
        <v>700</v>
      </c>
      <c r="G118">
        <v>700</v>
      </c>
    </row>
    <row r="119" spans="2:26" x14ac:dyDescent="0.25">
      <c r="B119" t="s">
        <v>620</v>
      </c>
      <c r="C119">
        <v>1.02</v>
      </c>
      <c r="D119">
        <v>2</v>
      </c>
      <c r="E119">
        <v>2.2000000000000002</v>
      </c>
      <c r="F119">
        <v>2.9</v>
      </c>
      <c r="G119">
        <v>3.2</v>
      </c>
    </row>
    <row r="121" spans="2:26" x14ac:dyDescent="0.25">
      <c r="B121" t="s">
        <v>619</v>
      </c>
    </row>
    <row r="122" spans="2:26" x14ac:dyDescent="0.25">
      <c r="B122" t="s">
        <v>618</v>
      </c>
    </row>
    <row r="123" spans="2:26" x14ac:dyDescent="0.25">
      <c r="B123" t="s">
        <v>617</v>
      </c>
    </row>
    <row r="124" spans="2:26" x14ac:dyDescent="0.25">
      <c r="B124" t="s">
        <v>616</v>
      </c>
    </row>
    <row r="125" spans="2:26" x14ac:dyDescent="0.25">
      <c r="B125" t="s">
        <v>615</v>
      </c>
    </row>
    <row r="126" spans="2:26" x14ac:dyDescent="0.25">
      <c r="B126" t="s">
        <v>614</v>
      </c>
    </row>
    <row r="127" spans="2:26" x14ac:dyDescent="0.25">
      <c r="B127" t="s">
        <v>613</v>
      </c>
    </row>
    <row r="128" spans="2:26" x14ac:dyDescent="0.25">
      <c r="B128" t="s">
        <v>612</v>
      </c>
    </row>
    <row r="129" spans="2:2" x14ac:dyDescent="0.25">
      <c r="B129" t="s">
        <v>611</v>
      </c>
    </row>
    <row r="130" spans="2:2" x14ac:dyDescent="0.25">
      <c r="B130" t="s">
        <v>610</v>
      </c>
    </row>
    <row r="131" spans="2:2" x14ac:dyDescent="0.25">
      <c r="B131" t="s">
        <v>609</v>
      </c>
    </row>
    <row r="132" spans="2:2" x14ac:dyDescent="0.25">
      <c r="B132" t="s">
        <v>608</v>
      </c>
    </row>
    <row r="133" spans="2:2" x14ac:dyDescent="0.25">
      <c r="B133" t="s">
        <v>607</v>
      </c>
    </row>
    <row r="134" spans="2:2" x14ac:dyDescent="0.25">
      <c r="B134" t="s">
        <v>606</v>
      </c>
    </row>
    <row r="135" spans="2:2" x14ac:dyDescent="0.25">
      <c r="B135" t="s">
        <v>605</v>
      </c>
    </row>
    <row r="136" spans="2:2" x14ac:dyDescent="0.25">
      <c r="B136" t="s">
        <v>604</v>
      </c>
    </row>
    <row r="137" spans="2:2" x14ac:dyDescent="0.25">
      <c r="B137" t="s">
        <v>603</v>
      </c>
    </row>
    <row r="138" spans="2:2" x14ac:dyDescent="0.25">
      <c r="B138" t="s">
        <v>602</v>
      </c>
    </row>
    <row r="139" spans="2:2" x14ac:dyDescent="0.25">
      <c r="B139" t="s">
        <v>601</v>
      </c>
    </row>
    <row r="140" spans="2:2" x14ac:dyDescent="0.25">
      <c r="B140" t="s">
        <v>600</v>
      </c>
    </row>
    <row r="141" spans="2:2" x14ac:dyDescent="0.25">
      <c r="B141" t="s">
        <v>599</v>
      </c>
    </row>
    <row r="142" spans="2:2" x14ac:dyDescent="0.25">
      <c r="B142" t="s">
        <v>598</v>
      </c>
    </row>
    <row r="143" spans="2:2" x14ac:dyDescent="0.25">
      <c r="B143" t="s">
        <v>597</v>
      </c>
    </row>
    <row r="147" spans="2:2" x14ac:dyDescent="0.25">
      <c r="B147" t="s">
        <v>596</v>
      </c>
    </row>
    <row r="148" spans="2:2" x14ac:dyDescent="0.25">
      <c r="B148" t="s">
        <v>595</v>
      </c>
    </row>
  </sheetData>
  <hyperlinks>
    <hyperlink ref="B88" r:id="rId1" xr:uid="{90EC3A69-DB52-4E1B-89C3-78A79E8CDB00}"/>
    <hyperlink ref="B86" r:id="rId2" xr:uid="{32F24361-58BA-4CBC-B3D4-501C462867F7}"/>
  </hyperlinks>
  <pageMargins left="0.7" right="0.7" top="0.75" bottom="0.75" header="0.3" footer="0.3"/>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C9DC-1FA9-4F6F-8214-7EA23BC3D61C}">
  <dimension ref="A1:F4"/>
  <sheetViews>
    <sheetView workbookViewId="0">
      <selection activeCell="C32" sqref="C32"/>
    </sheetView>
  </sheetViews>
  <sheetFormatPr defaultRowHeight="15" x14ac:dyDescent="0.25"/>
  <cols>
    <col min="1" max="1" width="6.28515625" bestFit="1" customWidth="1"/>
    <col min="2" max="2" width="8.85546875" bestFit="1" customWidth="1"/>
    <col min="3" max="3" width="11.140625" bestFit="1" customWidth="1"/>
    <col min="4" max="4" width="41.5703125" bestFit="1" customWidth="1"/>
    <col min="5" max="5" width="6.28515625" bestFit="1" customWidth="1"/>
    <col min="6" max="6" width="24.7109375" bestFit="1" customWidth="1"/>
  </cols>
  <sheetData>
    <row r="1" spans="1:6" x14ac:dyDescent="0.25">
      <c r="A1" t="s">
        <v>290</v>
      </c>
      <c r="B1" t="s">
        <v>289</v>
      </c>
    </row>
    <row r="2" spans="1:6" x14ac:dyDescent="0.25">
      <c r="B2" t="s">
        <v>275</v>
      </c>
      <c r="C2" t="s">
        <v>755</v>
      </c>
      <c r="D2" t="s">
        <v>754</v>
      </c>
      <c r="E2" t="s">
        <v>4</v>
      </c>
      <c r="F2" t="s">
        <v>753</v>
      </c>
    </row>
    <row r="3" spans="1:6" x14ac:dyDescent="0.25">
      <c r="B3" t="s">
        <v>281</v>
      </c>
      <c r="C3" t="s">
        <v>744</v>
      </c>
      <c r="D3" t="s">
        <v>752</v>
      </c>
      <c r="E3" t="s">
        <v>278</v>
      </c>
      <c r="F3" t="s">
        <v>751</v>
      </c>
    </row>
    <row r="4" spans="1:6" x14ac:dyDescent="0.25">
      <c r="B4" t="s">
        <v>281</v>
      </c>
      <c r="C4" t="s">
        <v>740</v>
      </c>
      <c r="D4" t="s">
        <v>750</v>
      </c>
      <c r="E4" t="s">
        <v>278</v>
      </c>
      <c r="F4" t="s">
        <v>749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F6B9D-764E-425B-98EC-98209AC17CC7}">
  <dimension ref="A1:AP14"/>
  <sheetViews>
    <sheetView workbookViewId="0">
      <selection activeCell="C32" sqref="C32"/>
    </sheetView>
  </sheetViews>
  <sheetFormatPr defaultRowHeight="15" x14ac:dyDescent="0.25"/>
  <cols>
    <col min="1" max="1" width="8.28515625" bestFit="1" customWidth="1"/>
    <col min="2" max="2" width="12.85546875" bestFit="1" customWidth="1"/>
    <col min="3" max="3" width="11.140625" bestFit="1" customWidth="1"/>
    <col min="4" max="4" width="8.42578125" bestFit="1" customWidth="1"/>
    <col min="5" max="5" width="9.85546875" bestFit="1" customWidth="1"/>
    <col min="6" max="6" width="6.140625" bestFit="1" customWidth="1"/>
    <col min="7" max="7" width="8.5703125" bestFit="1" customWidth="1"/>
    <col min="8" max="8" width="6.140625" bestFit="1" customWidth="1"/>
    <col min="9" max="9" width="3.42578125" bestFit="1" customWidth="1"/>
    <col min="10" max="17" width="5" bestFit="1" customWidth="1"/>
    <col min="18" max="18" width="7" bestFit="1" customWidth="1"/>
    <col min="19" max="27" width="5" bestFit="1" customWidth="1"/>
    <col min="28" max="28" width="6.5703125" bestFit="1" customWidth="1"/>
    <col min="29" max="32" width="5" bestFit="1" customWidth="1"/>
    <col min="33" max="33" width="6.5703125" bestFit="1" customWidth="1"/>
    <col min="34" max="37" width="5" bestFit="1" customWidth="1"/>
    <col min="38" max="38" width="6.5703125" bestFit="1" customWidth="1"/>
    <col min="39" max="39" width="5" bestFit="1" customWidth="1"/>
    <col min="40" max="40" width="6.5703125" bestFit="1" customWidth="1"/>
    <col min="41" max="42" width="7.5703125" bestFit="1" customWidth="1"/>
  </cols>
  <sheetData>
    <row r="1" spans="1:42" x14ac:dyDescent="0.25">
      <c r="A1" t="s">
        <v>304</v>
      </c>
      <c r="B1" t="s">
        <v>289</v>
      </c>
    </row>
    <row r="2" spans="1:42" x14ac:dyDescent="0.25">
      <c r="A2" t="s">
        <v>7</v>
      </c>
      <c r="B2" t="s">
        <v>303</v>
      </c>
      <c r="C2" t="s">
        <v>302</v>
      </c>
      <c r="D2" t="s">
        <v>301</v>
      </c>
      <c r="E2" t="s">
        <v>300</v>
      </c>
      <c r="F2" t="s">
        <v>299</v>
      </c>
      <c r="G2" t="s">
        <v>298</v>
      </c>
      <c r="H2" t="s">
        <v>297</v>
      </c>
      <c r="I2" t="s">
        <v>296</v>
      </c>
      <c r="J2">
        <v>2012</v>
      </c>
      <c r="K2">
        <f t="shared" ref="K2:AL2" si="0">1+J2</f>
        <v>2013</v>
      </c>
      <c r="L2">
        <f t="shared" si="0"/>
        <v>2014</v>
      </c>
      <c r="M2">
        <f t="shared" si="0"/>
        <v>2015</v>
      </c>
      <c r="N2">
        <f t="shared" si="0"/>
        <v>2016</v>
      </c>
      <c r="O2">
        <f t="shared" si="0"/>
        <v>2017</v>
      </c>
      <c r="P2">
        <f t="shared" si="0"/>
        <v>2018</v>
      </c>
      <c r="Q2">
        <f t="shared" si="0"/>
        <v>2019</v>
      </c>
      <c r="R2">
        <f t="shared" si="0"/>
        <v>2020</v>
      </c>
      <c r="S2">
        <f t="shared" si="0"/>
        <v>2021</v>
      </c>
      <c r="T2">
        <f t="shared" si="0"/>
        <v>2022</v>
      </c>
      <c r="U2">
        <f t="shared" si="0"/>
        <v>2023</v>
      </c>
      <c r="V2">
        <f t="shared" si="0"/>
        <v>2024</v>
      </c>
      <c r="W2">
        <f t="shared" si="0"/>
        <v>2025</v>
      </c>
      <c r="X2">
        <f t="shared" si="0"/>
        <v>2026</v>
      </c>
      <c r="Y2">
        <f t="shared" si="0"/>
        <v>2027</v>
      </c>
      <c r="Z2">
        <f t="shared" si="0"/>
        <v>2028</v>
      </c>
      <c r="AA2">
        <f t="shared" si="0"/>
        <v>2029</v>
      </c>
      <c r="AB2">
        <f t="shared" si="0"/>
        <v>2030</v>
      </c>
      <c r="AC2">
        <f t="shared" si="0"/>
        <v>2031</v>
      </c>
      <c r="AD2">
        <f t="shared" si="0"/>
        <v>2032</v>
      </c>
      <c r="AE2">
        <f t="shared" si="0"/>
        <v>2033</v>
      </c>
      <c r="AF2">
        <f t="shared" si="0"/>
        <v>2034</v>
      </c>
      <c r="AG2">
        <f t="shared" si="0"/>
        <v>2035</v>
      </c>
      <c r="AH2">
        <f t="shared" si="0"/>
        <v>2036</v>
      </c>
      <c r="AI2">
        <f t="shared" si="0"/>
        <v>2037</v>
      </c>
      <c r="AJ2">
        <f t="shared" si="0"/>
        <v>2038</v>
      </c>
      <c r="AK2">
        <f t="shared" si="0"/>
        <v>2039</v>
      </c>
      <c r="AL2">
        <f t="shared" si="0"/>
        <v>2040</v>
      </c>
      <c r="AM2">
        <f>5+AL2</f>
        <v>2045</v>
      </c>
      <c r="AN2">
        <f>5+AM2</f>
        <v>2050</v>
      </c>
      <c r="AO2">
        <f>10+AN2</f>
        <v>2060</v>
      </c>
      <c r="AP2">
        <f>10+AO2</f>
        <v>2070</v>
      </c>
    </row>
    <row r="3" spans="1:42" x14ac:dyDescent="0.25">
      <c r="B3" t="s">
        <v>760</v>
      </c>
      <c r="C3" t="s">
        <v>740</v>
      </c>
      <c r="D3" t="s">
        <v>755</v>
      </c>
      <c r="E3" t="s">
        <v>260</v>
      </c>
      <c r="F3" t="s">
        <v>236</v>
      </c>
      <c r="G3" t="s">
        <v>291</v>
      </c>
      <c r="H3" t="s">
        <v>236</v>
      </c>
      <c r="I3">
        <v>0</v>
      </c>
      <c r="J3" t="s">
        <v>756</v>
      </c>
      <c r="K3" t="s">
        <v>756</v>
      </c>
      <c r="L3" t="s">
        <v>756</v>
      </c>
      <c r="M3" t="s">
        <v>756</v>
      </c>
      <c r="N3" t="s">
        <v>756</v>
      </c>
      <c r="O3" t="s">
        <v>756</v>
      </c>
      <c r="P3" t="s">
        <v>756</v>
      </c>
      <c r="Q3" t="s">
        <v>756</v>
      </c>
      <c r="R3">
        <v>0.99990000000000001</v>
      </c>
      <c r="S3" t="s">
        <v>756</v>
      </c>
      <c r="T3" t="s">
        <v>756</v>
      </c>
      <c r="U3" t="s">
        <v>756</v>
      </c>
      <c r="V3" t="s">
        <v>756</v>
      </c>
      <c r="W3" t="s">
        <v>756</v>
      </c>
      <c r="X3" t="s">
        <v>756</v>
      </c>
      <c r="Y3" t="s">
        <v>756</v>
      </c>
      <c r="Z3" t="s">
        <v>756</v>
      </c>
      <c r="AA3" t="s">
        <v>756</v>
      </c>
      <c r="AB3" t="s">
        <v>756</v>
      </c>
      <c r="AC3" t="s">
        <v>756</v>
      </c>
      <c r="AD3" t="s">
        <v>756</v>
      </c>
      <c r="AE3" t="s">
        <v>756</v>
      </c>
      <c r="AF3" t="s">
        <v>756</v>
      </c>
      <c r="AG3" t="s">
        <v>756</v>
      </c>
      <c r="AH3" t="s">
        <v>756</v>
      </c>
      <c r="AI3" t="s">
        <v>756</v>
      </c>
      <c r="AJ3" t="s">
        <v>756</v>
      </c>
      <c r="AK3" t="s">
        <v>756</v>
      </c>
      <c r="AL3" t="s">
        <v>756</v>
      </c>
      <c r="AM3" t="s">
        <v>756</v>
      </c>
      <c r="AN3" t="s">
        <v>756</v>
      </c>
      <c r="AO3" s="80" t="str">
        <f t="shared" ref="AO3:AP14" si="1">AN3</f>
        <v>null</v>
      </c>
      <c r="AP3" s="80" t="str">
        <f t="shared" si="1"/>
        <v>null</v>
      </c>
    </row>
    <row r="4" spans="1:42" x14ac:dyDescent="0.25">
      <c r="B4" t="s">
        <v>26</v>
      </c>
      <c r="C4" t="s">
        <v>744</v>
      </c>
      <c r="D4" t="s">
        <v>236</v>
      </c>
      <c r="E4" t="s">
        <v>236</v>
      </c>
      <c r="F4" t="s">
        <v>236</v>
      </c>
      <c r="G4" t="s">
        <v>291</v>
      </c>
      <c r="H4" t="s">
        <v>243</v>
      </c>
      <c r="I4">
        <v>0</v>
      </c>
      <c r="J4" t="s">
        <v>756</v>
      </c>
      <c r="K4" t="s">
        <v>756</v>
      </c>
      <c r="L4" t="s">
        <v>756</v>
      </c>
      <c r="M4" t="s">
        <v>756</v>
      </c>
      <c r="N4" t="s">
        <v>756</v>
      </c>
      <c r="O4" t="s">
        <v>756</v>
      </c>
      <c r="P4" t="s">
        <v>756</v>
      </c>
      <c r="Q4" t="s">
        <v>756</v>
      </c>
      <c r="R4">
        <v>1</v>
      </c>
      <c r="S4" t="s">
        <v>756</v>
      </c>
      <c r="T4" t="s">
        <v>756</v>
      </c>
      <c r="U4" t="s">
        <v>756</v>
      </c>
      <c r="V4" t="s">
        <v>756</v>
      </c>
      <c r="W4" t="s">
        <v>756</v>
      </c>
      <c r="X4" t="s">
        <v>756</v>
      </c>
      <c r="Y4" t="s">
        <v>756</v>
      </c>
      <c r="Z4" t="s">
        <v>756</v>
      </c>
      <c r="AA4" t="s">
        <v>756</v>
      </c>
      <c r="AB4" t="s">
        <v>756</v>
      </c>
      <c r="AC4" t="s">
        <v>756</v>
      </c>
      <c r="AD4" t="s">
        <v>756</v>
      </c>
      <c r="AE4" t="s">
        <v>756</v>
      </c>
      <c r="AF4" t="s">
        <v>756</v>
      </c>
      <c r="AG4" t="s">
        <v>756</v>
      </c>
      <c r="AH4" t="s">
        <v>756</v>
      </c>
      <c r="AI4" t="s">
        <v>756</v>
      </c>
      <c r="AJ4" t="s">
        <v>756</v>
      </c>
      <c r="AK4" t="s">
        <v>756</v>
      </c>
      <c r="AL4" t="s">
        <v>756</v>
      </c>
      <c r="AM4" t="s">
        <v>756</v>
      </c>
      <c r="AN4" t="s">
        <v>756</v>
      </c>
      <c r="AO4" s="80" t="str">
        <f t="shared" si="1"/>
        <v>null</v>
      </c>
      <c r="AP4" s="80" t="str">
        <f t="shared" si="1"/>
        <v>null</v>
      </c>
    </row>
    <row r="5" spans="1:42" x14ac:dyDescent="0.25">
      <c r="B5" t="s">
        <v>46</v>
      </c>
      <c r="C5" t="s">
        <v>744</v>
      </c>
      <c r="D5" t="s">
        <v>236</v>
      </c>
      <c r="E5" t="s">
        <v>236</v>
      </c>
      <c r="F5" t="s">
        <v>236</v>
      </c>
      <c r="G5" t="s">
        <v>236</v>
      </c>
      <c r="H5" t="s">
        <v>243</v>
      </c>
      <c r="I5">
        <v>0</v>
      </c>
      <c r="J5" t="s">
        <v>756</v>
      </c>
      <c r="K5" t="s">
        <v>756</v>
      </c>
      <c r="L5" t="s">
        <v>756</v>
      </c>
      <c r="M5" t="s">
        <v>756</v>
      </c>
      <c r="N5" t="s">
        <v>756</v>
      </c>
      <c r="O5" t="s">
        <v>756</v>
      </c>
      <c r="P5" t="s">
        <v>756</v>
      </c>
      <c r="Q5" t="s">
        <v>756</v>
      </c>
      <c r="R5">
        <v>0.9</v>
      </c>
      <c r="S5" t="s">
        <v>756</v>
      </c>
      <c r="T5" t="s">
        <v>756</v>
      </c>
      <c r="U5" t="s">
        <v>756</v>
      </c>
      <c r="V5" t="s">
        <v>756</v>
      </c>
      <c r="W5" t="s">
        <v>756</v>
      </c>
      <c r="X5" t="s">
        <v>756</v>
      </c>
      <c r="Y5" t="s">
        <v>756</v>
      </c>
      <c r="Z5" t="s">
        <v>756</v>
      </c>
      <c r="AA5" t="s">
        <v>756</v>
      </c>
      <c r="AB5" t="s">
        <v>756</v>
      </c>
      <c r="AC5" t="s">
        <v>756</v>
      </c>
      <c r="AD5" t="s">
        <v>756</v>
      </c>
      <c r="AE5" t="s">
        <v>756</v>
      </c>
      <c r="AF5" t="s">
        <v>756</v>
      </c>
      <c r="AG5" t="s">
        <v>756</v>
      </c>
      <c r="AH5" t="s">
        <v>756</v>
      </c>
      <c r="AI5" t="s">
        <v>756</v>
      </c>
      <c r="AJ5" t="s">
        <v>756</v>
      </c>
      <c r="AK5" t="s">
        <v>756</v>
      </c>
      <c r="AL5" t="s">
        <v>756</v>
      </c>
      <c r="AM5" t="s">
        <v>756</v>
      </c>
      <c r="AN5" t="s">
        <v>756</v>
      </c>
      <c r="AO5" s="80" t="str">
        <f t="shared" si="1"/>
        <v>null</v>
      </c>
      <c r="AP5" s="80" t="str">
        <f t="shared" si="1"/>
        <v>null</v>
      </c>
    </row>
    <row r="6" spans="1:42" x14ac:dyDescent="0.25">
      <c r="B6" t="s">
        <v>759</v>
      </c>
      <c r="C6" t="s">
        <v>744</v>
      </c>
      <c r="D6" t="s">
        <v>236</v>
      </c>
      <c r="E6" t="s">
        <v>293</v>
      </c>
      <c r="F6" t="s">
        <v>236</v>
      </c>
      <c r="G6" t="s">
        <v>36</v>
      </c>
      <c r="H6" t="s">
        <v>236</v>
      </c>
      <c r="I6">
        <v>0</v>
      </c>
      <c r="J6" t="s">
        <v>756</v>
      </c>
      <c r="K6" t="s">
        <v>756</v>
      </c>
      <c r="L6" t="s">
        <v>756</v>
      </c>
      <c r="M6" t="s">
        <v>756</v>
      </c>
      <c r="N6" t="s">
        <v>756</v>
      </c>
      <c r="O6" t="s">
        <v>756</v>
      </c>
      <c r="P6" t="s">
        <v>756</v>
      </c>
      <c r="Q6" t="s">
        <v>756</v>
      </c>
      <c r="R6">
        <v>1</v>
      </c>
      <c r="S6" t="s">
        <v>756</v>
      </c>
      <c r="T6" t="s">
        <v>756</v>
      </c>
      <c r="U6" t="s">
        <v>756</v>
      </c>
      <c r="V6" t="s">
        <v>756</v>
      </c>
      <c r="W6" t="s">
        <v>756</v>
      </c>
      <c r="X6" t="s">
        <v>756</v>
      </c>
      <c r="Y6" t="s">
        <v>756</v>
      </c>
      <c r="Z6" t="s">
        <v>756</v>
      </c>
      <c r="AA6" t="s">
        <v>756</v>
      </c>
      <c r="AB6" t="s">
        <v>756</v>
      </c>
      <c r="AC6" t="s">
        <v>756</v>
      </c>
      <c r="AD6" t="s">
        <v>756</v>
      </c>
      <c r="AE6" t="s">
        <v>756</v>
      </c>
      <c r="AF6" t="s">
        <v>756</v>
      </c>
      <c r="AG6" t="s">
        <v>756</v>
      </c>
      <c r="AH6" t="s">
        <v>756</v>
      </c>
      <c r="AI6" t="s">
        <v>756</v>
      </c>
      <c r="AJ6" t="s">
        <v>756</v>
      </c>
      <c r="AK6" t="s">
        <v>756</v>
      </c>
      <c r="AL6" t="s">
        <v>756</v>
      </c>
      <c r="AM6" t="s">
        <v>756</v>
      </c>
      <c r="AN6" t="s">
        <v>756</v>
      </c>
      <c r="AO6" s="80" t="str">
        <f t="shared" si="1"/>
        <v>null</v>
      </c>
      <c r="AP6" s="80" t="str">
        <f t="shared" si="1"/>
        <v>null</v>
      </c>
    </row>
    <row r="7" spans="1:42" x14ac:dyDescent="0.25">
      <c r="B7" t="s">
        <v>758</v>
      </c>
      <c r="C7" t="s">
        <v>744</v>
      </c>
      <c r="D7" t="s">
        <v>236</v>
      </c>
      <c r="E7" t="s">
        <v>236</v>
      </c>
      <c r="F7" t="s">
        <v>236</v>
      </c>
      <c r="G7" t="s">
        <v>236</v>
      </c>
      <c r="H7" t="s">
        <v>243</v>
      </c>
      <c r="I7">
        <v>3</v>
      </c>
      <c r="J7" t="s">
        <v>756</v>
      </c>
      <c r="K7" t="s">
        <v>756</v>
      </c>
      <c r="L7" t="s">
        <v>756</v>
      </c>
      <c r="M7" t="s">
        <v>756</v>
      </c>
      <c r="N7" t="s">
        <v>756</v>
      </c>
      <c r="O7" t="s">
        <v>756</v>
      </c>
      <c r="P7" t="s">
        <v>756</v>
      </c>
      <c r="Q7" t="s">
        <v>756</v>
      </c>
      <c r="R7" t="s">
        <v>756</v>
      </c>
      <c r="S7" t="s">
        <v>756</v>
      </c>
      <c r="T7" t="s">
        <v>756</v>
      </c>
      <c r="U7" t="s">
        <v>756</v>
      </c>
      <c r="V7" t="s">
        <v>756</v>
      </c>
      <c r="W7" t="s">
        <v>756</v>
      </c>
      <c r="X7" t="s">
        <v>756</v>
      </c>
      <c r="Y7" t="s">
        <v>756</v>
      </c>
      <c r="Z7" t="s">
        <v>756</v>
      </c>
      <c r="AA7" t="s">
        <v>756</v>
      </c>
      <c r="AB7" t="s">
        <v>756</v>
      </c>
      <c r="AC7" t="s">
        <v>756</v>
      </c>
      <c r="AD7" t="s">
        <v>756</v>
      </c>
      <c r="AE7" t="s">
        <v>756</v>
      </c>
      <c r="AF7" t="s">
        <v>756</v>
      </c>
      <c r="AG7" t="s">
        <v>756</v>
      </c>
      <c r="AH7" t="s">
        <v>756</v>
      </c>
      <c r="AI7" t="s">
        <v>756</v>
      </c>
      <c r="AJ7" t="s">
        <v>756</v>
      </c>
      <c r="AK7" t="s">
        <v>756</v>
      </c>
      <c r="AL7" t="s">
        <v>756</v>
      </c>
      <c r="AM7" t="s">
        <v>756</v>
      </c>
      <c r="AN7" t="s">
        <v>756</v>
      </c>
      <c r="AO7" s="80" t="str">
        <f t="shared" si="1"/>
        <v>null</v>
      </c>
      <c r="AP7" s="80" t="str">
        <f t="shared" si="1"/>
        <v>null</v>
      </c>
    </row>
    <row r="8" spans="1:42" x14ac:dyDescent="0.25">
      <c r="B8" t="s">
        <v>24</v>
      </c>
      <c r="C8" t="s">
        <v>744</v>
      </c>
      <c r="D8" t="s">
        <v>236</v>
      </c>
      <c r="E8" t="s">
        <v>236</v>
      </c>
      <c r="F8" t="s">
        <v>236</v>
      </c>
      <c r="G8" t="s">
        <v>236</v>
      </c>
      <c r="H8" t="s">
        <v>236</v>
      </c>
      <c r="I8">
        <v>0</v>
      </c>
      <c r="J8" s="80" t="str">
        <f t="array" ref="J8">_xlfn.IFNA(INDEX(H2Storage!$F$3:$J$16,MATCH('H2Storage-TSData'!$B8&amp;'H2Storage-TSData'!$C8,H2Storage!$B$3:$B$16&amp;H2Storage!$A$3:$A$16,0),MATCH(J$2,H2Storage!$F$2:$J$2,0)),"null")</f>
        <v>null</v>
      </c>
      <c r="K8" s="80" t="str">
        <f t="array" ref="K8">_xlfn.IFNA(INDEX(H2Storage!$F$3:$J$16,MATCH('H2Storage-TSData'!$B8&amp;'H2Storage-TSData'!$C8,H2Storage!$B$3:$B$16&amp;H2Storage!$A$3:$A$16,0),MATCH(K$2,H2Storage!$F$2:$J$2,0)),"null")</f>
        <v>null</v>
      </c>
      <c r="L8" s="80" t="str">
        <f t="array" ref="L8">_xlfn.IFNA(INDEX(H2Storage!$F$3:$J$16,MATCH('H2Storage-TSData'!$B8&amp;'H2Storage-TSData'!$C8,H2Storage!$B$3:$B$16&amp;H2Storage!$A$3:$A$16,0),MATCH(L$2,H2Storage!$F$2:$J$2,0)),"null")</f>
        <v>null</v>
      </c>
      <c r="M8" s="80" t="str">
        <f t="array" ref="M8">_xlfn.IFNA(INDEX(H2Storage!$F$3:$J$16,MATCH('H2Storage-TSData'!$B8&amp;'H2Storage-TSData'!$C8,H2Storage!$B$3:$B$16&amp;H2Storage!$A$3:$A$16,0),MATCH(M$2,H2Storage!$F$2:$J$2,0)),"null")</f>
        <v>null</v>
      </c>
      <c r="N8" s="80" t="str">
        <f t="array" ref="N8">_xlfn.IFNA(INDEX(H2Storage!$F$3:$J$16,MATCH('H2Storage-TSData'!$B8&amp;'H2Storage-TSData'!$C8,H2Storage!$B$3:$B$16&amp;H2Storage!$A$3:$A$16,0),MATCH(N$2,H2Storage!$F$2:$J$2,0)),"null")</f>
        <v>null</v>
      </c>
      <c r="O8" s="80" t="str">
        <f t="array" ref="O8">_xlfn.IFNA(INDEX(H2Storage!$F$3:$J$16,MATCH('H2Storage-TSData'!$B8&amp;'H2Storage-TSData'!$C8,H2Storage!$B$3:$B$16&amp;H2Storage!$A$3:$A$16,0),MATCH(O$2,H2Storage!$F$2:$J$2,0)),"null")</f>
        <v>null</v>
      </c>
      <c r="P8" s="80" t="str">
        <f t="array" ref="P8">_xlfn.IFNA(INDEX(H2Storage!$F$3:$J$16,MATCH('H2Storage-TSData'!$B8&amp;'H2Storage-TSData'!$C8,H2Storage!$B$3:$B$16&amp;H2Storage!$A$3:$A$16,0),MATCH(P$2,H2Storage!$F$2:$J$2,0)),"null")</f>
        <v>null</v>
      </c>
      <c r="Q8" s="80" t="str">
        <f t="array" ref="Q8">_xlfn.IFNA(INDEX(H2Storage!$F$3:$J$16,MATCH('H2Storage-TSData'!$B8&amp;'H2Storage-TSData'!$C8,H2Storage!$B$3:$B$16&amp;H2Storage!$A$3:$A$16,0),MATCH(Q$2,H2Storage!$F$2:$J$2,0)),"null")</f>
        <v>null</v>
      </c>
      <c r="R8" s="80">
        <f t="array" ref="R8">_xlfn.IFNA(INDEX(H2Storage!$F$3:$J$16,MATCH('H2Storage-TSData'!$B8&amp;'H2Storage-TSData'!$C8,H2Storage!$B$3:$B$16&amp;H2Storage!$A$3:$A$16,0),MATCH(R$2,H2Storage!$F$2:$J$2,0)),"null")</f>
        <v>46896.125174280474</v>
      </c>
      <c r="S8" s="80" t="str">
        <f t="array" ref="S8">_xlfn.IFNA(INDEX(H2Storage!$F$3:$J$16,MATCH('H2Storage-TSData'!$B8&amp;'H2Storage-TSData'!$C8,H2Storage!$B$3:$B$16&amp;H2Storage!$A$3:$A$16,0),MATCH(S$2,H2Storage!$F$2:$J$2,0)),"null")</f>
        <v>null</v>
      </c>
      <c r="T8" s="80" t="str">
        <f t="array" ref="T8">_xlfn.IFNA(INDEX(H2Storage!$F$3:$J$16,MATCH('H2Storage-TSData'!$B8&amp;'H2Storage-TSData'!$C8,H2Storage!$B$3:$B$16&amp;H2Storage!$A$3:$A$16,0),MATCH(T$2,H2Storage!$F$2:$J$2,0)),"null")</f>
        <v>null</v>
      </c>
      <c r="U8" s="80" t="str">
        <f t="array" ref="U8">_xlfn.IFNA(INDEX(H2Storage!$F$3:$J$16,MATCH('H2Storage-TSData'!$B8&amp;'H2Storage-TSData'!$C8,H2Storage!$B$3:$B$16&amp;H2Storage!$A$3:$A$16,0),MATCH(U$2,H2Storage!$F$2:$J$2,0)),"null")</f>
        <v>null</v>
      </c>
      <c r="V8" s="80" t="str">
        <f t="array" ref="V8">_xlfn.IFNA(INDEX(H2Storage!$F$3:$J$16,MATCH('H2Storage-TSData'!$B8&amp;'H2Storage-TSData'!$C8,H2Storage!$B$3:$B$16&amp;H2Storage!$A$3:$A$16,0),MATCH(V$2,H2Storage!$F$2:$J$2,0)),"null")</f>
        <v>null</v>
      </c>
      <c r="W8" s="80" t="str">
        <f t="array" ref="W8">_xlfn.IFNA(INDEX(H2Storage!$F$3:$J$16,MATCH('H2Storage-TSData'!$B8&amp;'H2Storage-TSData'!$C8,H2Storage!$B$3:$B$16&amp;H2Storage!$A$3:$A$16,0),MATCH(W$2,H2Storage!$F$2:$J$2,0)),"null")</f>
        <v>null</v>
      </c>
      <c r="X8" s="80" t="str">
        <f t="array" ref="X8">_xlfn.IFNA(INDEX(H2Storage!$F$3:$J$16,MATCH('H2Storage-TSData'!$B8&amp;'H2Storage-TSData'!$C8,H2Storage!$B$3:$B$16&amp;H2Storage!$A$3:$A$16,0),MATCH(X$2,H2Storage!$F$2:$J$2,0)),"null")</f>
        <v>null</v>
      </c>
      <c r="Y8" s="80" t="str">
        <f t="array" ref="Y8">_xlfn.IFNA(INDEX(H2Storage!$F$3:$J$16,MATCH('H2Storage-TSData'!$B8&amp;'H2Storage-TSData'!$C8,H2Storage!$B$3:$B$16&amp;H2Storage!$A$3:$A$16,0),MATCH(Y$2,H2Storage!$F$2:$J$2,0)),"null")</f>
        <v>null</v>
      </c>
      <c r="Z8" s="80" t="str">
        <f t="array" ref="Z8">_xlfn.IFNA(INDEX(H2Storage!$F$3:$J$16,MATCH('H2Storage-TSData'!$B8&amp;'H2Storage-TSData'!$C8,H2Storage!$B$3:$B$16&amp;H2Storage!$A$3:$A$16,0),MATCH(Z$2,H2Storage!$F$2:$J$2,0)),"null")</f>
        <v>null</v>
      </c>
      <c r="AA8" s="80" t="str">
        <f t="array" ref="AA8">_xlfn.IFNA(INDEX(H2Storage!$F$3:$J$16,MATCH('H2Storage-TSData'!$B8&amp;'H2Storage-TSData'!$C8,H2Storage!$B$3:$B$16&amp;H2Storage!$A$3:$A$16,0),MATCH(AA$2,H2Storage!$F$2:$J$2,0)),"null")</f>
        <v>null</v>
      </c>
      <c r="AB8" s="80">
        <f t="array" ref="AB8">_xlfn.IFNA(INDEX(H2Storage!$F$3:$J$16,MATCH('H2Storage-TSData'!$B8&amp;'H2Storage-TSData'!$C8,H2Storage!$B$3:$B$16&amp;H2Storage!$A$3:$A$16,0),MATCH(AB$2,H2Storage!$F$2:$J$2,0)),"null")</f>
        <v>43674.479600333063</v>
      </c>
      <c r="AC8" s="80" t="str">
        <f t="array" ref="AC8">_xlfn.IFNA(INDEX(H2Storage!$F$3:$J$16,MATCH('H2Storage-TSData'!$B8&amp;'H2Storage-TSData'!$C8,H2Storage!$B$3:$B$16&amp;H2Storage!$A$3:$A$16,0),MATCH(AC$2,H2Storage!$F$2:$J$2,0)),"null")</f>
        <v>null</v>
      </c>
      <c r="AD8" s="80" t="str">
        <f t="array" ref="AD8">_xlfn.IFNA(INDEX(H2Storage!$F$3:$J$16,MATCH('H2Storage-TSData'!$B8&amp;'H2Storage-TSData'!$C8,H2Storage!$B$3:$B$16&amp;H2Storage!$A$3:$A$16,0),MATCH(AD$2,H2Storage!$F$2:$J$2,0)),"null")</f>
        <v>null</v>
      </c>
      <c r="AE8" s="80" t="str">
        <f t="array" ref="AE8">_xlfn.IFNA(INDEX(H2Storage!$F$3:$J$16,MATCH('H2Storage-TSData'!$B8&amp;'H2Storage-TSData'!$C8,H2Storage!$B$3:$B$16&amp;H2Storage!$A$3:$A$16,0),MATCH(AE$2,H2Storage!$F$2:$J$2,0)),"null")</f>
        <v>null</v>
      </c>
      <c r="AF8" s="80" t="str">
        <f t="array" ref="AF8">_xlfn.IFNA(INDEX(H2Storage!$F$3:$J$16,MATCH('H2Storage-TSData'!$B8&amp;'H2Storage-TSData'!$C8,H2Storage!$B$3:$B$16&amp;H2Storage!$A$3:$A$16,0),MATCH(AF$2,H2Storage!$F$2:$J$2,0)),"null")</f>
        <v>null</v>
      </c>
      <c r="AG8" s="80">
        <f t="array" ref="AG8">_xlfn.IFNA(INDEX(H2Storage!$F$3:$J$16,MATCH('H2Storage-TSData'!$B8&amp;'H2Storage-TSData'!$C8,H2Storage!$B$3:$B$16&amp;H2Storage!$A$3:$A$16,0),MATCH(AG$2,H2Storage!$F$2:$J$2,0)),"null")</f>
        <v>32512.019553597809</v>
      </c>
      <c r="AH8" s="80" t="str">
        <f t="array" ref="AH8">_xlfn.IFNA(INDEX(H2Storage!$F$3:$J$16,MATCH('H2Storage-TSData'!$B8&amp;'H2Storage-TSData'!$C8,H2Storage!$B$3:$B$16&amp;H2Storage!$A$3:$A$16,0),MATCH(AH$2,H2Storage!$F$2:$J$2,0)),"null")</f>
        <v>null</v>
      </c>
      <c r="AI8" s="80" t="str">
        <f t="array" ref="AI8">_xlfn.IFNA(INDEX(H2Storage!$F$3:$J$16,MATCH('H2Storage-TSData'!$B8&amp;'H2Storage-TSData'!$C8,H2Storage!$B$3:$B$16&amp;H2Storage!$A$3:$A$16,0),MATCH(AI$2,H2Storage!$F$2:$J$2,0)),"null")</f>
        <v>null</v>
      </c>
      <c r="AJ8" s="80" t="str">
        <f t="array" ref="AJ8">_xlfn.IFNA(INDEX(H2Storage!$F$3:$J$16,MATCH('H2Storage-TSData'!$B8&amp;'H2Storage-TSData'!$C8,H2Storage!$B$3:$B$16&amp;H2Storage!$A$3:$A$16,0),MATCH(AJ$2,H2Storage!$F$2:$J$2,0)),"null")</f>
        <v>null</v>
      </c>
      <c r="AK8" s="80" t="str">
        <f t="array" ref="AK8">_xlfn.IFNA(INDEX(H2Storage!$F$3:$J$16,MATCH('H2Storage-TSData'!$B8&amp;'H2Storage-TSData'!$C8,H2Storage!$B$3:$B$16&amp;H2Storage!$A$3:$A$16,0),MATCH(AK$2,H2Storage!$F$2:$J$2,0)),"null")</f>
        <v>null</v>
      </c>
      <c r="AL8" s="80">
        <f t="array" ref="AL8">_xlfn.IFNA(INDEX(H2Storage!$F$3:$J$16,MATCH('H2Storage-TSData'!$B8&amp;'H2Storage-TSData'!$C8,H2Storage!$B$3:$B$16&amp;H2Storage!$A$3:$A$16,0),MATCH(AL$2,H2Storage!$F$2:$J$2,0)),"null")</f>
        <v>28141.935483870966</v>
      </c>
      <c r="AM8" s="80" t="str">
        <f t="array" ref="AM8">_xlfn.IFNA(INDEX(H2Storage!$F$3:$J$16,MATCH('H2Storage-TSData'!$B8&amp;'H2Storage-TSData'!$C8,H2Storage!$B$3:$B$16&amp;H2Storage!$A$3:$A$16,0),MATCH(AM$2,H2Storage!$F$2:$J$2,0)),"null")</f>
        <v>null</v>
      </c>
      <c r="AN8" s="80">
        <f t="array" ref="AN8">_xlfn.IFNA(INDEX(H2Storage!$F$3:$J$16,MATCH('H2Storage-TSData'!$B8&amp;'H2Storage-TSData'!$C8,H2Storage!$B$3:$B$16&amp;H2Storage!$A$3:$A$16,0),MATCH(AN$2,H2Storage!$F$2:$J$2,0)),"null")</f>
        <v>28141.935483870966</v>
      </c>
      <c r="AO8" s="80">
        <f t="shared" si="1"/>
        <v>28141.935483870966</v>
      </c>
      <c r="AP8" s="80">
        <f t="shared" si="1"/>
        <v>28141.935483870966</v>
      </c>
    </row>
    <row r="9" spans="1:42" x14ac:dyDescent="0.25">
      <c r="B9" t="s">
        <v>44</v>
      </c>
      <c r="C9" t="s">
        <v>744</v>
      </c>
      <c r="D9" t="s">
        <v>236</v>
      </c>
      <c r="E9" t="s">
        <v>236</v>
      </c>
      <c r="F9" t="s">
        <v>236</v>
      </c>
      <c r="G9" t="s">
        <v>236</v>
      </c>
      <c r="H9" t="s">
        <v>236</v>
      </c>
      <c r="I9">
        <v>0</v>
      </c>
      <c r="J9" s="80" t="str">
        <f t="array" ref="J9">_xlfn.IFNA(INDEX(H2Storage!$F$3:$J$16,MATCH('H2Storage-TSData'!$B9&amp;'H2Storage-TSData'!$C9,H2Storage!$B$3:$B$16&amp;H2Storage!$A$3:$A$16,0),MATCH(J$2,H2Storage!$F$2:$J$2,0)),"null")</f>
        <v>null</v>
      </c>
      <c r="K9" s="80" t="str">
        <f t="array" ref="K9">_xlfn.IFNA(INDEX(H2Storage!$F$3:$J$16,MATCH('H2Storage-TSData'!$B9&amp;'H2Storage-TSData'!$C9,H2Storage!$B$3:$B$16&amp;H2Storage!$A$3:$A$16,0),MATCH(K$2,H2Storage!$F$2:$J$2,0)),"null")</f>
        <v>null</v>
      </c>
      <c r="L9" s="80" t="str">
        <f t="array" ref="L9">_xlfn.IFNA(INDEX(H2Storage!$F$3:$J$16,MATCH('H2Storage-TSData'!$B9&amp;'H2Storage-TSData'!$C9,H2Storage!$B$3:$B$16&amp;H2Storage!$A$3:$A$16,0),MATCH(L$2,H2Storage!$F$2:$J$2,0)),"null")</f>
        <v>null</v>
      </c>
      <c r="M9" s="80" t="str">
        <f t="array" ref="M9">_xlfn.IFNA(INDEX(H2Storage!$F$3:$J$16,MATCH('H2Storage-TSData'!$B9&amp;'H2Storage-TSData'!$C9,H2Storage!$B$3:$B$16&amp;H2Storage!$A$3:$A$16,0),MATCH(M$2,H2Storage!$F$2:$J$2,0)),"null")</f>
        <v>null</v>
      </c>
      <c r="N9" s="80" t="str">
        <f t="array" ref="N9">_xlfn.IFNA(INDEX(H2Storage!$F$3:$J$16,MATCH('H2Storage-TSData'!$B9&amp;'H2Storage-TSData'!$C9,H2Storage!$B$3:$B$16&amp;H2Storage!$A$3:$A$16,0),MATCH(N$2,H2Storage!$F$2:$J$2,0)),"null")</f>
        <v>null</v>
      </c>
      <c r="O9" s="80" t="str">
        <f t="array" ref="O9">_xlfn.IFNA(INDEX(H2Storage!$F$3:$J$16,MATCH('H2Storage-TSData'!$B9&amp;'H2Storage-TSData'!$C9,H2Storage!$B$3:$B$16&amp;H2Storage!$A$3:$A$16,0),MATCH(O$2,H2Storage!$F$2:$J$2,0)),"null")</f>
        <v>null</v>
      </c>
      <c r="P9" s="80" t="str">
        <f t="array" ref="P9">_xlfn.IFNA(INDEX(H2Storage!$F$3:$J$16,MATCH('H2Storage-TSData'!$B9&amp;'H2Storage-TSData'!$C9,H2Storage!$B$3:$B$16&amp;H2Storage!$A$3:$A$16,0),MATCH(P$2,H2Storage!$F$2:$J$2,0)),"null")</f>
        <v>null</v>
      </c>
      <c r="Q9" s="80" t="str">
        <f t="array" ref="Q9">_xlfn.IFNA(INDEX(H2Storage!$F$3:$J$16,MATCH('H2Storage-TSData'!$B9&amp;'H2Storage-TSData'!$C9,H2Storage!$B$3:$B$16&amp;H2Storage!$A$3:$A$16,0),MATCH(Q$2,H2Storage!$F$2:$J$2,0)),"null")</f>
        <v>null</v>
      </c>
      <c r="R9" s="80">
        <f t="array" ref="R9">_xlfn.IFNA(INDEX(H2Storage!$F$3:$J$16,MATCH('H2Storage-TSData'!$B9&amp;'H2Storage-TSData'!$C9,H2Storage!$B$3:$B$16&amp;H2Storage!$A$3:$A$16,0),MATCH(R$2,H2Storage!$F$2:$J$2,0)),"null")</f>
        <v>1406.8837552284142</v>
      </c>
      <c r="S9" s="80" t="str">
        <f t="array" ref="S9">_xlfn.IFNA(INDEX(H2Storage!$F$3:$J$16,MATCH('H2Storage-TSData'!$B9&amp;'H2Storage-TSData'!$C9,H2Storage!$B$3:$B$16&amp;H2Storage!$A$3:$A$16,0),MATCH(S$2,H2Storage!$F$2:$J$2,0)),"null")</f>
        <v>null</v>
      </c>
      <c r="T9" s="80" t="str">
        <f t="array" ref="T9">_xlfn.IFNA(INDEX(H2Storage!$F$3:$J$16,MATCH('H2Storage-TSData'!$B9&amp;'H2Storage-TSData'!$C9,H2Storage!$B$3:$B$16&amp;H2Storage!$A$3:$A$16,0),MATCH(T$2,H2Storage!$F$2:$J$2,0)),"null")</f>
        <v>null</v>
      </c>
      <c r="U9" s="80" t="str">
        <f t="array" ref="U9">_xlfn.IFNA(INDEX(H2Storage!$F$3:$J$16,MATCH('H2Storage-TSData'!$B9&amp;'H2Storage-TSData'!$C9,H2Storage!$B$3:$B$16&amp;H2Storage!$A$3:$A$16,0),MATCH(U$2,H2Storage!$F$2:$J$2,0)),"null")</f>
        <v>null</v>
      </c>
      <c r="V9" s="80" t="str">
        <f t="array" ref="V9">_xlfn.IFNA(INDEX(H2Storage!$F$3:$J$16,MATCH('H2Storage-TSData'!$B9&amp;'H2Storage-TSData'!$C9,H2Storage!$B$3:$B$16&amp;H2Storage!$A$3:$A$16,0),MATCH(V$2,H2Storage!$F$2:$J$2,0)),"null")</f>
        <v>null</v>
      </c>
      <c r="W9" s="80" t="str">
        <f t="array" ref="W9">_xlfn.IFNA(INDEX(H2Storage!$F$3:$J$16,MATCH('H2Storage-TSData'!$B9&amp;'H2Storage-TSData'!$C9,H2Storage!$B$3:$B$16&amp;H2Storage!$A$3:$A$16,0),MATCH(W$2,H2Storage!$F$2:$J$2,0)),"null")</f>
        <v>null</v>
      </c>
      <c r="X9" s="80" t="str">
        <f t="array" ref="X9">_xlfn.IFNA(INDEX(H2Storage!$F$3:$J$16,MATCH('H2Storage-TSData'!$B9&amp;'H2Storage-TSData'!$C9,H2Storage!$B$3:$B$16&amp;H2Storage!$A$3:$A$16,0),MATCH(X$2,H2Storage!$F$2:$J$2,0)),"null")</f>
        <v>null</v>
      </c>
      <c r="Y9" s="80" t="str">
        <f t="array" ref="Y9">_xlfn.IFNA(INDEX(H2Storage!$F$3:$J$16,MATCH('H2Storage-TSData'!$B9&amp;'H2Storage-TSData'!$C9,H2Storage!$B$3:$B$16&amp;H2Storage!$A$3:$A$16,0),MATCH(Y$2,H2Storage!$F$2:$J$2,0)),"null")</f>
        <v>null</v>
      </c>
      <c r="Z9" s="80" t="str">
        <f t="array" ref="Z9">_xlfn.IFNA(INDEX(H2Storage!$F$3:$J$16,MATCH('H2Storage-TSData'!$B9&amp;'H2Storage-TSData'!$C9,H2Storage!$B$3:$B$16&amp;H2Storage!$A$3:$A$16,0),MATCH(Z$2,H2Storage!$F$2:$J$2,0)),"null")</f>
        <v>null</v>
      </c>
      <c r="AA9" s="80" t="str">
        <f t="array" ref="AA9">_xlfn.IFNA(INDEX(H2Storage!$F$3:$J$16,MATCH('H2Storage-TSData'!$B9&amp;'H2Storage-TSData'!$C9,H2Storage!$B$3:$B$16&amp;H2Storage!$A$3:$A$16,0),MATCH(AA$2,H2Storage!$F$2:$J$2,0)),"null")</f>
        <v>null</v>
      </c>
      <c r="AB9" s="80">
        <f t="array" ref="AB9">_xlfn.IFNA(INDEX(H2Storage!$F$3:$J$16,MATCH('H2Storage-TSData'!$B9&amp;'H2Storage-TSData'!$C9,H2Storage!$B$3:$B$16&amp;H2Storage!$A$3:$A$16,0),MATCH(AB$2,H2Storage!$F$2:$J$2,0)),"null")</f>
        <v>1310.2343880099918</v>
      </c>
      <c r="AC9" s="80" t="str">
        <f t="array" ref="AC9">_xlfn.IFNA(INDEX(H2Storage!$F$3:$J$16,MATCH('H2Storage-TSData'!$B9&amp;'H2Storage-TSData'!$C9,H2Storage!$B$3:$B$16&amp;H2Storage!$A$3:$A$16,0),MATCH(AC$2,H2Storage!$F$2:$J$2,0)),"null")</f>
        <v>null</v>
      </c>
      <c r="AD9" s="80" t="str">
        <f t="array" ref="AD9">_xlfn.IFNA(INDEX(H2Storage!$F$3:$J$16,MATCH('H2Storage-TSData'!$B9&amp;'H2Storage-TSData'!$C9,H2Storage!$B$3:$B$16&amp;H2Storage!$A$3:$A$16,0),MATCH(AD$2,H2Storage!$F$2:$J$2,0)),"null")</f>
        <v>null</v>
      </c>
      <c r="AE9" s="80" t="str">
        <f t="array" ref="AE9">_xlfn.IFNA(INDEX(H2Storage!$F$3:$J$16,MATCH('H2Storage-TSData'!$B9&amp;'H2Storage-TSData'!$C9,H2Storage!$B$3:$B$16&amp;H2Storage!$A$3:$A$16,0),MATCH(AE$2,H2Storage!$F$2:$J$2,0)),"null")</f>
        <v>null</v>
      </c>
      <c r="AF9" s="80" t="str">
        <f t="array" ref="AF9">_xlfn.IFNA(INDEX(H2Storage!$F$3:$J$16,MATCH('H2Storage-TSData'!$B9&amp;'H2Storage-TSData'!$C9,H2Storage!$B$3:$B$16&amp;H2Storage!$A$3:$A$16,0),MATCH(AF$2,H2Storage!$F$2:$J$2,0)),"null")</f>
        <v>null</v>
      </c>
      <c r="AG9" s="80">
        <f t="array" ref="AG9">_xlfn.IFNA(INDEX(H2Storage!$F$3:$J$16,MATCH('H2Storage-TSData'!$B9&amp;'H2Storage-TSData'!$C9,H2Storage!$B$3:$B$16&amp;H2Storage!$A$3:$A$16,0),MATCH(AG$2,H2Storage!$F$2:$J$2,0)),"null")</f>
        <v>975.36058660793424</v>
      </c>
      <c r="AH9" s="80" t="str">
        <f t="array" ref="AH9">_xlfn.IFNA(INDEX(H2Storage!$F$3:$J$16,MATCH('H2Storage-TSData'!$B9&amp;'H2Storage-TSData'!$C9,H2Storage!$B$3:$B$16&amp;H2Storage!$A$3:$A$16,0),MATCH(AH$2,H2Storage!$F$2:$J$2,0)),"null")</f>
        <v>null</v>
      </c>
      <c r="AI9" s="80" t="str">
        <f t="array" ref="AI9">_xlfn.IFNA(INDEX(H2Storage!$F$3:$J$16,MATCH('H2Storage-TSData'!$B9&amp;'H2Storage-TSData'!$C9,H2Storage!$B$3:$B$16&amp;H2Storage!$A$3:$A$16,0),MATCH(AI$2,H2Storage!$F$2:$J$2,0)),"null")</f>
        <v>null</v>
      </c>
      <c r="AJ9" s="80" t="str">
        <f t="array" ref="AJ9">_xlfn.IFNA(INDEX(H2Storage!$F$3:$J$16,MATCH('H2Storage-TSData'!$B9&amp;'H2Storage-TSData'!$C9,H2Storage!$B$3:$B$16&amp;H2Storage!$A$3:$A$16,0),MATCH(AJ$2,H2Storage!$F$2:$J$2,0)),"null")</f>
        <v>null</v>
      </c>
      <c r="AK9" s="80" t="str">
        <f t="array" ref="AK9">_xlfn.IFNA(INDEX(H2Storage!$F$3:$J$16,MATCH('H2Storage-TSData'!$B9&amp;'H2Storage-TSData'!$C9,H2Storage!$B$3:$B$16&amp;H2Storage!$A$3:$A$16,0),MATCH(AK$2,H2Storage!$F$2:$J$2,0)),"null")</f>
        <v>null</v>
      </c>
      <c r="AL9" s="80">
        <f t="array" ref="AL9">_xlfn.IFNA(INDEX(H2Storage!$F$3:$J$16,MATCH('H2Storage-TSData'!$B9&amp;'H2Storage-TSData'!$C9,H2Storage!$B$3:$B$16&amp;H2Storage!$A$3:$A$16,0),MATCH(AL$2,H2Storage!$F$2:$J$2,0)),"null")</f>
        <v>844.25806451612891</v>
      </c>
      <c r="AM9" s="80" t="str">
        <f t="array" ref="AM9">_xlfn.IFNA(INDEX(H2Storage!$F$3:$J$16,MATCH('H2Storage-TSData'!$B9&amp;'H2Storage-TSData'!$C9,H2Storage!$B$3:$B$16&amp;H2Storage!$A$3:$A$16,0),MATCH(AM$2,H2Storage!$F$2:$J$2,0)),"null")</f>
        <v>null</v>
      </c>
      <c r="AN9" s="80">
        <f t="array" ref="AN9">_xlfn.IFNA(INDEX(H2Storage!$F$3:$J$16,MATCH('H2Storage-TSData'!$B9&amp;'H2Storage-TSData'!$C9,H2Storage!$B$3:$B$16&amp;H2Storage!$A$3:$A$16,0),MATCH(AN$2,H2Storage!$F$2:$J$2,0)),"null")</f>
        <v>844.25806451612891</v>
      </c>
      <c r="AO9" s="82">
        <f t="shared" si="1"/>
        <v>844.25806451612891</v>
      </c>
      <c r="AP9" s="82">
        <f t="shared" si="1"/>
        <v>844.25806451612891</v>
      </c>
    </row>
    <row r="10" spans="1:42" x14ac:dyDescent="0.25">
      <c r="B10" t="s">
        <v>47</v>
      </c>
      <c r="C10" t="s">
        <v>744</v>
      </c>
      <c r="D10" t="s">
        <v>236</v>
      </c>
      <c r="E10" t="s">
        <v>236</v>
      </c>
      <c r="F10" t="s">
        <v>236</v>
      </c>
      <c r="G10" t="s">
        <v>236</v>
      </c>
      <c r="H10" t="s">
        <v>236</v>
      </c>
      <c r="I10">
        <v>0</v>
      </c>
      <c r="J10" t="s">
        <v>756</v>
      </c>
      <c r="K10" t="s">
        <v>756</v>
      </c>
      <c r="L10" t="s">
        <v>756</v>
      </c>
      <c r="M10" t="s">
        <v>756</v>
      </c>
      <c r="N10" t="s">
        <v>756</v>
      </c>
      <c r="O10" t="s">
        <v>756</v>
      </c>
      <c r="P10" t="s">
        <v>756</v>
      </c>
      <c r="Q10" t="s">
        <v>756</v>
      </c>
      <c r="R10">
        <v>-1</v>
      </c>
      <c r="S10" t="s">
        <v>756</v>
      </c>
      <c r="T10" t="s">
        <v>756</v>
      </c>
      <c r="U10" t="s">
        <v>756</v>
      </c>
      <c r="V10" t="s">
        <v>756</v>
      </c>
      <c r="W10" t="s">
        <v>756</v>
      </c>
      <c r="X10" t="s">
        <v>756</v>
      </c>
      <c r="Y10" t="s">
        <v>756</v>
      </c>
      <c r="Z10" t="s">
        <v>756</v>
      </c>
      <c r="AA10" t="s">
        <v>756</v>
      </c>
      <c r="AB10" t="s">
        <v>756</v>
      </c>
      <c r="AC10" t="s">
        <v>756</v>
      </c>
      <c r="AD10" t="s">
        <v>756</v>
      </c>
      <c r="AE10" t="s">
        <v>756</v>
      </c>
      <c r="AF10" t="s">
        <v>756</v>
      </c>
      <c r="AG10" t="s">
        <v>756</v>
      </c>
      <c r="AH10" t="s">
        <v>756</v>
      </c>
      <c r="AI10" t="s">
        <v>756</v>
      </c>
      <c r="AJ10" t="s">
        <v>756</v>
      </c>
      <c r="AK10" t="s">
        <v>756</v>
      </c>
      <c r="AL10" t="s">
        <v>756</v>
      </c>
      <c r="AM10" t="s">
        <v>756</v>
      </c>
      <c r="AN10" t="s">
        <v>756</v>
      </c>
      <c r="AO10" s="82" t="str">
        <f t="shared" si="1"/>
        <v>null</v>
      </c>
      <c r="AP10" s="82" t="str">
        <f t="shared" si="1"/>
        <v>null</v>
      </c>
    </row>
    <row r="11" spans="1:42" x14ac:dyDescent="0.25">
      <c r="B11" t="s">
        <v>757</v>
      </c>
      <c r="C11" t="s">
        <v>744</v>
      </c>
      <c r="D11" t="s">
        <v>236</v>
      </c>
      <c r="E11" t="s">
        <v>236</v>
      </c>
      <c r="F11" t="s">
        <v>236</v>
      </c>
      <c r="G11" t="s">
        <v>291</v>
      </c>
      <c r="H11" t="s">
        <v>236</v>
      </c>
      <c r="I11">
        <v>0</v>
      </c>
      <c r="J11" t="s">
        <v>756</v>
      </c>
      <c r="K11" t="s">
        <v>756</v>
      </c>
      <c r="L11" t="s">
        <v>756</v>
      </c>
      <c r="M11" t="s">
        <v>756</v>
      </c>
      <c r="N11" t="s">
        <v>756</v>
      </c>
      <c r="O11" t="s">
        <v>756</v>
      </c>
      <c r="P11" t="s">
        <v>756</v>
      </c>
      <c r="Q11" t="s">
        <v>756</v>
      </c>
      <c r="R11">
        <v>1</v>
      </c>
      <c r="S11" t="s">
        <v>756</v>
      </c>
      <c r="T11" t="s">
        <v>756</v>
      </c>
      <c r="U11" t="s">
        <v>756</v>
      </c>
      <c r="V11" t="s">
        <v>756</v>
      </c>
      <c r="W11" t="s">
        <v>756</v>
      </c>
      <c r="X11" t="s">
        <v>756</v>
      </c>
      <c r="Y11" t="s">
        <v>756</v>
      </c>
      <c r="Z11" t="s">
        <v>756</v>
      </c>
      <c r="AA11" t="s">
        <v>756</v>
      </c>
      <c r="AB11" t="s">
        <v>756</v>
      </c>
      <c r="AC11" t="s">
        <v>756</v>
      </c>
      <c r="AD11" t="s">
        <v>756</v>
      </c>
      <c r="AE11" t="s">
        <v>756</v>
      </c>
      <c r="AF11" t="s">
        <v>756</v>
      </c>
      <c r="AG11" t="s">
        <v>756</v>
      </c>
      <c r="AH11" t="s">
        <v>756</v>
      </c>
      <c r="AI11" t="s">
        <v>756</v>
      </c>
      <c r="AJ11" t="s">
        <v>756</v>
      </c>
      <c r="AK11" t="s">
        <v>756</v>
      </c>
      <c r="AL11" t="s">
        <v>756</v>
      </c>
      <c r="AM11" t="s">
        <v>756</v>
      </c>
      <c r="AN11" t="s">
        <v>756</v>
      </c>
      <c r="AO11" s="82" t="str">
        <f t="shared" si="1"/>
        <v>null</v>
      </c>
      <c r="AP11" s="82" t="str">
        <f t="shared" si="1"/>
        <v>null</v>
      </c>
    </row>
    <row r="12" spans="1:42" x14ac:dyDescent="0.25">
      <c r="B12" t="s">
        <v>239</v>
      </c>
      <c r="C12" t="s">
        <v>744</v>
      </c>
      <c r="D12" t="s">
        <v>236</v>
      </c>
      <c r="E12" t="s">
        <v>236</v>
      </c>
      <c r="F12" t="s">
        <v>236</v>
      </c>
      <c r="G12" t="s">
        <v>236</v>
      </c>
      <c r="H12" t="s">
        <v>236</v>
      </c>
      <c r="I12">
        <v>0</v>
      </c>
      <c r="J12" s="80" t="str">
        <f t="array" ref="J12">_xlfn.IFNA(INDEX(H2Storage!$F$3:$J$16,MATCH('H2Storage-TSData'!$B12&amp;'H2Storage-TSData'!$C12,H2Storage!$B$3:$B$16&amp;H2Storage!$A$3:$A$16,0),MATCH(J$2,H2Storage!$F$2:$J$2,0)),"null")</f>
        <v>null</v>
      </c>
      <c r="K12" s="80" t="str">
        <f t="array" ref="K12">_xlfn.IFNA(INDEX(H2Storage!$F$3:$J$16,MATCH('H2Storage-TSData'!$B12&amp;'H2Storage-TSData'!$C12,H2Storage!$B$3:$B$16&amp;H2Storage!$A$3:$A$16,0),MATCH(K$2,H2Storage!$F$2:$J$2,0)),"null")</f>
        <v>null</v>
      </c>
      <c r="L12" s="80" t="str">
        <f t="array" ref="L12">_xlfn.IFNA(INDEX(H2Storage!$F$3:$J$16,MATCH('H2Storage-TSData'!$B12&amp;'H2Storage-TSData'!$C12,H2Storage!$B$3:$B$16&amp;H2Storage!$A$3:$A$16,0),MATCH(L$2,H2Storage!$F$2:$J$2,0)),"null")</f>
        <v>null</v>
      </c>
      <c r="M12" s="80" t="str">
        <f t="array" ref="M12">_xlfn.IFNA(INDEX(H2Storage!$F$3:$J$16,MATCH('H2Storage-TSData'!$B12&amp;'H2Storage-TSData'!$C12,H2Storage!$B$3:$B$16&amp;H2Storage!$A$3:$A$16,0),MATCH(M$2,H2Storage!$F$2:$J$2,0)),"null")</f>
        <v>null</v>
      </c>
      <c r="N12" s="80" t="str">
        <f t="array" ref="N12">_xlfn.IFNA(INDEX(H2Storage!$F$3:$J$16,MATCH('H2Storage-TSData'!$B12&amp;'H2Storage-TSData'!$C12,H2Storage!$B$3:$B$16&amp;H2Storage!$A$3:$A$16,0),MATCH(N$2,H2Storage!$F$2:$J$2,0)),"null")</f>
        <v>null</v>
      </c>
      <c r="O12" s="80" t="str">
        <f t="array" ref="O12">_xlfn.IFNA(INDEX(H2Storage!$F$3:$J$16,MATCH('H2Storage-TSData'!$B12&amp;'H2Storage-TSData'!$C12,H2Storage!$B$3:$B$16&amp;H2Storage!$A$3:$A$16,0),MATCH(O$2,H2Storage!$F$2:$J$2,0)),"null")</f>
        <v>null</v>
      </c>
      <c r="P12" s="80" t="str">
        <f t="array" ref="P12">_xlfn.IFNA(INDEX(H2Storage!$F$3:$J$16,MATCH('H2Storage-TSData'!$B12&amp;'H2Storage-TSData'!$C12,H2Storage!$B$3:$B$16&amp;H2Storage!$A$3:$A$16,0),MATCH(P$2,H2Storage!$F$2:$J$2,0)),"null")</f>
        <v>null</v>
      </c>
      <c r="Q12" s="80" t="str">
        <f t="array" ref="Q12">_xlfn.IFNA(INDEX(H2Storage!$F$3:$J$16,MATCH('H2Storage-TSData'!$B12&amp;'H2Storage-TSData'!$C12,H2Storage!$B$3:$B$16&amp;H2Storage!$A$3:$A$16,0),MATCH(Q$2,H2Storage!$F$2:$J$2,0)),"null")</f>
        <v>null</v>
      </c>
      <c r="R12" s="80">
        <f t="array" ref="R12">_xlfn.IFNA(INDEX(H2Storage!$F$3:$J$16,MATCH('H2Storage-TSData'!$B12&amp;'H2Storage-TSData'!$C12,H2Storage!$B$3:$B$16&amp;H2Storage!$A$3:$A$16,0),MATCH(R$2,H2Storage!$F$2:$J$2,0)),"null")</f>
        <v>10</v>
      </c>
      <c r="S12" s="80" t="str">
        <f t="array" ref="S12">_xlfn.IFNA(INDEX(H2Storage!$F$3:$J$16,MATCH('H2Storage-TSData'!$B12&amp;'H2Storage-TSData'!$C12,H2Storage!$B$3:$B$16&amp;H2Storage!$A$3:$A$16,0),MATCH(S$2,H2Storage!$F$2:$J$2,0)),"null")</f>
        <v>null</v>
      </c>
      <c r="T12" s="80" t="str">
        <f t="array" ref="T12">_xlfn.IFNA(INDEX(H2Storage!$F$3:$J$16,MATCH('H2Storage-TSData'!$B12&amp;'H2Storage-TSData'!$C12,H2Storage!$B$3:$B$16&amp;H2Storage!$A$3:$A$16,0),MATCH(T$2,H2Storage!$F$2:$J$2,0)),"null")</f>
        <v>null</v>
      </c>
      <c r="U12" s="80" t="str">
        <f t="array" ref="U12">_xlfn.IFNA(INDEX(H2Storage!$F$3:$J$16,MATCH('H2Storage-TSData'!$B12&amp;'H2Storage-TSData'!$C12,H2Storage!$B$3:$B$16&amp;H2Storage!$A$3:$A$16,0),MATCH(U$2,H2Storage!$F$2:$J$2,0)),"null")</f>
        <v>null</v>
      </c>
      <c r="V12" s="80" t="str">
        <f t="array" ref="V12">_xlfn.IFNA(INDEX(H2Storage!$F$3:$J$16,MATCH('H2Storage-TSData'!$B12&amp;'H2Storage-TSData'!$C12,H2Storage!$B$3:$B$16&amp;H2Storage!$A$3:$A$16,0),MATCH(V$2,H2Storage!$F$2:$J$2,0)),"null")</f>
        <v>null</v>
      </c>
      <c r="W12" s="80" t="str">
        <f t="array" ref="W12">_xlfn.IFNA(INDEX(H2Storage!$F$3:$J$16,MATCH('H2Storage-TSData'!$B12&amp;'H2Storage-TSData'!$C12,H2Storage!$B$3:$B$16&amp;H2Storage!$A$3:$A$16,0),MATCH(W$2,H2Storage!$F$2:$J$2,0)),"null")</f>
        <v>null</v>
      </c>
      <c r="X12" s="80" t="str">
        <f t="array" ref="X12">_xlfn.IFNA(INDEX(H2Storage!$F$3:$J$16,MATCH('H2Storage-TSData'!$B12&amp;'H2Storage-TSData'!$C12,H2Storage!$B$3:$B$16&amp;H2Storage!$A$3:$A$16,0),MATCH(X$2,H2Storage!$F$2:$J$2,0)),"null")</f>
        <v>null</v>
      </c>
      <c r="Y12" s="80" t="str">
        <f t="array" ref="Y12">_xlfn.IFNA(INDEX(H2Storage!$F$3:$J$16,MATCH('H2Storage-TSData'!$B12&amp;'H2Storage-TSData'!$C12,H2Storage!$B$3:$B$16&amp;H2Storage!$A$3:$A$16,0),MATCH(Y$2,H2Storage!$F$2:$J$2,0)),"null")</f>
        <v>null</v>
      </c>
      <c r="Z12" s="80" t="str">
        <f t="array" ref="Z12">_xlfn.IFNA(INDEX(H2Storage!$F$3:$J$16,MATCH('H2Storage-TSData'!$B12&amp;'H2Storage-TSData'!$C12,H2Storage!$B$3:$B$16&amp;H2Storage!$A$3:$A$16,0),MATCH(Z$2,H2Storage!$F$2:$J$2,0)),"null")</f>
        <v>null</v>
      </c>
      <c r="AA12" s="80" t="str">
        <f t="array" ref="AA12">_xlfn.IFNA(INDEX(H2Storage!$F$3:$J$16,MATCH('H2Storage-TSData'!$B12&amp;'H2Storage-TSData'!$C12,H2Storage!$B$3:$B$16&amp;H2Storage!$A$3:$A$16,0),MATCH(AA$2,H2Storage!$F$2:$J$2,0)),"null")</f>
        <v>null</v>
      </c>
      <c r="AB12" s="80">
        <f t="array" ref="AB12">_xlfn.IFNA(INDEX(H2Storage!$F$3:$J$16,MATCH('H2Storage-TSData'!$B12&amp;'H2Storage-TSData'!$C12,H2Storage!$B$3:$B$16&amp;H2Storage!$A$3:$A$16,0),MATCH(AB$2,H2Storage!$F$2:$J$2,0)),"null")</f>
        <v>10</v>
      </c>
      <c r="AC12" s="80" t="str">
        <f t="array" ref="AC12">_xlfn.IFNA(INDEX(H2Storage!$F$3:$J$16,MATCH('H2Storage-TSData'!$B12&amp;'H2Storage-TSData'!$C12,H2Storage!$B$3:$B$16&amp;H2Storage!$A$3:$A$16,0),MATCH(AC$2,H2Storage!$F$2:$J$2,0)),"null")</f>
        <v>null</v>
      </c>
      <c r="AD12" s="80" t="str">
        <f t="array" ref="AD12">_xlfn.IFNA(INDEX(H2Storage!$F$3:$J$16,MATCH('H2Storage-TSData'!$B12&amp;'H2Storage-TSData'!$C12,H2Storage!$B$3:$B$16&amp;H2Storage!$A$3:$A$16,0),MATCH(AD$2,H2Storage!$F$2:$J$2,0)),"null")</f>
        <v>null</v>
      </c>
      <c r="AE12" s="80" t="str">
        <f t="array" ref="AE12">_xlfn.IFNA(INDEX(H2Storage!$F$3:$J$16,MATCH('H2Storage-TSData'!$B12&amp;'H2Storage-TSData'!$C12,H2Storage!$B$3:$B$16&amp;H2Storage!$A$3:$A$16,0),MATCH(AE$2,H2Storage!$F$2:$J$2,0)),"null")</f>
        <v>null</v>
      </c>
      <c r="AF12" s="80" t="str">
        <f t="array" ref="AF12">_xlfn.IFNA(INDEX(H2Storage!$F$3:$J$16,MATCH('H2Storage-TSData'!$B12&amp;'H2Storage-TSData'!$C12,H2Storage!$B$3:$B$16&amp;H2Storage!$A$3:$A$16,0),MATCH(AF$2,H2Storage!$F$2:$J$2,0)),"null")</f>
        <v>null</v>
      </c>
      <c r="AG12" s="80">
        <f t="array" ref="AG12">_xlfn.IFNA(INDEX(H2Storage!$F$3:$J$16,MATCH('H2Storage-TSData'!$B12&amp;'H2Storage-TSData'!$C12,H2Storage!$B$3:$B$16&amp;H2Storage!$A$3:$A$16,0),MATCH(AG$2,H2Storage!$F$2:$J$2,0)),"null")</f>
        <v>10</v>
      </c>
      <c r="AH12" s="80" t="str">
        <f t="array" ref="AH12">_xlfn.IFNA(INDEX(H2Storage!$F$3:$J$16,MATCH('H2Storage-TSData'!$B12&amp;'H2Storage-TSData'!$C12,H2Storage!$B$3:$B$16&amp;H2Storage!$A$3:$A$16,0),MATCH(AH$2,H2Storage!$F$2:$J$2,0)),"null")</f>
        <v>null</v>
      </c>
      <c r="AI12" s="80" t="str">
        <f t="array" ref="AI12">_xlfn.IFNA(INDEX(H2Storage!$F$3:$J$16,MATCH('H2Storage-TSData'!$B12&amp;'H2Storage-TSData'!$C12,H2Storage!$B$3:$B$16&amp;H2Storage!$A$3:$A$16,0),MATCH(AI$2,H2Storage!$F$2:$J$2,0)),"null")</f>
        <v>null</v>
      </c>
      <c r="AJ12" s="80" t="str">
        <f t="array" ref="AJ12">_xlfn.IFNA(INDEX(H2Storage!$F$3:$J$16,MATCH('H2Storage-TSData'!$B12&amp;'H2Storage-TSData'!$C12,H2Storage!$B$3:$B$16&amp;H2Storage!$A$3:$A$16,0),MATCH(AJ$2,H2Storage!$F$2:$J$2,0)),"null")</f>
        <v>null</v>
      </c>
      <c r="AK12" s="80" t="str">
        <f t="array" ref="AK12">_xlfn.IFNA(INDEX(H2Storage!$F$3:$J$16,MATCH('H2Storage-TSData'!$B12&amp;'H2Storage-TSData'!$C12,H2Storage!$B$3:$B$16&amp;H2Storage!$A$3:$A$16,0),MATCH(AK$2,H2Storage!$F$2:$J$2,0)),"null")</f>
        <v>null</v>
      </c>
      <c r="AL12" s="80">
        <f t="array" ref="AL12">_xlfn.IFNA(INDEX(H2Storage!$F$3:$J$16,MATCH('H2Storage-TSData'!$B12&amp;'H2Storage-TSData'!$C12,H2Storage!$B$3:$B$16&amp;H2Storage!$A$3:$A$16,0),MATCH(AL$2,H2Storage!$F$2:$J$2,0)),"null")</f>
        <v>15</v>
      </c>
      <c r="AM12" s="80" t="str">
        <f t="array" ref="AM12">_xlfn.IFNA(INDEX(H2Storage!$F$3:$J$16,MATCH('H2Storage-TSData'!$B12&amp;'H2Storage-TSData'!$C12,H2Storage!$B$3:$B$16&amp;H2Storage!$A$3:$A$16,0),MATCH(AM$2,H2Storage!$F$2:$J$2,0)),"null")</f>
        <v>null</v>
      </c>
      <c r="AN12" s="80">
        <f t="array" ref="AN12">_xlfn.IFNA(INDEX(H2Storage!$F$3:$J$16,MATCH('H2Storage-TSData'!$B12&amp;'H2Storage-TSData'!$C12,H2Storage!$B$3:$B$16&amp;H2Storage!$A$3:$A$16,0),MATCH(AN$2,H2Storage!$F$2:$J$2,0)),"null")</f>
        <v>15</v>
      </c>
      <c r="AO12" s="82">
        <f t="shared" si="1"/>
        <v>15</v>
      </c>
      <c r="AP12" s="82">
        <f t="shared" si="1"/>
        <v>15</v>
      </c>
    </row>
    <row r="13" spans="1:42" x14ac:dyDescent="0.25">
      <c r="B13" t="s">
        <v>264</v>
      </c>
      <c r="C13" t="s">
        <v>740</v>
      </c>
      <c r="D13" t="s">
        <v>236</v>
      </c>
      <c r="E13" t="s">
        <v>741</v>
      </c>
      <c r="F13" t="s">
        <v>236</v>
      </c>
      <c r="G13" t="s">
        <v>236</v>
      </c>
      <c r="H13" t="s">
        <v>236</v>
      </c>
      <c r="I13">
        <v>0</v>
      </c>
      <c r="J13" s="83" t="str">
        <f t="array" ref="J13">_xlfn.IFNA(INDEX(H2Storage!$F$3:$J$16,MATCH('H2Storage-TSData'!$B13&amp;'H2Storage-TSData'!$C13,H2Storage!$B$3:$B$16&amp;H2Storage!$A$3:$A$16,0),MATCH(J$2,H2Storage!$F$2:$J$2,0)),"null")</f>
        <v>null</v>
      </c>
      <c r="K13" s="83" t="str">
        <f t="array" ref="K13">_xlfn.IFNA(INDEX(H2Storage!$F$3:$J$16,MATCH('H2Storage-TSData'!$B13&amp;'H2Storage-TSData'!$C13,H2Storage!$B$3:$B$16&amp;H2Storage!$A$3:$A$16,0),MATCH(K$2,H2Storage!$F$2:$J$2,0)),"null")</f>
        <v>null</v>
      </c>
      <c r="L13" s="83" t="str">
        <f t="array" ref="L13">_xlfn.IFNA(INDEX(H2Storage!$F$3:$J$16,MATCH('H2Storage-TSData'!$B13&amp;'H2Storage-TSData'!$C13,H2Storage!$B$3:$B$16&amp;H2Storage!$A$3:$A$16,0),MATCH(L$2,H2Storage!$F$2:$J$2,0)),"null")</f>
        <v>null</v>
      </c>
      <c r="M13" s="83" t="str">
        <f t="array" ref="M13">_xlfn.IFNA(INDEX(H2Storage!$F$3:$J$16,MATCH('H2Storage-TSData'!$B13&amp;'H2Storage-TSData'!$C13,H2Storage!$B$3:$B$16&amp;H2Storage!$A$3:$A$16,0),MATCH(M$2,H2Storage!$F$2:$J$2,0)),"null")</f>
        <v>null</v>
      </c>
      <c r="N13" s="83" t="str">
        <f t="array" ref="N13">_xlfn.IFNA(INDEX(H2Storage!$F$3:$J$16,MATCH('H2Storage-TSData'!$B13&amp;'H2Storage-TSData'!$C13,H2Storage!$B$3:$B$16&amp;H2Storage!$A$3:$A$16,0),MATCH(N$2,H2Storage!$F$2:$J$2,0)),"null")</f>
        <v>null</v>
      </c>
      <c r="O13" s="83" t="str">
        <f t="array" ref="O13">_xlfn.IFNA(INDEX(H2Storage!$F$3:$J$16,MATCH('H2Storage-TSData'!$B13&amp;'H2Storage-TSData'!$C13,H2Storage!$B$3:$B$16&amp;H2Storage!$A$3:$A$16,0),MATCH(O$2,H2Storage!$F$2:$J$2,0)),"null")</f>
        <v>null</v>
      </c>
      <c r="P13" s="83" t="str">
        <f t="array" ref="P13">_xlfn.IFNA(INDEX(H2Storage!$F$3:$J$16,MATCH('H2Storage-TSData'!$B13&amp;'H2Storage-TSData'!$C13,H2Storage!$B$3:$B$16&amp;H2Storage!$A$3:$A$16,0),MATCH(P$2,H2Storage!$F$2:$J$2,0)),"null")</f>
        <v>null</v>
      </c>
      <c r="Q13" s="83" t="str">
        <f t="array" ref="Q13">_xlfn.IFNA(INDEX(H2Storage!$F$3:$J$16,MATCH('H2Storage-TSData'!$B13&amp;'H2Storage-TSData'!$C13,H2Storage!$B$3:$B$16&amp;H2Storage!$A$3:$A$16,0),MATCH(Q$2,H2Storage!$F$2:$J$2,0)),"null")</f>
        <v>null</v>
      </c>
      <c r="R13" s="83">
        <f t="array" ref="R13">_xlfn.IFNA(INDEX(H2Storage!$F$3:$J$16,MATCH('H2Storage-TSData'!$B13&amp;'H2Storage-TSData'!$C13,H2Storage!$B$3:$B$16&amp;H2Storage!$A$3:$A$16,0),MATCH(R$2,H2Storage!$F$2:$J$2,0)),"null")</f>
        <v>3.0332436967337745E-2</v>
      </c>
      <c r="S13" s="83" t="str">
        <f t="array" ref="S13">_xlfn.IFNA(INDEX(H2Storage!$F$3:$J$16,MATCH('H2Storage-TSData'!$B13&amp;'H2Storage-TSData'!$C13,H2Storage!$B$3:$B$16&amp;H2Storage!$A$3:$A$16,0),MATCH(S$2,H2Storage!$F$2:$J$2,0)),"null")</f>
        <v>null</v>
      </c>
      <c r="T13" s="83" t="str">
        <f t="array" ref="T13">_xlfn.IFNA(INDEX(H2Storage!$F$3:$J$16,MATCH('H2Storage-TSData'!$B13&amp;'H2Storage-TSData'!$C13,H2Storage!$B$3:$B$16&amp;H2Storage!$A$3:$A$16,0),MATCH(T$2,H2Storage!$F$2:$J$2,0)),"null")</f>
        <v>null</v>
      </c>
      <c r="U13" s="83" t="str">
        <f t="array" ref="U13">_xlfn.IFNA(INDEX(H2Storage!$F$3:$J$16,MATCH('H2Storage-TSData'!$B13&amp;'H2Storage-TSData'!$C13,H2Storage!$B$3:$B$16&amp;H2Storage!$A$3:$A$16,0),MATCH(U$2,H2Storage!$F$2:$J$2,0)),"null")</f>
        <v>null</v>
      </c>
      <c r="V13" s="83" t="str">
        <f t="array" ref="V13">_xlfn.IFNA(INDEX(H2Storage!$F$3:$J$16,MATCH('H2Storage-TSData'!$B13&amp;'H2Storage-TSData'!$C13,H2Storage!$B$3:$B$16&amp;H2Storage!$A$3:$A$16,0),MATCH(V$2,H2Storage!$F$2:$J$2,0)),"null")</f>
        <v>null</v>
      </c>
      <c r="W13" s="83" t="str">
        <f t="array" ref="W13">_xlfn.IFNA(INDEX(H2Storage!$F$3:$J$16,MATCH('H2Storage-TSData'!$B13&amp;'H2Storage-TSData'!$C13,H2Storage!$B$3:$B$16&amp;H2Storage!$A$3:$A$16,0),MATCH(W$2,H2Storage!$F$2:$J$2,0)),"null")</f>
        <v>null</v>
      </c>
      <c r="X13" s="83" t="str">
        <f t="array" ref="X13">_xlfn.IFNA(INDEX(H2Storage!$F$3:$J$16,MATCH('H2Storage-TSData'!$B13&amp;'H2Storage-TSData'!$C13,H2Storage!$B$3:$B$16&amp;H2Storage!$A$3:$A$16,0),MATCH(X$2,H2Storage!$F$2:$J$2,0)),"null")</f>
        <v>null</v>
      </c>
      <c r="Y13" s="83" t="str">
        <f t="array" ref="Y13">_xlfn.IFNA(INDEX(H2Storage!$F$3:$J$16,MATCH('H2Storage-TSData'!$B13&amp;'H2Storage-TSData'!$C13,H2Storage!$B$3:$B$16&amp;H2Storage!$A$3:$A$16,0),MATCH(Y$2,H2Storage!$F$2:$J$2,0)),"null")</f>
        <v>null</v>
      </c>
      <c r="Z13" s="83" t="str">
        <f t="array" ref="Z13">_xlfn.IFNA(INDEX(H2Storage!$F$3:$J$16,MATCH('H2Storage-TSData'!$B13&amp;'H2Storage-TSData'!$C13,H2Storage!$B$3:$B$16&amp;H2Storage!$A$3:$A$16,0),MATCH(Z$2,H2Storage!$F$2:$J$2,0)),"null")</f>
        <v>null</v>
      </c>
      <c r="AA13" s="83" t="str">
        <f t="array" ref="AA13">_xlfn.IFNA(INDEX(H2Storage!$F$3:$J$16,MATCH('H2Storage-TSData'!$B13&amp;'H2Storage-TSData'!$C13,H2Storage!$B$3:$B$16&amp;H2Storage!$A$3:$A$16,0),MATCH(AA$2,H2Storage!$F$2:$J$2,0)),"null")</f>
        <v>null</v>
      </c>
      <c r="AB13" s="83">
        <f t="array" ref="AB13">_xlfn.IFNA(INDEX(H2Storage!$F$3:$J$16,MATCH('H2Storage-TSData'!$B13&amp;'H2Storage-TSData'!$C13,H2Storage!$B$3:$B$16&amp;H2Storage!$A$3:$A$16,0),MATCH(AB$2,H2Storage!$F$2:$J$2,0)),"null")</f>
        <v>3.0332436967337745E-2</v>
      </c>
      <c r="AC13" s="83" t="str">
        <f t="array" ref="AC13">_xlfn.IFNA(INDEX(H2Storage!$F$3:$J$16,MATCH('H2Storage-TSData'!$B13&amp;'H2Storage-TSData'!$C13,H2Storage!$B$3:$B$16&amp;H2Storage!$A$3:$A$16,0),MATCH(AC$2,H2Storage!$F$2:$J$2,0)),"null")</f>
        <v>null</v>
      </c>
      <c r="AD13" s="83" t="str">
        <f t="array" ref="AD13">_xlfn.IFNA(INDEX(H2Storage!$F$3:$J$16,MATCH('H2Storage-TSData'!$B13&amp;'H2Storage-TSData'!$C13,H2Storage!$B$3:$B$16&amp;H2Storage!$A$3:$A$16,0),MATCH(AD$2,H2Storage!$F$2:$J$2,0)),"null")</f>
        <v>null</v>
      </c>
      <c r="AE13" s="83" t="str">
        <f t="array" ref="AE13">_xlfn.IFNA(INDEX(H2Storage!$F$3:$J$16,MATCH('H2Storage-TSData'!$B13&amp;'H2Storage-TSData'!$C13,H2Storage!$B$3:$B$16&amp;H2Storage!$A$3:$A$16,0),MATCH(AE$2,H2Storage!$F$2:$J$2,0)),"null")</f>
        <v>null</v>
      </c>
      <c r="AF13" s="83" t="str">
        <f t="array" ref="AF13">_xlfn.IFNA(INDEX(H2Storage!$F$3:$J$16,MATCH('H2Storage-TSData'!$B13&amp;'H2Storage-TSData'!$C13,H2Storage!$B$3:$B$16&amp;H2Storage!$A$3:$A$16,0),MATCH(AF$2,H2Storage!$F$2:$J$2,0)),"null")</f>
        <v>null</v>
      </c>
      <c r="AG13" s="83">
        <f t="array" ref="AG13">_xlfn.IFNA(INDEX(H2Storage!$F$3:$J$16,MATCH('H2Storage-TSData'!$B13&amp;'H2Storage-TSData'!$C13,H2Storage!$B$3:$B$16&amp;H2Storage!$A$3:$A$16,0),MATCH(AG$2,H2Storage!$F$2:$J$2,0)),"null")</f>
        <v>3.0332436967337745E-2</v>
      </c>
      <c r="AH13" s="83" t="str">
        <f t="array" ref="AH13">_xlfn.IFNA(INDEX(H2Storage!$F$3:$J$16,MATCH('H2Storage-TSData'!$B13&amp;'H2Storage-TSData'!$C13,H2Storage!$B$3:$B$16&amp;H2Storage!$A$3:$A$16,0),MATCH(AH$2,H2Storage!$F$2:$J$2,0)),"null")</f>
        <v>null</v>
      </c>
      <c r="AI13" s="83" t="str">
        <f t="array" ref="AI13">_xlfn.IFNA(INDEX(H2Storage!$F$3:$J$16,MATCH('H2Storage-TSData'!$B13&amp;'H2Storage-TSData'!$C13,H2Storage!$B$3:$B$16&amp;H2Storage!$A$3:$A$16,0),MATCH(AI$2,H2Storage!$F$2:$J$2,0)),"null")</f>
        <v>null</v>
      </c>
      <c r="AJ13" s="83" t="str">
        <f t="array" ref="AJ13">_xlfn.IFNA(INDEX(H2Storage!$F$3:$J$16,MATCH('H2Storage-TSData'!$B13&amp;'H2Storage-TSData'!$C13,H2Storage!$B$3:$B$16&amp;H2Storage!$A$3:$A$16,0),MATCH(AJ$2,H2Storage!$F$2:$J$2,0)),"null")</f>
        <v>null</v>
      </c>
      <c r="AK13" s="83" t="str">
        <f t="array" ref="AK13">_xlfn.IFNA(INDEX(H2Storage!$F$3:$J$16,MATCH('H2Storage-TSData'!$B13&amp;'H2Storage-TSData'!$C13,H2Storage!$B$3:$B$16&amp;H2Storage!$A$3:$A$16,0),MATCH(AK$2,H2Storage!$F$2:$J$2,0)),"null")</f>
        <v>null</v>
      </c>
      <c r="AL13" s="83">
        <f t="array" ref="AL13">_xlfn.IFNA(INDEX(H2Storage!$F$3:$J$16,MATCH('H2Storage-TSData'!$B13&amp;'H2Storage-TSData'!$C13,H2Storage!$B$3:$B$16&amp;H2Storage!$A$3:$A$16,0),MATCH(AL$2,H2Storage!$F$2:$J$2,0)),"null")</f>
        <v>3.0332436967337745E-2</v>
      </c>
      <c r="AM13" s="83" t="str">
        <f t="array" ref="AM13">_xlfn.IFNA(INDEX(H2Storage!$F$3:$J$16,MATCH('H2Storage-TSData'!$B13&amp;'H2Storage-TSData'!$C13,H2Storage!$B$3:$B$16&amp;H2Storage!$A$3:$A$16,0),MATCH(AM$2,H2Storage!$F$2:$J$2,0)),"null")</f>
        <v>null</v>
      </c>
      <c r="AN13" s="83">
        <f t="array" ref="AN13">_xlfn.IFNA(INDEX(H2Storage!$F$3:$J$16,MATCH('H2Storage-TSData'!$B13&amp;'H2Storage-TSData'!$C13,H2Storage!$B$3:$B$16&amp;H2Storage!$A$3:$A$16,0),MATCH(AN$2,H2Storage!$F$2:$J$2,0)),"null")</f>
        <v>3.0332436967337745E-2</v>
      </c>
      <c r="AO13" s="82">
        <f t="shared" si="1"/>
        <v>3.0332436967337745E-2</v>
      </c>
      <c r="AP13" s="82">
        <f t="shared" si="1"/>
        <v>3.0332436967337745E-2</v>
      </c>
    </row>
    <row r="14" spans="1:42" x14ac:dyDescent="0.25">
      <c r="B14" t="s">
        <v>746</v>
      </c>
      <c r="C14" t="s">
        <v>744</v>
      </c>
      <c r="D14" t="s">
        <v>236</v>
      </c>
      <c r="E14" t="s">
        <v>236</v>
      </c>
      <c r="F14" t="s">
        <v>236</v>
      </c>
      <c r="G14" t="s">
        <v>236</v>
      </c>
      <c r="H14" t="s">
        <v>236</v>
      </c>
      <c r="I14">
        <v>0</v>
      </c>
      <c r="J14" s="83" t="str">
        <f t="array" ref="J14">_xlfn.IFNA(INDEX(H2Storage!$F$3:$J$16,MATCH('H2Storage-TSData'!$B14&amp;'H2Storage-TSData'!$C14,H2Storage!$B$3:$B$16&amp;H2Storage!$A$3:$A$16,0),MATCH(J$2,H2Storage!$F$2:$J$2,0)),"null")</f>
        <v>null</v>
      </c>
      <c r="K14" s="83" t="str">
        <f t="array" ref="K14">_xlfn.IFNA(INDEX(H2Storage!$F$3:$J$16,MATCH('H2Storage-TSData'!$B14&amp;'H2Storage-TSData'!$C14,H2Storage!$B$3:$B$16&amp;H2Storage!$A$3:$A$16,0),MATCH(K$2,H2Storage!$F$2:$J$2,0)),"null")</f>
        <v>null</v>
      </c>
      <c r="L14" s="83" t="str">
        <f t="array" ref="L14">_xlfn.IFNA(INDEX(H2Storage!$F$3:$J$16,MATCH('H2Storage-TSData'!$B14&amp;'H2Storage-TSData'!$C14,H2Storage!$B$3:$B$16&amp;H2Storage!$A$3:$A$16,0),MATCH(L$2,H2Storage!$F$2:$J$2,0)),"null")</f>
        <v>null</v>
      </c>
      <c r="M14" s="83" t="str">
        <f t="array" ref="M14">_xlfn.IFNA(INDEX(H2Storage!$F$3:$J$16,MATCH('H2Storage-TSData'!$B14&amp;'H2Storage-TSData'!$C14,H2Storage!$B$3:$B$16&amp;H2Storage!$A$3:$A$16,0),MATCH(M$2,H2Storage!$F$2:$J$2,0)),"null")</f>
        <v>null</v>
      </c>
      <c r="N14" s="83" t="str">
        <f t="array" ref="N14">_xlfn.IFNA(INDEX(H2Storage!$F$3:$J$16,MATCH('H2Storage-TSData'!$B14&amp;'H2Storage-TSData'!$C14,H2Storage!$B$3:$B$16&amp;H2Storage!$A$3:$A$16,0),MATCH(N$2,H2Storage!$F$2:$J$2,0)),"null")</f>
        <v>null</v>
      </c>
      <c r="O14" s="83" t="str">
        <f t="array" ref="O14">_xlfn.IFNA(INDEX(H2Storage!$F$3:$J$16,MATCH('H2Storage-TSData'!$B14&amp;'H2Storage-TSData'!$C14,H2Storage!$B$3:$B$16&amp;H2Storage!$A$3:$A$16,0),MATCH(O$2,H2Storage!$F$2:$J$2,0)),"null")</f>
        <v>null</v>
      </c>
      <c r="P14" s="83" t="str">
        <f t="array" ref="P14">_xlfn.IFNA(INDEX(H2Storage!$F$3:$J$16,MATCH('H2Storage-TSData'!$B14&amp;'H2Storage-TSData'!$C14,H2Storage!$B$3:$B$16&amp;H2Storage!$A$3:$A$16,0),MATCH(P$2,H2Storage!$F$2:$J$2,0)),"null")</f>
        <v>null</v>
      </c>
      <c r="Q14" s="83" t="str">
        <f t="array" ref="Q14">_xlfn.IFNA(INDEX(H2Storage!$F$3:$J$16,MATCH('H2Storage-TSData'!$B14&amp;'H2Storage-TSData'!$C14,H2Storage!$B$3:$B$16&amp;H2Storage!$A$3:$A$16,0),MATCH(Q$2,H2Storage!$F$2:$J$2,0)),"null")</f>
        <v>null</v>
      </c>
      <c r="R14" s="83">
        <f t="array" ref="R14">_xlfn.IFNA(INDEX(H2Storage!$F$3:$J$16,MATCH('H2Storage-TSData'!$B14&amp;'H2Storage-TSData'!$C14,H2Storage!$B$3:$B$16&amp;H2Storage!$A$3:$A$16,0),MATCH(R$2,H2Storage!$F$2:$J$2,0)),"null")</f>
        <v>0.98</v>
      </c>
      <c r="S14" s="83" t="str">
        <f t="array" ref="S14">_xlfn.IFNA(INDEX(H2Storage!$F$3:$J$16,MATCH('H2Storage-TSData'!$B14&amp;'H2Storage-TSData'!$C14,H2Storage!$B$3:$B$16&amp;H2Storage!$A$3:$A$16,0),MATCH(S$2,H2Storage!$F$2:$J$2,0)),"null")</f>
        <v>null</v>
      </c>
      <c r="T14" s="83" t="str">
        <f t="array" ref="T14">_xlfn.IFNA(INDEX(H2Storage!$F$3:$J$16,MATCH('H2Storage-TSData'!$B14&amp;'H2Storage-TSData'!$C14,H2Storage!$B$3:$B$16&amp;H2Storage!$A$3:$A$16,0),MATCH(T$2,H2Storage!$F$2:$J$2,0)),"null")</f>
        <v>null</v>
      </c>
      <c r="U14" s="83" t="str">
        <f t="array" ref="U14">_xlfn.IFNA(INDEX(H2Storage!$F$3:$J$16,MATCH('H2Storage-TSData'!$B14&amp;'H2Storage-TSData'!$C14,H2Storage!$B$3:$B$16&amp;H2Storage!$A$3:$A$16,0),MATCH(U$2,H2Storage!$F$2:$J$2,0)),"null")</f>
        <v>null</v>
      </c>
      <c r="V14" s="83" t="str">
        <f t="array" ref="V14">_xlfn.IFNA(INDEX(H2Storage!$F$3:$J$16,MATCH('H2Storage-TSData'!$B14&amp;'H2Storage-TSData'!$C14,H2Storage!$B$3:$B$16&amp;H2Storage!$A$3:$A$16,0),MATCH(V$2,H2Storage!$F$2:$J$2,0)),"null")</f>
        <v>null</v>
      </c>
      <c r="W14" s="83" t="str">
        <f t="array" ref="W14">_xlfn.IFNA(INDEX(H2Storage!$F$3:$J$16,MATCH('H2Storage-TSData'!$B14&amp;'H2Storage-TSData'!$C14,H2Storage!$B$3:$B$16&amp;H2Storage!$A$3:$A$16,0),MATCH(W$2,H2Storage!$F$2:$J$2,0)),"null")</f>
        <v>null</v>
      </c>
      <c r="X14" s="83" t="str">
        <f t="array" ref="X14">_xlfn.IFNA(INDEX(H2Storage!$F$3:$J$16,MATCH('H2Storage-TSData'!$B14&amp;'H2Storage-TSData'!$C14,H2Storage!$B$3:$B$16&amp;H2Storage!$A$3:$A$16,0),MATCH(X$2,H2Storage!$F$2:$J$2,0)),"null")</f>
        <v>null</v>
      </c>
      <c r="Y14" s="83" t="str">
        <f t="array" ref="Y14">_xlfn.IFNA(INDEX(H2Storage!$F$3:$J$16,MATCH('H2Storage-TSData'!$B14&amp;'H2Storage-TSData'!$C14,H2Storage!$B$3:$B$16&amp;H2Storage!$A$3:$A$16,0),MATCH(Y$2,H2Storage!$F$2:$J$2,0)),"null")</f>
        <v>null</v>
      </c>
      <c r="Z14" s="83" t="str">
        <f t="array" ref="Z14">_xlfn.IFNA(INDEX(H2Storage!$F$3:$J$16,MATCH('H2Storage-TSData'!$B14&amp;'H2Storage-TSData'!$C14,H2Storage!$B$3:$B$16&amp;H2Storage!$A$3:$A$16,0),MATCH(Z$2,H2Storage!$F$2:$J$2,0)),"null")</f>
        <v>null</v>
      </c>
      <c r="AA14" s="83" t="str">
        <f t="array" ref="AA14">_xlfn.IFNA(INDEX(H2Storage!$F$3:$J$16,MATCH('H2Storage-TSData'!$B14&amp;'H2Storage-TSData'!$C14,H2Storage!$B$3:$B$16&amp;H2Storage!$A$3:$A$16,0),MATCH(AA$2,H2Storage!$F$2:$J$2,0)),"null")</f>
        <v>null</v>
      </c>
      <c r="AB14" s="83">
        <f t="array" ref="AB14">_xlfn.IFNA(INDEX(H2Storage!$F$3:$J$16,MATCH('H2Storage-TSData'!$B14&amp;'H2Storage-TSData'!$C14,H2Storage!$B$3:$B$16&amp;H2Storage!$A$3:$A$16,0),MATCH(AB$2,H2Storage!$F$2:$J$2,0)),"null")</f>
        <v>0.98</v>
      </c>
      <c r="AC14" s="83" t="str">
        <f t="array" ref="AC14">_xlfn.IFNA(INDEX(H2Storage!$F$3:$J$16,MATCH('H2Storage-TSData'!$B14&amp;'H2Storage-TSData'!$C14,H2Storage!$B$3:$B$16&amp;H2Storage!$A$3:$A$16,0),MATCH(AC$2,H2Storage!$F$2:$J$2,0)),"null")</f>
        <v>null</v>
      </c>
      <c r="AD14" s="83" t="str">
        <f t="array" ref="AD14">_xlfn.IFNA(INDEX(H2Storage!$F$3:$J$16,MATCH('H2Storage-TSData'!$B14&amp;'H2Storage-TSData'!$C14,H2Storage!$B$3:$B$16&amp;H2Storage!$A$3:$A$16,0),MATCH(AD$2,H2Storage!$F$2:$J$2,0)),"null")</f>
        <v>null</v>
      </c>
      <c r="AE14" s="83" t="str">
        <f t="array" ref="AE14">_xlfn.IFNA(INDEX(H2Storage!$F$3:$J$16,MATCH('H2Storage-TSData'!$B14&amp;'H2Storage-TSData'!$C14,H2Storage!$B$3:$B$16&amp;H2Storage!$A$3:$A$16,0),MATCH(AE$2,H2Storage!$F$2:$J$2,0)),"null")</f>
        <v>null</v>
      </c>
      <c r="AF14" s="83" t="str">
        <f t="array" ref="AF14">_xlfn.IFNA(INDEX(H2Storage!$F$3:$J$16,MATCH('H2Storage-TSData'!$B14&amp;'H2Storage-TSData'!$C14,H2Storage!$B$3:$B$16&amp;H2Storage!$A$3:$A$16,0),MATCH(AF$2,H2Storage!$F$2:$J$2,0)),"null")</f>
        <v>null</v>
      </c>
      <c r="AG14" s="83">
        <f t="array" ref="AG14">_xlfn.IFNA(INDEX(H2Storage!$F$3:$J$16,MATCH('H2Storage-TSData'!$B14&amp;'H2Storage-TSData'!$C14,H2Storage!$B$3:$B$16&amp;H2Storage!$A$3:$A$16,0),MATCH(AG$2,H2Storage!$F$2:$J$2,0)),"null")</f>
        <v>0.98</v>
      </c>
      <c r="AH14" s="83" t="str">
        <f t="array" ref="AH14">_xlfn.IFNA(INDEX(H2Storage!$F$3:$J$16,MATCH('H2Storage-TSData'!$B14&amp;'H2Storage-TSData'!$C14,H2Storage!$B$3:$B$16&amp;H2Storage!$A$3:$A$16,0),MATCH(AH$2,H2Storage!$F$2:$J$2,0)),"null")</f>
        <v>null</v>
      </c>
      <c r="AI14" s="83" t="str">
        <f t="array" ref="AI14">_xlfn.IFNA(INDEX(H2Storage!$F$3:$J$16,MATCH('H2Storage-TSData'!$B14&amp;'H2Storage-TSData'!$C14,H2Storage!$B$3:$B$16&amp;H2Storage!$A$3:$A$16,0),MATCH(AI$2,H2Storage!$F$2:$J$2,0)),"null")</f>
        <v>null</v>
      </c>
      <c r="AJ14" s="83" t="str">
        <f t="array" ref="AJ14">_xlfn.IFNA(INDEX(H2Storage!$F$3:$J$16,MATCH('H2Storage-TSData'!$B14&amp;'H2Storage-TSData'!$C14,H2Storage!$B$3:$B$16&amp;H2Storage!$A$3:$A$16,0),MATCH(AJ$2,H2Storage!$F$2:$J$2,0)),"null")</f>
        <v>null</v>
      </c>
      <c r="AK14" s="83" t="str">
        <f t="array" ref="AK14">_xlfn.IFNA(INDEX(H2Storage!$F$3:$J$16,MATCH('H2Storage-TSData'!$B14&amp;'H2Storage-TSData'!$C14,H2Storage!$B$3:$B$16&amp;H2Storage!$A$3:$A$16,0),MATCH(AK$2,H2Storage!$F$2:$J$2,0)),"null")</f>
        <v>null</v>
      </c>
      <c r="AL14" s="83">
        <f t="array" ref="AL14">_xlfn.IFNA(INDEX(H2Storage!$F$3:$J$16,MATCH('H2Storage-TSData'!$B14&amp;'H2Storage-TSData'!$C14,H2Storage!$B$3:$B$16&amp;H2Storage!$A$3:$A$16,0),MATCH(AL$2,H2Storage!$F$2:$J$2,0)),"null")</f>
        <v>0.98</v>
      </c>
      <c r="AM14" s="83" t="str">
        <f t="array" ref="AM14">_xlfn.IFNA(INDEX(H2Storage!$F$3:$J$16,MATCH('H2Storage-TSData'!$B14&amp;'H2Storage-TSData'!$C14,H2Storage!$B$3:$B$16&amp;H2Storage!$A$3:$A$16,0),MATCH(AM$2,H2Storage!$F$2:$J$2,0)),"null")</f>
        <v>null</v>
      </c>
      <c r="AN14" s="83">
        <f t="array" ref="AN14">_xlfn.IFNA(INDEX(H2Storage!$F$3:$J$16,MATCH('H2Storage-TSData'!$B14&amp;'H2Storage-TSData'!$C14,H2Storage!$B$3:$B$16&amp;H2Storage!$A$3:$A$16,0),MATCH(AN$2,H2Storage!$F$2:$J$2,0)),"null")</f>
        <v>0.98</v>
      </c>
      <c r="AO14" s="82">
        <f t="shared" si="1"/>
        <v>0.98</v>
      </c>
      <c r="AP14" s="82">
        <f t="shared" si="1"/>
        <v>0.98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05FF7-3DDD-4103-B719-9D4E4B0C0A19}">
  <dimension ref="A1:I13"/>
  <sheetViews>
    <sheetView workbookViewId="0">
      <selection activeCell="C32" sqref="C32"/>
    </sheetView>
  </sheetViews>
  <sheetFormatPr defaultRowHeight="15" x14ac:dyDescent="0.25"/>
  <cols>
    <col min="1" max="1" width="9.140625" bestFit="1" customWidth="1"/>
    <col min="2" max="2" width="12.5703125" bestFit="1" customWidth="1"/>
    <col min="3" max="3" width="11.140625" bestFit="1" customWidth="1"/>
    <col min="4" max="4" width="11.28515625" bestFit="1" customWidth="1"/>
    <col min="5" max="9" width="6.140625" bestFit="1" customWidth="1"/>
  </cols>
  <sheetData>
    <row r="1" spans="1:9" x14ac:dyDescent="0.25">
      <c r="A1" t="s">
        <v>312</v>
      </c>
      <c r="B1" t="s">
        <v>289</v>
      </c>
    </row>
    <row r="2" spans="1:9" x14ac:dyDescent="0.25">
      <c r="A2" t="s">
        <v>7</v>
      </c>
      <c r="B2" t="s">
        <v>303</v>
      </c>
      <c r="C2" t="s">
        <v>302</v>
      </c>
      <c r="D2" t="s">
        <v>311</v>
      </c>
      <c r="E2" t="s">
        <v>310</v>
      </c>
      <c r="F2" t="s">
        <v>299</v>
      </c>
      <c r="G2" t="s">
        <v>298</v>
      </c>
      <c r="H2" t="s">
        <v>297</v>
      </c>
      <c r="I2" t="s">
        <v>309</v>
      </c>
    </row>
    <row r="3" spans="1:9" x14ac:dyDescent="0.25">
      <c r="B3" t="s">
        <v>266</v>
      </c>
      <c r="C3" t="s">
        <v>744</v>
      </c>
      <c r="D3" t="s">
        <v>236</v>
      </c>
      <c r="E3" t="s">
        <v>236</v>
      </c>
      <c r="F3" t="s">
        <v>236</v>
      </c>
      <c r="G3" t="s">
        <v>236</v>
      </c>
      <c r="H3" t="s">
        <v>236</v>
      </c>
      <c r="I3" s="80">
        <f>H2Storage!$F$9</f>
        <v>2025</v>
      </c>
    </row>
    <row r="4" spans="1:9" x14ac:dyDescent="0.25">
      <c r="B4" t="s">
        <v>266</v>
      </c>
      <c r="C4" t="s">
        <v>740</v>
      </c>
      <c r="D4" t="s">
        <v>236</v>
      </c>
      <c r="E4" t="s">
        <v>236</v>
      </c>
      <c r="F4" t="s">
        <v>236</v>
      </c>
      <c r="G4" t="s">
        <v>236</v>
      </c>
      <c r="H4" t="s">
        <v>236</v>
      </c>
      <c r="I4" s="80">
        <f>H2Storage!$F$9</f>
        <v>2025</v>
      </c>
    </row>
    <row r="5" spans="1:9" x14ac:dyDescent="0.25">
      <c r="B5" t="s">
        <v>306</v>
      </c>
      <c r="C5" t="s">
        <v>744</v>
      </c>
      <c r="D5" t="s">
        <v>236</v>
      </c>
      <c r="E5" t="s">
        <v>260</v>
      </c>
      <c r="F5" t="s">
        <v>236</v>
      </c>
      <c r="G5" t="s">
        <v>236</v>
      </c>
      <c r="H5" t="s">
        <v>236</v>
      </c>
      <c r="I5">
        <v>1</v>
      </c>
    </row>
    <row r="6" spans="1:9" x14ac:dyDescent="0.25">
      <c r="B6" t="s">
        <v>306</v>
      </c>
      <c r="C6" t="s">
        <v>740</v>
      </c>
      <c r="D6" t="s">
        <v>236</v>
      </c>
      <c r="E6" t="s">
        <v>260</v>
      </c>
      <c r="F6" t="s">
        <v>236</v>
      </c>
      <c r="G6" t="s">
        <v>236</v>
      </c>
      <c r="H6" t="s">
        <v>236</v>
      </c>
      <c r="I6">
        <v>1</v>
      </c>
    </row>
    <row r="7" spans="1:9" x14ac:dyDescent="0.25">
      <c r="B7" t="s">
        <v>305</v>
      </c>
      <c r="C7" t="s">
        <v>744</v>
      </c>
      <c r="D7" t="s">
        <v>236</v>
      </c>
      <c r="E7" t="s">
        <v>236</v>
      </c>
      <c r="F7" t="s">
        <v>236</v>
      </c>
      <c r="G7" t="s">
        <v>236</v>
      </c>
      <c r="H7" t="s">
        <v>236</v>
      </c>
      <c r="I7">
        <v>1</v>
      </c>
    </row>
    <row r="8" spans="1:9" x14ac:dyDescent="0.25">
      <c r="B8" t="s">
        <v>305</v>
      </c>
      <c r="C8" t="s">
        <v>740</v>
      </c>
      <c r="D8" t="s">
        <v>236</v>
      </c>
      <c r="E8" t="s">
        <v>236</v>
      </c>
      <c r="F8" t="s">
        <v>236</v>
      </c>
      <c r="G8" t="s">
        <v>236</v>
      </c>
      <c r="H8" t="s">
        <v>236</v>
      </c>
      <c r="I8">
        <v>1</v>
      </c>
    </row>
    <row r="9" spans="1:9" x14ac:dyDescent="0.25">
      <c r="B9" t="s">
        <v>252</v>
      </c>
      <c r="C9" t="s">
        <v>744</v>
      </c>
      <c r="D9" t="s">
        <v>260</v>
      </c>
      <c r="E9" t="s">
        <v>236</v>
      </c>
      <c r="F9" t="s">
        <v>236</v>
      </c>
      <c r="G9" t="s">
        <v>236</v>
      </c>
      <c r="H9" t="s">
        <v>236</v>
      </c>
      <c r="I9">
        <v>1</v>
      </c>
    </row>
    <row r="10" spans="1:9" x14ac:dyDescent="0.25">
      <c r="B10" t="s">
        <v>252</v>
      </c>
      <c r="C10" t="s">
        <v>740</v>
      </c>
      <c r="D10" t="s">
        <v>741</v>
      </c>
      <c r="E10" t="s">
        <v>236</v>
      </c>
      <c r="F10" t="s">
        <v>236</v>
      </c>
      <c r="G10" t="s">
        <v>236</v>
      </c>
      <c r="H10" t="s">
        <v>236</v>
      </c>
      <c r="I10">
        <v>1</v>
      </c>
    </row>
    <row r="11" spans="1:9" x14ac:dyDescent="0.25">
      <c r="B11" t="s">
        <v>252</v>
      </c>
      <c r="C11" t="s">
        <v>740</v>
      </c>
      <c r="D11" t="s">
        <v>755</v>
      </c>
      <c r="E11" t="s">
        <v>236</v>
      </c>
      <c r="F11" t="s">
        <v>236</v>
      </c>
      <c r="G11" t="s">
        <v>236</v>
      </c>
      <c r="H11" t="s">
        <v>236</v>
      </c>
      <c r="I11">
        <v>1</v>
      </c>
    </row>
    <row r="12" spans="1:9" x14ac:dyDescent="0.25">
      <c r="B12" t="s">
        <v>248</v>
      </c>
      <c r="C12" t="s">
        <v>744</v>
      </c>
      <c r="D12" t="s">
        <v>260</v>
      </c>
      <c r="E12" t="s">
        <v>236</v>
      </c>
      <c r="F12" t="s">
        <v>236</v>
      </c>
      <c r="G12" t="s">
        <v>236</v>
      </c>
      <c r="H12" t="s">
        <v>236</v>
      </c>
      <c r="I12">
        <v>1</v>
      </c>
    </row>
    <row r="13" spans="1:9" x14ac:dyDescent="0.25">
      <c r="B13" t="s">
        <v>248</v>
      </c>
      <c r="C13" t="s">
        <v>740</v>
      </c>
      <c r="D13" t="s">
        <v>260</v>
      </c>
      <c r="E13" t="s">
        <v>236</v>
      </c>
      <c r="F13" t="s">
        <v>236</v>
      </c>
      <c r="G13" t="s">
        <v>236</v>
      </c>
      <c r="H13" t="s">
        <v>236</v>
      </c>
      <c r="I1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D7EF9-C149-4295-A3D4-E9EF6480BBB6}">
  <dimension ref="A1:H35"/>
  <sheetViews>
    <sheetView workbookViewId="0">
      <selection activeCell="C32" sqref="C32"/>
    </sheetView>
  </sheetViews>
  <sheetFormatPr defaultColWidth="11.42578125" defaultRowHeight="11.25" x14ac:dyDescent="0.2"/>
  <cols>
    <col min="1" max="2" width="11.42578125" style="294" customWidth="1"/>
    <col min="3" max="3" width="12" style="294" customWidth="1"/>
    <col min="4" max="4" width="44.7109375" style="294" customWidth="1"/>
    <col min="5" max="5" width="11.42578125" style="294" customWidth="1"/>
    <col min="6" max="6" width="17.28515625" style="294" customWidth="1"/>
    <col min="7" max="16384" width="11.42578125" style="294"/>
  </cols>
  <sheetData>
    <row r="1" spans="1:8" x14ac:dyDescent="0.2">
      <c r="A1" s="298" t="str">
        <f>IF([3]Index!B8=0,"ITEMS","")</f>
        <v>ITEMS</v>
      </c>
      <c r="B1" s="299" t="s">
        <v>289</v>
      </c>
      <c r="C1" s="299"/>
      <c r="D1" s="299"/>
      <c r="E1" s="299"/>
      <c r="F1" s="299"/>
      <c r="G1" s="299"/>
      <c r="H1" s="299"/>
    </row>
    <row r="2" spans="1:8" x14ac:dyDescent="0.2">
      <c r="A2" s="299" t="s">
        <v>7</v>
      </c>
      <c r="B2" s="299"/>
      <c r="C2" s="299"/>
      <c r="D2" s="299"/>
      <c r="E2" s="299"/>
      <c r="F2" s="299"/>
      <c r="G2" s="299"/>
      <c r="H2" s="299"/>
    </row>
    <row r="3" spans="1:8" x14ac:dyDescent="0.2">
      <c r="A3" s="299" t="s">
        <v>7</v>
      </c>
      <c r="B3" s="299"/>
      <c r="C3" s="299"/>
      <c r="D3" s="299"/>
      <c r="E3" s="299"/>
      <c r="F3" s="299"/>
      <c r="G3" s="299"/>
      <c r="H3" s="299"/>
    </row>
    <row r="4" spans="1:8" x14ac:dyDescent="0.2">
      <c r="A4" s="299" t="s">
        <v>7</v>
      </c>
      <c r="B4" s="299"/>
      <c r="C4" s="299"/>
      <c r="D4" s="299"/>
      <c r="E4" s="299"/>
      <c r="F4" s="299"/>
      <c r="G4" s="299"/>
      <c r="H4" s="299"/>
    </row>
    <row r="5" spans="1:8" x14ac:dyDescent="0.2">
      <c r="A5" s="299" t="s">
        <v>7</v>
      </c>
      <c r="B5" s="299"/>
      <c r="C5" s="299"/>
      <c r="D5" s="299"/>
      <c r="E5" s="299"/>
      <c r="F5" s="299"/>
      <c r="G5" s="299"/>
      <c r="H5" s="299"/>
    </row>
    <row r="6" spans="1:8" x14ac:dyDescent="0.2">
      <c r="A6" s="299" t="s">
        <v>7</v>
      </c>
      <c r="B6" s="299"/>
      <c r="C6" s="299"/>
      <c r="D6" s="299"/>
      <c r="E6" s="299"/>
      <c r="F6" s="299"/>
      <c r="G6" s="299"/>
      <c r="H6" s="299"/>
    </row>
    <row r="7" spans="1:8" x14ac:dyDescent="0.2">
      <c r="A7" s="299" t="s">
        <v>7</v>
      </c>
      <c r="B7" s="298" t="s">
        <v>795</v>
      </c>
      <c r="C7" s="300" t="s">
        <v>794</v>
      </c>
      <c r="D7" s="298" t="s">
        <v>793</v>
      </c>
      <c r="E7" s="298" t="s">
        <v>792</v>
      </c>
      <c r="F7" s="298" t="s">
        <v>791</v>
      </c>
      <c r="G7" s="298" t="s">
        <v>790</v>
      </c>
      <c r="H7" s="299"/>
    </row>
    <row r="8" spans="1:8" x14ac:dyDescent="0.2">
      <c r="A8" s="299" t="s">
        <v>7</v>
      </c>
      <c r="B8" s="298" t="s">
        <v>789</v>
      </c>
      <c r="C8" s="300"/>
      <c r="D8" s="298"/>
      <c r="E8" s="298"/>
      <c r="F8" s="298"/>
      <c r="G8" s="298"/>
      <c r="H8" s="299"/>
    </row>
    <row r="9" spans="1:8" x14ac:dyDescent="0.2">
      <c r="A9" s="299"/>
      <c r="B9" s="295" t="str">
        <f>IF(A9="*","","T")</f>
        <v>T</v>
      </c>
      <c r="C9" s="297" t="e">
        <f>H2_Production!#REF!</f>
        <v>#REF!</v>
      </c>
      <c r="D9" s="297" t="e">
        <f>H2_Production!#REF!</f>
        <v>#REF!</v>
      </c>
      <c r="E9" s="295" t="e">
        <f>"PJ,"&amp;IF(RIGHT(C9,3)="ELC","GW","PJa")</f>
        <v>#REF!</v>
      </c>
      <c r="F9" s="295" t="e">
        <f>"PRC,PRE,"&amp;IF(RIGHT(C9,3)="ELC","DAYNITE","ANNUAL")</f>
        <v>#REF!</v>
      </c>
      <c r="G9" s="298"/>
      <c r="H9" s="299"/>
    </row>
    <row r="10" spans="1:8" x14ac:dyDescent="0.2">
      <c r="B10" s="295" t="str">
        <f>IF(A10="*","","T")</f>
        <v>T</v>
      </c>
      <c r="C10" s="297" t="e">
        <f>H2_Production!#REF!</f>
        <v>#REF!</v>
      </c>
      <c r="D10" s="297" t="e">
        <f>H2_Production!#REF!</f>
        <v>#REF!</v>
      </c>
      <c r="E10" s="295" t="e">
        <f>"PJ,"&amp;IF(RIGHT(C10,3)="ELC","GW","PJa")</f>
        <v>#REF!</v>
      </c>
      <c r="F10" s="295" t="e">
        <f>"PRC,PRE,"&amp;IF(RIGHT(C10,3)="ELC","DAYNITE","ANNUAL")</f>
        <v>#REF!</v>
      </c>
    </row>
    <row r="11" spans="1:8" x14ac:dyDescent="0.2">
      <c r="B11" s="295" t="str">
        <f>IF(A11="*","","T")</f>
        <v>T</v>
      </c>
      <c r="C11" s="297" t="e">
        <f>H2_Production!#REF!</f>
        <v>#REF!</v>
      </c>
      <c r="D11" s="297" t="e">
        <f>H2_Production!#REF!</f>
        <v>#REF!</v>
      </c>
      <c r="E11" s="295" t="e">
        <f>"PJ,"&amp;IF(RIGHT(C11,3)="ELC","GW","PJa")</f>
        <v>#REF!</v>
      </c>
      <c r="F11" s="295" t="e">
        <f>"PRC,PRE,"&amp;IF(RIGHT(C11,3)="ELC","DAYNITE","ANNUAL")</f>
        <v>#REF!</v>
      </c>
    </row>
    <row r="12" spans="1:8" x14ac:dyDescent="0.2">
      <c r="B12" s="295" t="str">
        <f>IF(A12="*","","T")</f>
        <v>T</v>
      </c>
      <c r="C12" s="297" t="e">
        <f>H2_Production!#REF!</f>
        <v>#REF!</v>
      </c>
      <c r="D12" s="297" t="e">
        <f>H2_Production!#REF!</f>
        <v>#REF!</v>
      </c>
      <c r="E12" s="295" t="e">
        <f>"PJ,"&amp;IF(RIGHT(C12,3)="ELC","GW","PJa")</f>
        <v>#REF!</v>
      </c>
      <c r="F12" s="295" t="e">
        <f>"PRC,PRE,"&amp;IF(RIGHT(C12,3)="ELC","DAYNITE","ANNUAL")</f>
        <v>#REF!</v>
      </c>
    </row>
    <row r="13" spans="1:8" x14ac:dyDescent="0.2">
      <c r="A13" s="299" t="s">
        <v>7</v>
      </c>
      <c r="B13" s="298" t="s">
        <v>788</v>
      </c>
      <c r="C13" s="300"/>
      <c r="D13" s="298"/>
      <c r="E13" s="298"/>
      <c r="F13" s="298"/>
      <c r="G13" s="298"/>
      <c r="H13" s="299"/>
    </row>
    <row r="14" spans="1:8" x14ac:dyDescent="0.2">
      <c r="B14" s="295" t="str">
        <f>IF(A14="*","","T")</f>
        <v>T</v>
      </c>
      <c r="C14" s="297" t="e">
        <f>H2_Production!#REF!</f>
        <v>#REF!</v>
      </c>
      <c r="D14" s="297" t="e">
        <f>H2_Production!#REF!</f>
        <v>#REF!</v>
      </c>
      <c r="E14" s="295" t="e">
        <f>"PJ,"&amp;IF(RIGHT(C14,3)="ELC","GW","PJa")</f>
        <v>#REF!</v>
      </c>
      <c r="F14" s="295" t="e">
        <f>"PRC,PRE,"&amp;IF(RIGHT(C14,3)="ELC","DAYNITE","ANNUAL")</f>
        <v>#REF!</v>
      </c>
    </row>
    <row r="15" spans="1:8" x14ac:dyDescent="0.2">
      <c r="B15" s="295" t="str">
        <f>IF(A15="*","","T")</f>
        <v>T</v>
      </c>
      <c r="C15" s="297" t="e">
        <f>H2_Production!#REF!</f>
        <v>#REF!</v>
      </c>
      <c r="D15" s="297" t="e">
        <f>H2_Production!#REF!</f>
        <v>#REF!</v>
      </c>
      <c r="E15" s="295" t="e">
        <f>"PJ,"&amp;IF(RIGHT(C15,3)="ELC","GW","PJa")</f>
        <v>#REF!</v>
      </c>
      <c r="F15" s="295" t="e">
        <f>"PRC,PRE,"&amp;IF(RIGHT(C15,3)="ELC","DAYNITE","ANNUAL")</f>
        <v>#REF!</v>
      </c>
    </row>
    <row r="16" spans="1:8" x14ac:dyDescent="0.2">
      <c r="B16" s="295" t="str">
        <f>IF(A16="*","","T")</f>
        <v>T</v>
      </c>
      <c r="C16" s="297" t="e">
        <f>H2_Production!#REF!</f>
        <v>#REF!</v>
      </c>
      <c r="D16" s="297" t="e">
        <f>H2_Production!#REF!</f>
        <v>#REF!</v>
      </c>
      <c r="E16" s="295" t="e">
        <f>"PJ,"&amp;IF(RIGHT(C16,3)="ELC","GW","PJa")</f>
        <v>#REF!</v>
      </c>
      <c r="F16" s="295" t="e">
        <f>"PRC,PRE,"&amp;IF(RIGHT(C16,3)="ELC","DAYNITE","ANNUAL")</f>
        <v>#REF!</v>
      </c>
    </row>
    <row r="17" spans="1:6" x14ac:dyDescent="0.2">
      <c r="B17" s="295" t="str">
        <f>IF(A17="*","","T")</f>
        <v>T</v>
      </c>
      <c r="C17" s="297" t="e">
        <f>H2_Production!#REF!</f>
        <v>#REF!</v>
      </c>
      <c r="D17" s="297" t="e">
        <f>H2_Production!#REF!</f>
        <v>#REF!</v>
      </c>
      <c r="E17" s="295" t="e">
        <f>"PJ,"&amp;IF(RIGHT(C17,3)="ELC","GW","PJa")</f>
        <v>#REF!</v>
      </c>
      <c r="F17" s="295" t="e">
        <f>"PRC,PRE,"&amp;IF(RIGHT(C17,3)="ELC","DAYNITE","ANNUAL")</f>
        <v>#REF!</v>
      </c>
    </row>
    <row r="18" spans="1:6" x14ac:dyDescent="0.2">
      <c r="A18" s="299" t="s">
        <v>7</v>
      </c>
      <c r="B18" s="298" t="s">
        <v>784</v>
      </c>
      <c r="C18" s="297"/>
      <c r="D18" s="297"/>
      <c r="E18" s="295"/>
      <c r="F18" s="295"/>
    </row>
    <row r="19" spans="1:6" x14ac:dyDescent="0.2">
      <c r="B19" s="295" t="str">
        <f>IF(A19="*","","T")</f>
        <v>T</v>
      </c>
      <c r="C19" s="297" t="e">
        <f>H2_Production!#REF!</f>
        <v>#REF!</v>
      </c>
      <c r="D19" s="297" t="e">
        <f>H2_Production!#REF!</f>
        <v>#REF!</v>
      </c>
      <c r="E19" s="295" t="e">
        <f>"PJ,"&amp;IF(RIGHT(C19,3)="ELC","GW","PJa")</f>
        <v>#REF!</v>
      </c>
      <c r="F19" s="295" t="e">
        <f>"PRC,PRE,"&amp;IF(RIGHT(C19,3)="ELC","DAYNITE","ANNUAL")</f>
        <v>#REF!</v>
      </c>
    </row>
    <row r="20" spans="1:6" x14ac:dyDescent="0.2">
      <c r="B20" s="295" t="str">
        <f>IF(A20="*","","T")</f>
        <v>T</v>
      </c>
      <c r="C20" s="297" t="e">
        <f>H2_Production!#REF!</f>
        <v>#REF!</v>
      </c>
      <c r="D20" s="297" t="e">
        <f>H2_Production!#REF!</f>
        <v>#REF!</v>
      </c>
      <c r="E20" s="295" t="e">
        <f>"PJ,"&amp;IF(RIGHT(C20,3)="ELC","GW","PJa")</f>
        <v>#REF!</v>
      </c>
      <c r="F20" s="295" t="e">
        <f>"PRC,PRE,"&amp;IF(RIGHT(C20,3)="ELC","DAYNITE","ANNUAL")</f>
        <v>#REF!</v>
      </c>
    </row>
    <row r="21" spans="1:6" x14ac:dyDescent="0.2">
      <c r="B21" s="295" t="str">
        <f>IF(A21="*","","T")</f>
        <v>T</v>
      </c>
      <c r="C21" s="297" t="e">
        <f>H2_Production!#REF!</f>
        <v>#REF!</v>
      </c>
      <c r="D21" s="297" t="e">
        <f>H2_Production!#REF!</f>
        <v>#REF!</v>
      </c>
      <c r="E21" s="295" t="e">
        <f>"PJ,"&amp;IF(RIGHT(C21,3)="ELC","GW","PJa")</f>
        <v>#REF!</v>
      </c>
      <c r="F21" s="295" t="e">
        <f>"PRC,PRE,"&amp;IF(RIGHT(C21,3)="ELC","DAYNITE","ANNUAL")</f>
        <v>#REF!</v>
      </c>
    </row>
    <row r="22" spans="1:6" x14ac:dyDescent="0.2">
      <c r="A22" s="294" t="s">
        <v>7</v>
      </c>
      <c r="B22" s="296" t="s">
        <v>787</v>
      </c>
    </row>
    <row r="23" spans="1:6" x14ac:dyDescent="0.2">
      <c r="B23" s="295" t="str">
        <f t="shared" ref="B23:B29" si="0">IF(A23="*","","T")</f>
        <v>T</v>
      </c>
      <c r="C23" s="294" t="e">
        <f>+H2_Production!#REF!</f>
        <v>#REF!</v>
      </c>
      <c r="D23" s="294" t="e">
        <f>+H2_Production!#REF!</f>
        <v>#REF!</v>
      </c>
      <c r="E23" s="295" t="e">
        <f t="shared" ref="E23:E29" si="1">"PJ,"&amp;IF(RIGHT(C23,3)="ELC","GW","PJa")</f>
        <v>#REF!</v>
      </c>
      <c r="F23" s="295" t="e">
        <f t="shared" ref="F23:F29" si="2">"PRC,PRE,"&amp;IF(RIGHT(C23,3)="ELC","DAYNITE","ANNUAL")</f>
        <v>#REF!</v>
      </c>
    </row>
    <row r="24" spans="1:6" x14ac:dyDescent="0.2">
      <c r="B24" s="295" t="str">
        <f t="shared" si="0"/>
        <v>T</v>
      </c>
      <c r="C24" s="294" t="e">
        <f>+H2_Production!#REF!</f>
        <v>#REF!</v>
      </c>
      <c r="D24" s="294" t="e">
        <f>+H2_Production!#REF!</f>
        <v>#REF!</v>
      </c>
      <c r="E24" s="295" t="e">
        <f t="shared" si="1"/>
        <v>#REF!</v>
      </c>
      <c r="F24" s="295" t="e">
        <f t="shared" si="2"/>
        <v>#REF!</v>
      </c>
    </row>
    <row r="25" spans="1:6" x14ac:dyDescent="0.2">
      <c r="B25" s="295" t="str">
        <f t="shared" si="0"/>
        <v>T</v>
      </c>
      <c r="C25" s="294" t="e">
        <f>+H2_Production!#REF!</f>
        <v>#REF!</v>
      </c>
      <c r="D25" s="294" t="e">
        <f>+H2_Production!#REF!</f>
        <v>#REF!</v>
      </c>
      <c r="E25" s="295" t="e">
        <f t="shared" si="1"/>
        <v>#REF!</v>
      </c>
      <c r="F25" s="295" t="e">
        <f t="shared" si="2"/>
        <v>#REF!</v>
      </c>
    </row>
    <row r="26" spans="1:6" x14ac:dyDescent="0.2">
      <c r="B26" s="295" t="str">
        <f t="shared" si="0"/>
        <v>T</v>
      </c>
      <c r="C26" s="294" t="e">
        <f>H2_Production!#REF!</f>
        <v>#REF!</v>
      </c>
      <c r="D26" s="294" t="e">
        <f>H2_Production!#REF!</f>
        <v>#REF!</v>
      </c>
      <c r="E26" s="295" t="e">
        <f t="shared" si="1"/>
        <v>#REF!</v>
      </c>
      <c r="F26" s="295" t="e">
        <f t="shared" si="2"/>
        <v>#REF!</v>
      </c>
    </row>
    <row r="27" spans="1:6" x14ac:dyDescent="0.2">
      <c r="B27" s="295" t="str">
        <f t="shared" si="0"/>
        <v>T</v>
      </c>
      <c r="C27" s="294" t="e">
        <f>+H2_Production!#REF!</f>
        <v>#REF!</v>
      </c>
      <c r="D27" s="294" t="e">
        <f>+H2_Production!#REF!</f>
        <v>#REF!</v>
      </c>
      <c r="E27" s="295" t="e">
        <f t="shared" si="1"/>
        <v>#REF!</v>
      </c>
      <c r="F27" s="295" t="e">
        <f t="shared" si="2"/>
        <v>#REF!</v>
      </c>
    </row>
    <row r="28" spans="1:6" x14ac:dyDescent="0.2">
      <c r="B28" s="295" t="str">
        <f t="shared" si="0"/>
        <v>T</v>
      </c>
      <c r="C28" s="294" t="e">
        <f>+H2_Production!#REF!</f>
        <v>#REF!</v>
      </c>
      <c r="D28" s="294" t="e">
        <f>+H2_Production!#REF!</f>
        <v>#REF!</v>
      </c>
      <c r="E28" s="295" t="e">
        <f t="shared" si="1"/>
        <v>#REF!</v>
      </c>
      <c r="F28" s="295" t="e">
        <f t="shared" si="2"/>
        <v>#REF!</v>
      </c>
    </row>
    <row r="29" spans="1:6" x14ac:dyDescent="0.2">
      <c r="B29" s="295" t="str">
        <f t="shared" si="0"/>
        <v>T</v>
      </c>
      <c r="C29" s="294" t="e">
        <f>+H2_Production!#REF!</f>
        <v>#REF!</v>
      </c>
      <c r="D29" s="294" t="e">
        <f>+H2_Production!#REF!</f>
        <v>#REF!</v>
      </c>
      <c r="E29" s="295" t="e">
        <f t="shared" si="1"/>
        <v>#REF!</v>
      </c>
      <c r="F29" s="295" t="e">
        <f t="shared" si="2"/>
        <v>#REF!</v>
      </c>
    </row>
    <row r="30" spans="1:6" x14ac:dyDescent="0.2">
      <c r="A30" s="294" t="s">
        <v>7</v>
      </c>
      <c r="B30" s="296" t="s">
        <v>786</v>
      </c>
      <c r="E30" s="295"/>
      <c r="F30" s="295"/>
    </row>
    <row r="31" spans="1:6" x14ac:dyDescent="0.2">
      <c r="B31" s="295" t="str">
        <f>IF(A31="*","","T")</f>
        <v>T</v>
      </c>
      <c r="C31" s="294" t="str">
        <f>+H2_Production!B6</f>
        <v>USMRGASHGN</v>
      </c>
      <c r="D31" s="294" t="str">
        <f>+H2_Production!A6</f>
        <v>Production Plant Hydrogen - Large SMR - Inland</v>
      </c>
      <c r="E31" s="295" t="str">
        <f>"PJ,"&amp;IF(RIGHT(C31,3)="ELC","GW","PJa")</f>
        <v>PJ,PJa</v>
      </c>
      <c r="F31" s="295" t="str">
        <f>"PRC,PRE,"&amp;IF(RIGHT(C31,3)="ELC","DAYNITE","ANNUAL")</f>
        <v>PRC,PRE,ANNUAL</v>
      </c>
    </row>
    <row r="32" spans="1:6" x14ac:dyDescent="0.2">
      <c r="B32" s="295" t="str">
        <f>IF(A32="*","","T")</f>
        <v>T</v>
      </c>
      <c r="C32" s="294" t="str">
        <f>H2_Production!B10</f>
        <v>USMRGICHGN</v>
      </c>
      <c r="D32" s="294" t="str">
        <f>H2_Production!A10</f>
        <v>Production Plant Hydrogen - Large SMR - Coastal</v>
      </c>
      <c r="E32" s="295" t="str">
        <f>"PJ,"&amp;IF(RIGHT(C32,3)="ELC","GW","PJa")</f>
        <v>PJ,PJa</v>
      </c>
      <c r="F32" s="295" t="str">
        <f>"PRC,PRE,"&amp;IF(RIGHT(C32,3)="ELC","DAYNITE","ANNUAL")</f>
        <v>PRC,PRE,ANNUAL</v>
      </c>
    </row>
    <row r="33" spans="2:6" x14ac:dyDescent="0.2">
      <c r="B33" s="295" t="str">
        <f>IF(A33="*","","T")</f>
        <v>T</v>
      </c>
      <c r="C33" s="294" t="str">
        <f>+H2_Production!B14</f>
        <v>UCOGCLEHGN</v>
      </c>
      <c r="D33" s="294" t="str">
        <f>+H2_Production!A14</f>
        <v>Production Plant Hydrogen - Large Coal Gasification</v>
      </c>
      <c r="E33" s="295" t="str">
        <f>"PJ,"&amp;IF(RIGHT(C33,3)="ELC","GW","PJa")</f>
        <v>PJ,PJa</v>
      </c>
      <c r="F33" s="295" t="str">
        <f>"PRC,PRE,"&amp;IF(RIGHT(C33,3)="ELC","DAYNITE","ANNUAL")</f>
        <v>PRC,PRE,ANNUAL</v>
      </c>
    </row>
    <row r="34" spans="2:6" x14ac:dyDescent="0.2">
      <c r="B34" s="295" t="str">
        <f>IF(A34="*","","T")</f>
        <v>T</v>
      </c>
      <c r="C34" s="294" t="str">
        <f>+H2_Production!B18</f>
        <v>UELEP1HGN</v>
      </c>
      <c r="D34" s="294" t="str">
        <f>+H2_Production!A18</f>
        <v>Production Plant Hydrogen Electrolysis PEM</v>
      </c>
      <c r="E34" s="295" t="str">
        <f>"PJ,"&amp;IF(RIGHT(C34,3)="ELC","GW","PJa")</f>
        <v>PJ,PJa</v>
      </c>
      <c r="F34" s="295" t="str">
        <f>"PRC,PRE,"&amp;IF(RIGHT(C34,3)="ELC","DAYNITE","DAYNITE")</f>
        <v>PRC,PRE,DAYNITE</v>
      </c>
    </row>
    <row r="35" spans="2:6" x14ac:dyDescent="0.2">
      <c r="B35" s="295" t="str">
        <f>IF(A35="*","","T")</f>
        <v>T</v>
      </c>
      <c r="C35" s="294" t="str">
        <f>H2_Production!B21</f>
        <v>UELEA1HGN</v>
      </c>
      <c r="D35" s="294" t="str">
        <f>H2_Production!A21</f>
        <v>Production Plant Hydrogen Electrolysis Alkaline</v>
      </c>
      <c r="E35" s="295" t="str">
        <f>"PJ,"&amp;IF(RIGHT(C35,3)="ELC","GW","PJa")</f>
        <v>PJ,PJa</v>
      </c>
      <c r="F35" s="295" t="str">
        <f>"PRC,PRE,"&amp;IF(RIGHT(C35,3)="ELC","DAYNITE","DAYNITE")</f>
        <v>PRC,PRE,DAYNITE</v>
      </c>
    </row>
  </sheetData>
  <pageMargins left="0.7" right="0.7" top="0.75" bottom="0.75" header="0.3" footer="0.3"/>
  <pageSetup paperSize="9" orientation="portrait" horizontalDpi="4294967292" verticalDpi="4294967292"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6EC81-ED0E-48D7-8D33-8B56D573E650}">
  <dimension ref="A1:AH33"/>
  <sheetViews>
    <sheetView workbookViewId="0"/>
  </sheetViews>
  <sheetFormatPr defaultColWidth="11.42578125" defaultRowHeight="12.75" x14ac:dyDescent="0.2"/>
  <cols>
    <col min="1" max="1" width="12.7109375" style="258" customWidth="1"/>
    <col min="2" max="2" width="6.7109375" style="258" customWidth="1"/>
    <col min="3" max="21" width="5.42578125" style="258" customWidth="1"/>
    <col min="22" max="23" width="5.7109375" style="258" customWidth="1"/>
    <col min="24" max="16384" width="11.42578125" style="258"/>
  </cols>
  <sheetData>
    <row r="1" spans="1:34" ht="15.75" customHeight="1" x14ac:dyDescent="0.25">
      <c r="A1" s="337" t="s">
        <v>808</v>
      </c>
      <c r="B1" s="337">
        <v>1991</v>
      </c>
      <c r="C1" s="337">
        <v>1992</v>
      </c>
      <c r="D1" s="337">
        <v>1993</v>
      </c>
      <c r="E1" s="337">
        <v>1994</v>
      </c>
      <c r="F1" s="337">
        <v>1995</v>
      </c>
      <c r="G1" s="337">
        <v>1996</v>
      </c>
      <c r="H1" s="337">
        <v>1997</v>
      </c>
      <c r="I1" s="337">
        <v>1998</v>
      </c>
      <c r="J1" s="337">
        <v>1999</v>
      </c>
      <c r="K1" s="337">
        <v>2000</v>
      </c>
      <c r="L1" s="337">
        <v>2001</v>
      </c>
      <c r="M1" s="337">
        <v>2002</v>
      </c>
      <c r="N1" s="337">
        <v>2003</v>
      </c>
      <c r="O1" s="337">
        <v>2004</v>
      </c>
      <c r="P1" s="337">
        <v>2005</v>
      </c>
      <c r="Q1" s="337">
        <v>2006</v>
      </c>
      <c r="R1" s="337">
        <v>2007</v>
      </c>
      <c r="S1" s="337">
        <v>2008</v>
      </c>
      <c r="T1" s="337">
        <v>2009</v>
      </c>
      <c r="U1" s="336">
        <v>2010</v>
      </c>
      <c r="V1" s="336">
        <v>2011</v>
      </c>
      <c r="W1" s="336">
        <v>2012</v>
      </c>
      <c r="X1" s="335">
        <v>2013</v>
      </c>
      <c r="Y1" s="335">
        <v>2014</v>
      </c>
      <c r="Z1" s="335">
        <v>2015</v>
      </c>
      <c r="AA1" s="335">
        <v>2016</v>
      </c>
      <c r="AB1" s="334">
        <v>2017</v>
      </c>
      <c r="AC1" s="334">
        <v>2018</v>
      </c>
      <c r="AD1" s="334">
        <v>2019</v>
      </c>
      <c r="AE1" s="321">
        <v>2020</v>
      </c>
      <c r="AF1" s="321">
        <v>2021</v>
      </c>
      <c r="AG1" s="321"/>
      <c r="AH1" s="333" t="s">
        <v>823</v>
      </c>
    </row>
    <row r="2" spans="1:34" ht="15.75" customHeight="1" x14ac:dyDescent="0.2">
      <c r="A2" s="332" t="s">
        <v>785</v>
      </c>
      <c r="B2" s="331">
        <v>15.727008694067001</v>
      </c>
      <c r="C2" s="331">
        <v>14.5711517216375</v>
      </c>
      <c r="D2" s="331">
        <v>13.0875688743451</v>
      </c>
      <c r="E2" s="331">
        <v>9.5940101543789797</v>
      </c>
      <c r="F2" s="331">
        <v>10.250325952765699</v>
      </c>
      <c r="G2" s="330">
        <v>7.9057626177225204</v>
      </c>
      <c r="H2" s="330">
        <v>7.9871533674518798</v>
      </c>
      <c r="I2" s="330">
        <v>7.7873391569621004</v>
      </c>
      <c r="J2" s="330">
        <v>7.0278247472558499</v>
      </c>
      <c r="K2" s="330">
        <v>8.7963222595021993</v>
      </c>
      <c r="L2" s="330">
        <v>7.6417362147513304</v>
      </c>
      <c r="M2" s="330">
        <v>12.205405688193901</v>
      </c>
      <c r="N2" s="330">
        <v>5.7936025975283902</v>
      </c>
      <c r="O2" s="330">
        <v>6.5271139772024496</v>
      </c>
      <c r="P2" s="330">
        <v>5.4490666230227598</v>
      </c>
      <c r="Q2" s="330">
        <v>6.2741537708994999</v>
      </c>
      <c r="R2" s="330">
        <v>8.8492898126298094</v>
      </c>
      <c r="S2" s="330">
        <v>8.8315688644124695</v>
      </c>
      <c r="T2" s="330">
        <v>7.5045113457487203</v>
      </c>
      <c r="U2" s="330">
        <v>6.3510267905241404</v>
      </c>
      <c r="V2" s="330">
        <v>6.6517827868979502</v>
      </c>
      <c r="W2" s="330">
        <v>5.5122264718124399</v>
      </c>
      <c r="X2" s="330">
        <v>5.9856351455896997</v>
      </c>
      <c r="Y2" s="330">
        <v>5.79552879780148</v>
      </c>
      <c r="Z2" s="330">
        <v>4.5454545454545414</v>
      </c>
      <c r="AA2" s="330">
        <v>6.3405797101449224</v>
      </c>
      <c r="AB2" s="329">
        <v>5.2725724020443065</v>
      </c>
      <c r="AC2" s="329">
        <v>4.6201148960271832</v>
      </c>
      <c r="AD2" s="329">
        <v>4.1299303944315469</v>
      </c>
      <c r="AE2" s="321"/>
      <c r="AF2" s="321"/>
      <c r="AG2" s="321"/>
      <c r="AH2" s="321"/>
    </row>
    <row r="3" spans="1:34" ht="15.75" customHeight="1" x14ac:dyDescent="0.2">
      <c r="A3" s="312">
        <f>B12</f>
        <v>2015</v>
      </c>
      <c r="B3" s="311">
        <f t="shared" ref="B3:Y3" si="0">IF(B1=$A$3,1,IF(B1&lt;$A3,C3/(1+C2/100),A3*(B2/100+1)))</f>
        <v>0.16025960579724249</v>
      </c>
      <c r="C3" s="311">
        <f t="shared" si="0"/>
        <v>0.18361127610645686</v>
      </c>
      <c r="D3" s="311">
        <f t="shared" si="0"/>
        <v>0.20764152832795335</v>
      </c>
      <c r="E3" s="311">
        <f t="shared" si="0"/>
        <v>0.22756267764044488</v>
      </c>
      <c r="F3" s="311">
        <f t="shared" si="0"/>
        <v>0.25088859384543194</v>
      </c>
      <c r="G3" s="311">
        <f t="shared" si="0"/>
        <v>0.27072325050979379</v>
      </c>
      <c r="H3" s="311">
        <f t="shared" si="0"/>
        <v>0.29234633172936197</v>
      </c>
      <c r="I3" s="311">
        <f t="shared" si="0"/>
        <v>0.31511233209406492</v>
      </c>
      <c r="J3" s="311">
        <f t="shared" si="0"/>
        <v>0.33725787455062667</v>
      </c>
      <c r="K3" s="311">
        <f t="shared" si="0"/>
        <v>0.36692416404164746</v>
      </c>
      <c r="L3" s="311">
        <f t="shared" si="0"/>
        <v>0.39496354076589157</v>
      </c>
      <c r="M3" s="311">
        <f t="shared" si="0"/>
        <v>0.44317044323682375</v>
      </c>
      <c r="N3" s="311">
        <f t="shared" si="0"/>
        <v>0.46884597754767043</v>
      </c>
      <c r="O3" s="311">
        <f t="shared" si="0"/>
        <v>0.49944808887973591</v>
      </c>
      <c r="P3" s="311">
        <f t="shared" si="0"/>
        <v>0.52666334799020664</v>
      </c>
      <c r="Q3" s="311">
        <f t="shared" si="0"/>
        <v>0.55970701629807973</v>
      </c>
      <c r="R3" s="311">
        <f t="shared" si="0"/>
        <v>0.6092371122719199</v>
      </c>
      <c r="S3" s="311">
        <f t="shared" si="0"/>
        <v>0.66304230738977243</v>
      </c>
      <c r="T3" s="311">
        <f t="shared" si="0"/>
        <v>0.71280039257495198</v>
      </c>
      <c r="U3" s="310">
        <f t="shared" si="0"/>
        <v>0.7580705364703485</v>
      </c>
      <c r="V3" s="310">
        <f t="shared" si="0"/>
        <v>0.80849574192782814</v>
      </c>
      <c r="W3" s="310">
        <f t="shared" si="0"/>
        <v>0.8530618582378503</v>
      </c>
      <c r="X3" s="328">
        <f t="shared" si="0"/>
        <v>0.90412302863815563</v>
      </c>
      <c r="Y3" s="328">
        <f t="shared" si="0"/>
        <v>0.95652173913043481</v>
      </c>
      <c r="Z3" s="328">
        <f>IF(Z1=$A$3,1,IF(Z1&lt;$A3,#REF!/(1+#REF!/100),Y3*(Z2/100+1)))</f>
        <v>1</v>
      </c>
      <c r="AA3" s="328">
        <f>IF(AA1=$A$3,1,IF(AA1&lt;$A3,#REF!/(1+#REF!/100),Z3*(AA2/100+1)))</f>
        <v>1.0634057971014492</v>
      </c>
      <c r="AB3" s="327">
        <f>IF(AB1=$A$3,1,IF(AB1&lt;$A3,#REF!/(1+#REF!/100),AA3*(AB2/100+1)))</f>
        <v>1.1194746376811595</v>
      </c>
      <c r="AC3" s="327">
        <f>IF(AC1=$A$3,1,IF(AC1&lt;$A3,#REF!/(1+#REF!/100),AB3*(AC2/100+1)))</f>
        <v>1.1711956521739131</v>
      </c>
      <c r="AD3" s="327">
        <f>IF(AD1=$A$3,1,IF(AD1&lt;$A3,#REF!/(1+#REF!/100),AC3*(AD2/100+1)))</f>
        <v>1.2195652173913043</v>
      </c>
      <c r="AE3" s="326">
        <f>1/AE4</f>
        <v>1.2594458438287153</v>
      </c>
      <c r="AF3" s="325">
        <f>1/AF4</f>
        <v>1.3020833333333333</v>
      </c>
      <c r="AG3" s="321"/>
      <c r="AH3" s="321"/>
    </row>
    <row r="4" spans="1:34" ht="15.75" customHeight="1" x14ac:dyDescent="0.2">
      <c r="A4" s="312" t="s">
        <v>810</v>
      </c>
      <c r="B4" s="311">
        <f t="shared" ref="B4:AD4" si="1">1/B3</f>
        <v>6.2398755757903315</v>
      </c>
      <c r="C4" s="311">
        <f t="shared" si="1"/>
        <v>5.4462886005988285</v>
      </c>
      <c r="D4" s="311">
        <f t="shared" si="1"/>
        <v>4.8159922923538652</v>
      </c>
      <c r="E4" s="311">
        <f t="shared" si="1"/>
        <v>4.3943937132785313</v>
      </c>
      <c r="F4" s="311">
        <f t="shared" si="1"/>
        <v>3.9858328538286698</v>
      </c>
      <c r="G4" s="311">
        <f t="shared" si="1"/>
        <v>3.6938090766748668</v>
      </c>
      <c r="H4" s="311">
        <f t="shared" si="1"/>
        <v>3.4206004709706588</v>
      </c>
      <c r="I4" s="311">
        <f t="shared" si="1"/>
        <v>3.1734714835009621</v>
      </c>
      <c r="J4" s="311">
        <f t="shared" si="1"/>
        <v>2.9650901445442375</v>
      </c>
      <c r="K4" s="311">
        <f t="shared" si="1"/>
        <v>2.7253588016255472</v>
      </c>
      <c r="L4" s="311">
        <f t="shared" si="1"/>
        <v>2.5318792667820809</v>
      </c>
      <c r="M4" s="311">
        <f t="shared" si="1"/>
        <v>2.2564681721466129</v>
      </c>
      <c r="N4" s="311">
        <f t="shared" si="1"/>
        <v>2.1328966182680409</v>
      </c>
      <c r="O4" s="311">
        <f t="shared" si="1"/>
        <v>2.0022100840209522</v>
      </c>
      <c r="P4" s="311">
        <f t="shared" si="1"/>
        <v>1.8987461417546663</v>
      </c>
      <c r="Q4" s="311">
        <f t="shared" si="1"/>
        <v>1.7866490340143175</v>
      </c>
      <c r="R4" s="311">
        <f t="shared" si="1"/>
        <v>1.6413970519144465</v>
      </c>
      <c r="S4" s="311">
        <f t="shared" si="1"/>
        <v>1.5081993846467259</v>
      </c>
      <c r="T4" s="311">
        <f t="shared" si="1"/>
        <v>1.4029172969273422</v>
      </c>
      <c r="U4" s="310">
        <f t="shared" si="1"/>
        <v>1.3191384599328964</v>
      </c>
      <c r="V4" s="310">
        <f t="shared" si="1"/>
        <v>1.2368648938280578</v>
      </c>
      <c r="W4" s="310">
        <f t="shared" si="1"/>
        <v>1.1722479329525719</v>
      </c>
      <c r="X4" s="324">
        <f t="shared" si="1"/>
        <v>1.106044164704288</v>
      </c>
      <c r="Y4" s="324">
        <f t="shared" si="1"/>
        <v>1.0454545454545454</v>
      </c>
      <c r="Z4" s="323">
        <f t="shared" si="1"/>
        <v>1</v>
      </c>
      <c r="AA4" s="323">
        <f t="shared" si="1"/>
        <v>0.94037478705281097</v>
      </c>
      <c r="AB4" s="322">
        <f t="shared" si="1"/>
        <v>0.89327615502872393</v>
      </c>
      <c r="AC4" s="322">
        <f t="shared" si="1"/>
        <v>0.85382830626450112</v>
      </c>
      <c r="AD4" s="322">
        <f t="shared" si="1"/>
        <v>0.81996434937611407</v>
      </c>
      <c r="AE4" s="321">
        <v>0.79400000000000004</v>
      </c>
      <c r="AF4" s="321">
        <v>0.76800000000000002</v>
      </c>
      <c r="AG4" s="321"/>
      <c r="AH4" s="321"/>
    </row>
    <row r="5" spans="1:34" x14ac:dyDescent="0.2">
      <c r="A5" s="258" t="s">
        <v>822</v>
      </c>
      <c r="U5" s="308"/>
      <c r="V5" s="308"/>
      <c r="W5" s="308"/>
    </row>
    <row r="6" spans="1:34" x14ac:dyDescent="0.2">
      <c r="A6" s="74" t="s">
        <v>821</v>
      </c>
      <c r="U6" s="308"/>
      <c r="V6" s="308"/>
      <c r="W6" s="308"/>
    </row>
    <row r="7" spans="1:34" x14ac:dyDescent="0.2">
      <c r="A7" s="258" t="s">
        <v>820</v>
      </c>
      <c r="U7" s="308"/>
      <c r="V7" s="308"/>
      <c r="W7" s="308"/>
    </row>
    <row r="8" spans="1:34" x14ac:dyDescent="0.2">
      <c r="U8" s="308"/>
      <c r="V8" s="308"/>
      <c r="W8" s="308"/>
    </row>
    <row r="9" spans="1:34" x14ac:dyDescent="0.2">
      <c r="A9" s="258" t="s">
        <v>819</v>
      </c>
      <c r="U9" s="308"/>
      <c r="V9" s="308"/>
      <c r="W9" s="308"/>
    </row>
    <row r="10" spans="1:34" ht="15" x14ac:dyDescent="0.25">
      <c r="B10" s="320">
        <v>2010</v>
      </c>
      <c r="C10" s="258" t="s">
        <v>817</v>
      </c>
      <c r="U10" s="308"/>
      <c r="V10" s="308"/>
      <c r="W10" s="308"/>
      <c r="AA10" s="258">
        <v>2005</v>
      </c>
    </row>
    <row r="11" spans="1:34" x14ac:dyDescent="0.2">
      <c r="A11" s="258" t="s">
        <v>818</v>
      </c>
      <c r="U11" s="308"/>
      <c r="V11" s="308"/>
      <c r="W11" s="308"/>
      <c r="AA11" s="258">
        <v>2006</v>
      </c>
    </row>
    <row r="12" spans="1:34" ht="15" x14ac:dyDescent="0.25">
      <c r="B12" s="320">
        <v>2015</v>
      </c>
      <c r="C12" s="258" t="s">
        <v>817</v>
      </c>
      <c r="U12" s="308"/>
      <c r="V12" s="308"/>
      <c r="W12" s="308"/>
      <c r="AA12" s="258">
        <v>2007</v>
      </c>
    </row>
    <row r="13" spans="1:34" x14ac:dyDescent="0.2">
      <c r="A13" s="258" t="s">
        <v>816</v>
      </c>
      <c r="U13" s="308"/>
      <c r="V13" s="308"/>
      <c r="W13" s="308"/>
      <c r="X13" s="258">
        <f>PRODUCT(P17:T17)</f>
        <v>1.1326254216924159</v>
      </c>
      <c r="AA13" s="258">
        <v>2008</v>
      </c>
    </row>
    <row r="14" spans="1:34" ht="15" x14ac:dyDescent="0.25">
      <c r="A14" s="258" t="s">
        <v>815</v>
      </c>
      <c r="B14" s="319">
        <f>1/B15</f>
        <v>1.3191384599328964</v>
      </c>
      <c r="U14" s="308"/>
      <c r="V14" s="308"/>
      <c r="W14" s="308"/>
      <c r="AA14" s="258">
        <v>2009</v>
      </c>
    </row>
    <row r="15" spans="1:34" ht="15" x14ac:dyDescent="0.25">
      <c r="A15" s="258" t="s">
        <v>814</v>
      </c>
      <c r="B15" s="318">
        <f>SUMIF($B$1:$U$1,B10,$B$3:$U$3)</f>
        <v>0.7580705364703485</v>
      </c>
      <c r="U15" s="308"/>
      <c r="V15" s="308"/>
      <c r="W15" s="308"/>
      <c r="AA15" s="258">
        <v>2010</v>
      </c>
    </row>
    <row r="16" spans="1:34" x14ac:dyDescent="0.2">
      <c r="U16" s="308"/>
      <c r="W16" s="308"/>
    </row>
    <row r="17" spans="1:25" x14ac:dyDescent="0.2">
      <c r="A17" s="258" t="s">
        <v>813</v>
      </c>
      <c r="P17" s="258">
        <f t="shared" ref="P17:U17" si="2">(1+P19/100)</f>
        <v>1.0333465966170388</v>
      </c>
      <c r="Q17" s="258">
        <f t="shared" si="2"/>
        <v>1.0325252979731299</v>
      </c>
      <c r="R17" s="258">
        <f t="shared" si="2"/>
        <v>1.0294106674465962</v>
      </c>
      <c r="S17" s="258">
        <f t="shared" si="2"/>
        <v>1.0217815161638351</v>
      </c>
      <c r="T17" s="258">
        <f t="shared" si="2"/>
        <v>1.0092363494772816</v>
      </c>
      <c r="U17" s="258">
        <f t="shared" si="2"/>
        <v>1.0115232634848643</v>
      </c>
      <c r="V17" s="308">
        <f>V20/U20</f>
        <v>1.0273128343245979</v>
      </c>
      <c r="W17" s="308"/>
    </row>
    <row r="18" spans="1:25" ht="15.75" customHeight="1" x14ac:dyDescent="0.2">
      <c r="A18" s="307" t="s">
        <v>808</v>
      </c>
      <c r="B18" s="307">
        <v>1991</v>
      </c>
      <c r="C18" s="307">
        <v>1992</v>
      </c>
      <c r="D18" s="307">
        <v>1993</v>
      </c>
      <c r="E18" s="307">
        <v>1994</v>
      </c>
      <c r="F18" s="307">
        <v>1995</v>
      </c>
      <c r="G18" s="307">
        <v>1996</v>
      </c>
      <c r="H18" s="307">
        <v>1997</v>
      </c>
      <c r="I18" s="307">
        <v>1998</v>
      </c>
      <c r="J18" s="307">
        <v>1999</v>
      </c>
      <c r="K18" s="307">
        <v>2000</v>
      </c>
      <c r="L18" s="307">
        <v>2001</v>
      </c>
      <c r="M18" s="307">
        <v>2002</v>
      </c>
      <c r="N18" s="307">
        <v>2003</v>
      </c>
      <c r="O18" s="307">
        <v>2004</v>
      </c>
      <c r="P18" s="307">
        <v>2005</v>
      </c>
      <c r="Q18" s="307">
        <v>2006</v>
      </c>
      <c r="R18" s="307">
        <v>2007</v>
      </c>
      <c r="S18" s="307">
        <v>2008</v>
      </c>
      <c r="T18" s="307">
        <v>2009</v>
      </c>
      <c r="U18" s="306">
        <v>2010</v>
      </c>
      <c r="V18" s="306">
        <v>2011</v>
      </c>
      <c r="W18" s="306">
        <v>2012</v>
      </c>
      <c r="X18" s="258">
        <v>2013</v>
      </c>
      <c r="Y18" s="258">
        <v>2014</v>
      </c>
    </row>
    <row r="19" spans="1:25" ht="15.75" customHeight="1" x14ac:dyDescent="0.2">
      <c r="A19" s="305" t="s">
        <v>812</v>
      </c>
      <c r="B19" s="304">
        <v>3.3994252378249699</v>
      </c>
      <c r="C19" s="304">
        <v>2.1054788150436798</v>
      </c>
      <c r="D19" s="304">
        <v>2.1924332890308</v>
      </c>
      <c r="E19" s="304">
        <v>2.0360309460728101</v>
      </c>
      <c r="F19" s="304">
        <v>2.3263787079223999</v>
      </c>
      <c r="G19" s="304">
        <v>1.7717629484628601</v>
      </c>
      <c r="H19" s="304">
        <v>1.9273567571815799</v>
      </c>
      <c r="I19" s="304">
        <v>1.4055393887866201</v>
      </c>
      <c r="J19" s="304">
        <v>1.46557115641922</v>
      </c>
      <c r="K19" s="304">
        <v>2.1635805504784602</v>
      </c>
      <c r="L19" s="304">
        <v>2.2671398465768702</v>
      </c>
      <c r="M19" s="304">
        <v>1.6245670393856999</v>
      </c>
      <c r="N19" s="304">
        <v>2.1553754412521502</v>
      </c>
      <c r="O19" s="304">
        <v>2.8345692622040302</v>
      </c>
      <c r="P19" s="304">
        <v>3.33465966170388</v>
      </c>
      <c r="Q19" s="304">
        <v>3.2525297973129899</v>
      </c>
      <c r="R19" s="304">
        <v>2.9410667446596199</v>
      </c>
      <c r="S19" s="304">
        <v>2.1781516163835</v>
      </c>
      <c r="T19" s="304">
        <v>0.92363494772816102</v>
      </c>
      <c r="U19" s="314">
        <v>1.1523263484864299</v>
      </c>
      <c r="V19" s="314">
        <v>2.7312834324597901</v>
      </c>
      <c r="W19" s="313">
        <v>2.7312834324597901</v>
      </c>
      <c r="X19" s="317">
        <f>W19</f>
        <v>2.7312834324597901</v>
      </c>
      <c r="Y19" s="317">
        <f>X19</f>
        <v>2.7312834324597901</v>
      </c>
    </row>
    <row r="20" spans="1:25" x14ac:dyDescent="0.2">
      <c r="A20" s="312">
        <v>2010</v>
      </c>
      <c r="B20" s="311">
        <f t="shared" ref="B20:Y20" si="3">IF(B18=$A$20,1,IF(B18&lt;$A20,C20/(1+C19/100),A20*(B19/100+1)))</f>
        <v>0.67297533398349141</v>
      </c>
      <c r="C20" s="311">
        <f t="shared" si="3"/>
        <v>0.68714468707098331</v>
      </c>
      <c r="D20" s="311">
        <f t="shared" si="3"/>
        <v>0.70220987593413409</v>
      </c>
      <c r="E20" s="311">
        <f t="shared" si="3"/>
        <v>0.71650708631453253</v>
      </c>
      <c r="F20" s="311">
        <f t="shared" si="3"/>
        <v>0.73317575461130902</v>
      </c>
      <c r="G20" s="311">
        <f t="shared" si="3"/>
        <v>0.74616589097862518</v>
      </c>
      <c r="H20" s="311">
        <f t="shared" si="3"/>
        <v>0.76054716969818592</v>
      </c>
      <c r="I20" s="311">
        <f t="shared" si="3"/>
        <v>0.77123695973859574</v>
      </c>
      <c r="J20" s="311">
        <f t="shared" si="3"/>
        <v>0.782539986168169</v>
      </c>
      <c r="K20" s="311">
        <f t="shared" si="3"/>
        <v>0.79947086910862031</v>
      </c>
      <c r="L20" s="311">
        <f t="shared" si="3"/>
        <v>0.81759599174395625</v>
      </c>
      <c r="M20" s="311">
        <f t="shared" si="3"/>
        <v>0.8308783867411671</v>
      </c>
      <c r="N20" s="311">
        <f t="shared" si="3"/>
        <v>0.84878693543565831</v>
      </c>
      <c r="O20" s="311">
        <f t="shared" si="3"/>
        <v>0.87284638900912104</v>
      </c>
      <c r="P20" s="311">
        <f t="shared" si="3"/>
        <v>0.90195284545204713</v>
      </c>
      <c r="Q20" s="316">
        <f t="shared" si="3"/>
        <v>0.93128913050808726</v>
      </c>
      <c r="R20" s="311">
        <f t="shared" si="3"/>
        <v>0.9586789654220903</v>
      </c>
      <c r="S20" s="311">
        <f t="shared" si="3"/>
        <v>0.97956044680336019</v>
      </c>
      <c r="T20" s="311">
        <f t="shared" si="3"/>
        <v>0.98860800942415816</v>
      </c>
      <c r="U20" s="310">
        <f t="shared" si="3"/>
        <v>1</v>
      </c>
      <c r="V20" s="310">
        <f t="shared" si="3"/>
        <v>1.0273128343245979</v>
      </c>
      <c r="W20" s="310">
        <f t="shared" si="3"/>
        <v>1.0553716595680387</v>
      </c>
      <c r="X20" s="315">
        <f t="shared" si="3"/>
        <v>1.0841968508566964</v>
      </c>
      <c r="Y20" s="315">
        <f t="shared" si="3"/>
        <v>1.113809339819396</v>
      </c>
    </row>
    <row r="21" spans="1:25" x14ac:dyDescent="0.2">
      <c r="A21" s="312" t="s">
        <v>810</v>
      </c>
      <c r="B21" s="311">
        <f t="shared" ref="B21:Y21" si="4">1/B20</f>
        <v>1.4859385619392267</v>
      </c>
      <c r="C21" s="311">
        <f t="shared" si="4"/>
        <v>1.4552975797027419</v>
      </c>
      <c r="D21" s="311">
        <f t="shared" si="4"/>
        <v>1.424075670638671</v>
      </c>
      <c r="E21" s="311">
        <f t="shared" si="4"/>
        <v>1.395659609095645</v>
      </c>
      <c r="F21" s="311">
        <f t="shared" si="4"/>
        <v>1.3639294448984434</v>
      </c>
      <c r="G21" s="311">
        <f t="shared" si="4"/>
        <v>1.3401845515726558</v>
      </c>
      <c r="H21" s="311">
        <f t="shared" si="4"/>
        <v>1.314842839263787</v>
      </c>
      <c r="I21" s="311">
        <f t="shared" si="4"/>
        <v>1.2966183575265138</v>
      </c>
      <c r="J21" s="311">
        <f t="shared" si="4"/>
        <v>1.2778899707050861</v>
      </c>
      <c r="K21" s="311">
        <f t="shared" si="4"/>
        <v>1.2508273142146655</v>
      </c>
      <c r="L21" s="311">
        <f t="shared" si="4"/>
        <v>1.2230979727126239</v>
      </c>
      <c r="M21" s="311">
        <f t="shared" si="4"/>
        <v>1.2035455681091356</v>
      </c>
      <c r="N21" s="311">
        <f t="shared" si="4"/>
        <v>1.1781519698895087</v>
      </c>
      <c r="O21" s="311">
        <f t="shared" si="4"/>
        <v>1.1456769628562331</v>
      </c>
      <c r="P21" s="311">
        <f t="shared" si="4"/>
        <v>1.1087054107566043</v>
      </c>
      <c r="Q21" s="311">
        <f t="shared" si="4"/>
        <v>1.0737803838153097</v>
      </c>
      <c r="R21" s="311">
        <f t="shared" si="4"/>
        <v>1.0431020561296207</v>
      </c>
      <c r="S21" s="311">
        <f t="shared" si="4"/>
        <v>1.020866045850811</v>
      </c>
      <c r="T21" s="311">
        <f t="shared" si="4"/>
        <v>1.0115232634848643</v>
      </c>
      <c r="U21" s="310">
        <f t="shared" si="4"/>
        <v>1</v>
      </c>
      <c r="V21" s="310">
        <f t="shared" si="4"/>
        <v>0.97341332317477125</v>
      </c>
      <c r="W21" s="310">
        <f t="shared" si="4"/>
        <v>0.94753349773415163</v>
      </c>
      <c r="X21" s="310">
        <f t="shared" si="4"/>
        <v>0.9223417308488151</v>
      </c>
      <c r="Y21" s="310">
        <f t="shared" si="4"/>
        <v>0.89781972932831555</v>
      </c>
    </row>
    <row r="22" spans="1:25" x14ac:dyDescent="0.2">
      <c r="U22" s="308"/>
      <c r="V22" s="308"/>
      <c r="W22" s="308"/>
    </row>
    <row r="23" spans="1:25" x14ac:dyDescent="0.2">
      <c r="A23" s="309" t="s">
        <v>811</v>
      </c>
      <c r="U23" s="308"/>
      <c r="V23" s="308"/>
      <c r="W23" s="308"/>
    </row>
    <row r="24" spans="1:25" ht="15.75" customHeight="1" x14ac:dyDescent="0.2">
      <c r="A24" s="307" t="s">
        <v>808</v>
      </c>
      <c r="B24" s="307">
        <v>1991</v>
      </c>
      <c r="C24" s="307">
        <v>1992</v>
      </c>
      <c r="D24" s="307">
        <v>1993</v>
      </c>
      <c r="E24" s="307">
        <v>1994</v>
      </c>
      <c r="F24" s="307">
        <v>1995</v>
      </c>
      <c r="G24" s="307">
        <v>1996</v>
      </c>
      <c r="H24" s="307">
        <v>1997</v>
      </c>
      <c r="I24" s="307">
        <v>1998</v>
      </c>
      <c r="J24" s="307">
        <v>1999</v>
      </c>
      <c r="K24" s="307">
        <v>2000</v>
      </c>
      <c r="L24" s="307">
        <v>2001</v>
      </c>
      <c r="M24" s="307">
        <v>2002</v>
      </c>
      <c r="N24" s="307">
        <v>2003</v>
      </c>
      <c r="O24" s="307">
        <v>2004</v>
      </c>
      <c r="P24" s="307">
        <v>2005</v>
      </c>
      <c r="Q24" s="307">
        <v>2006</v>
      </c>
      <c r="R24" s="307">
        <v>2007</v>
      </c>
      <c r="S24" s="307">
        <v>2008</v>
      </c>
      <c r="T24" s="307">
        <v>2009</v>
      </c>
      <c r="U24" s="306">
        <v>2010</v>
      </c>
      <c r="V24" s="306">
        <v>2011</v>
      </c>
      <c r="W24" s="306">
        <v>2012</v>
      </c>
    </row>
    <row r="25" spans="1:25" ht="15.75" customHeight="1" x14ac:dyDescent="0.2">
      <c r="A25" s="305" t="s">
        <v>785</v>
      </c>
      <c r="B25" s="304">
        <v>2.7613150000000002</v>
      </c>
      <c r="C25" s="304">
        <v>2.8520141666666698</v>
      </c>
      <c r="D25" s="304">
        <v>3.2677415833333301</v>
      </c>
      <c r="E25" s="304">
        <v>3.5507983333333302</v>
      </c>
      <c r="F25" s="304">
        <v>3.6270850000000001</v>
      </c>
      <c r="G25" s="304">
        <v>4.2993491666666701</v>
      </c>
      <c r="H25" s="304">
        <v>4.6079616666666698</v>
      </c>
      <c r="I25" s="304">
        <v>5.52828416666667</v>
      </c>
      <c r="J25" s="304">
        <v>6.1094841666666699</v>
      </c>
      <c r="K25" s="304">
        <v>6.9398283333333302</v>
      </c>
      <c r="L25" s="304">
        <v>8.6091808333333297</v>
      </c>
      <c r="M25" s="304">
        <v>10.540746666666699</v>
      </c>
      <c r="N25" s="304">
        <v>7.5647491666666697</v>
      </c>
      <c r="O25" s="304">
        <v>6.4596925000000001</v>
      </c>
      <c r="P25" s="304">
        <v>6.3593283333333304</v>
      </c>
      <c r="Q25" s="304">
        <v>6.7715491666666701</v>
      </c>
      <c r="R25" s="304">
        <v>7.0453650000000003</v>
      </c>
      <c r="S25" s="304">
        <v>8.26122333333333</v>
      </c>
      <c r="T25" s="304">
        <v>8.4736741582488797</v>
      </c>
      <c r="U25" s="303">
        <v>7.3212219611528804</v>
      </c>
      <c r="V25" s="314">
        <v>7.2611321323273499</v>
      </c>
      <c r="W25" s="313">
        <v>8.5</v>
      </c>
    </row>
    <row r="26" spans="1:25" x14ac:dyDescent="0.2">
      <c r="A26" s="312">
        <v>2005</v>
      </c>
      <c r="B26" s="311">
        <f t="shared" ref="B26:W26" si="5">IF(B24=$A$26,1,IF(B24&lt;$A26,C26/(1+C25/100),A26*(B25/100+1)))</f>
        <v>0.45926906270745477</v>
      </c>
      <c r="C26" s="311">
        <f t="shared" si="5"/>
        <v>0.4723674814389886</v>
      </c>
      <c r="D26" s="311">
        <f t="shared" si="5"/>
        <v>0.48780323005611481</v>
      </c>
      <c r="E26" s="311">
        <f t="shared" si="5"/>
        <v>0.50512413901889353</v>
      </c>
      <c r="F26" s="311">
        <f t="shared" si="5"/>
        <v>0.52344542089662693</v>
      </c>
      <c r="G26" s="311">
        <f t="shared" si="5"/>
        <v>0.54595016723790091</v>
      </c>
      <c r="H26" s="311">
        <f t="shared" si="5"/>
        <v>0.57110734166332588</v>
      </c>
      <c r="I26" s="311">
        <f t="shared" si="5"/>
        <v>0.60267977840717046</v>
      </c>
      <c r="J26" s="311">
        <f t="shared" si="5"/>
        <v>0.63950040404465835</v>
      </c>
      <c r="K26" s="311">
        <f t="shared" si="5"/>
        <v>0.68388063427633072</v>
      </c>
      <c r="L26" s="311">
        <f t="shared" si="5"/>
        <v>0.742757154765327</v>
      </c>
      <c r="M26" s="311">
        <f t="shared" si="5"/>
        <v>0.82104930479768157</v>
      </c>
      <c r="N26" s="311">
        <f t="shared" si="5"/>
        <v>0.88315962524028668</v>
      </c>
      <c r="O26" s="311">
        <f t="shared" si="5"/>
        <v>0.94020902131496165</v>
      </c>
      <c r="P26" s="311">
        <f t="shared" si="5"/>
        <v>1</v>
      </c>
      <c r="Q26" s="311">
        <f t="shared" si="5"/>
        <v>1.0677154916666667</v>
      </c>
      <c r="R26" s="311">
        <f t="shared" si="5"/>
        <v>1.142939945216128</v>
      </c>
      <c r="S26" s="311">
        <f t="shared" si="5"/>
        <v>1.2373607666563098</v>
      </c>
      <c r="T26" s="311">
        <f t="shared" si="5"/>
        <v>1.3422106861847758</v>
      </c>
      <c r="U26" s="310">
        <f t="shared" si="5"/>
        <v>1.4404769097066763</v>
      </c>
      <c r="V26" s="310">
        <f t="shared" si="5"/>
        <v>1.5450718414561437</v>
      </c>
      <c r="W26" s="310">
        <f t="shared" si="5"/>
        <v>1.6764029479799158</v>
      </c>
    </row>
    <row r="27" spans="1:25" x14ac:dyDescent="0.2">
      <c r="A27" s="312" t="s">
        <v>810</v>
      </c>
      <c r="B27" s="311">
        <f t="shared" ref="B27:W27" si="6">1/B26</f>
        <v>2.1773728761629654</v>
      </c>
      <c r="C27" s="311">
        <f t="shared" si="6"/>
        <v>2.1169958544852983</v>
      </c>
      <c r="D27" s="311">
        <f t="shared" si="6"/>
        <v>2.0500069257125753</v>
      </c>
      <c r="E27" s="311">
        <f t="shared" si="6"/>
        <v>1.9797113674715836</v>
      </c>
      <c r="F27" s="311">
        <f t="shared" si="6"/>
        <v>1.9104188518586465</v>
      </c>
      <c r="G27" s="311">
        <f t="shared" si="6"/>
        <v>1.8316690057249205</v>
      </c>
      <c r="H27" s="311">
        <f t="shared" si="6"/>
        <v>1.7509843194933241</v>
      </c>
      <c r="I27" s="311">
        <f t="shared" si="6"/>
        <v>1.6592559362832977</v>
      </c>
      <c r="J27" s="311">
        <f t="shared" si="6"/>
        <v>1.563720669565311</v>
      </c>
      <c r="K27" s="311">
        <f t="shared" si="6"/>
        <v>1.4622434820927204</v>
      </c>
      <c r="L27" s="311">
        <f t="shared" si="6"/>
        <v>1.3463350619839516</v>
      </c>
      <c r="M27" s="311">
        <f t="shared" si="6"/>
        <v>1.2179536529129813</v>
      </c>
      <c r="N27" s="311">
        <f t="shared" si="6"/>
        <v>1.1322981388873203</v>
      </c>
      <c r="O27" s="311">
        <f t="shared" si="6"/>
        <v>1.0635932833333333</v>
      </c>
      <c r="P27" s="311">
        <f t="shared" si="6"/>
        <v>1</v>
      </c>
      <c r="Q27" s="311">
        <f t="shared" si="6"/>
        <v>0.93657908666196721</v>
      </c>
      <c r="R27" s="311">
        <f t="shared" si="6"/>
        <v>0.87493660903670811</v>
      </c>
      <c r="S27" s="311">
        <f t="shared" si="6"/>
        <v>0.80817173693188604</v>
      </c>
      <c r="T27" s="311">
        <f t="shared" si="6"/>
        <v>0.74503951599617557</v>
      </c>
      <c r="U27" s="310">
        <f t="shared" si="6"/>
        <v>0.69421452941139439</v>
      </c>
      <c r="V27" s="310">
        <f t="shared" si="6"/>
        <v>0.64721909568784575</v>
      </c>
      <c r="W27" s="310">
        <f t="shared" si="6"/>
        <v>0.59651529556483485</v>
      </c>
    </row>
    <row r="28" spans="1:25" x14ac:dyDescent="0.2">
      <c r="U28" s="308"/>
      <c r="V28" s="308"/>
      <c r="W28" s="308"/>
    </row>
    <row r="29" spans="1:25" x14ac:dyDescent="0.2">
      <c r="A29" s="309" t="s">
        <v>809</v>
      </c>
      <c r="U29" s="308"/>
      <c r="V29" s="308"/>
      <c r="W29" s="308"/>
    </row>
    <row r="30" spans="1:25" ht="15.75" customHeight="1" x14ac:dyDescent="0.2">
      <c r="A30" s="307" t="s">
        <v>808</v>
      </c>
      <c r="B30" s="307">
        <v>1991</v>
      </c>
      <c r="C30" s="307">
        <v>1992</v>
      </c>
      <c r="D30" s="307">
        <v>1993</v>
      </c>
      <c r="E30" s="307">
        <v>1994</v>
      </c>
      <c r="F30" s="307">
        <v>1995</v>
      </c>
      <c r="G30" s="307">
        <v>1996</v>
      </c>
      <c r="H30" s="307">
        <v>1997</v>
      </c>
      <c r="I30" s="307">
        <v>1998</v>
      </c>
      <c r="J30" s="307">
        <v>1999</v>
      </c>
      <c r="K30" s="307">
        <v>2000</v>
      </c>
      <c r="L30" s="307">
        <v>2001</v>
      </c>
      <c r="M30" s="307">
        <v>2002</v>
      </c>
      <c r="N30" s="307">
        <v>2003</v>
      </c>
      <c r="O30" s="307">
        <v>2004</v>
      </c>
      <c r="P30" s="307">
        <v>2005</v>
      </c>
      <c r="Q30" s="307">
        <v>2006</v>
      </c>
      <c r="R30" s="307">
        <v>2007</v>
      </c>
      <c r="S30" s="307">
        <v>2008</v>
      </c>
      <c r="T30" s="307">
        <v>2009</v>
      </c>
      <c r="U30" s="306">
        <v>2010</v>
      </c>
      <c r="V30" s="306">
        <v>2011</v>
      </c>
      <c r="W30" s="306">
        <v>2012</v>
      </c>
    </row>
    <row r="31" spans="1:25" ht="15.75" customHeight="1" x14ac:dyDescent="0.2">
      <c r="A31" s="305" t="s">
        <v>785</v>
      </c>
      <c r="B31" s="304">
        <v>120.919166666666</v>
      </c>
      <c r="C31" s="304">
        <v>124.9175</v>
      </c>
      <c r="D31" s="304">
        <v>122.595</v>
      </c>
      <c r="E31" s="304">
        <v>117.354166666667</v>
      </c>
      <c r="F31" s="304">
        <v>114.07250000000001</v>
      </c>
      <c r="G31" s="304">
        <v>105.07</v>
      </c>
      <c r="H31" s="304">
        <v>110.886666666667</v>
      </c>
      <c r="I31" s="304">
        <v>101.948333333333</v>
      </c>
      <c r="J31" s="304">
        <v>96.432500000000005</v>
      </c>
      <c r="K31" s="304">
        <v>93.360833333333304</v>
      </c>
      <c r="L31" s="304">
        <v>82.358333333333306</v>
      </c>
      <c r="M31" s="304">
        <v>70.561666666666696</v>
      </c>
      <c r="N31" s="304">
        <v>91.406666666666695</v>
      </c>
      <c r="O31" s="304">
        <v>99.689166666666793</v>
      </c>
      <c r="P31" s="304">
        <v>100</v>
      </c>
      <c r="Q31" s="304">
        <v>96.115833333333299</v>
      </c>
      <c r="R31" s="304">
        <v>90.378333333333302</v>
      </c>
      <c r="S31" s="304">
        <v>80.405000000000001</v>
      </c>
      <c r="T31" s="304">
        <v>87.792500000000004</v>
      </c>
      <c r="U31" s="303">
        <v>101.2</v>
      </c>
      <c r="V31" s="303">
        <v>99.1</v>
      </c>
      <c r="W31" s="303"/>
    </row>
    <row r="32" spans="1:25" ht="13.5" thickBot="1" x14ac:dyDescent="0.25"/>
    <row r="33" spans="1:6" ht="13.5" thickBot="1" x14ac:dyDescent="0.25">
      <c r="A33" s="258" t="s">
        <v>807</v>
      </c>
      <c r="F33" s="302">
        <f>[3]PRI!E51</f>
        <v>11.914999999999999</v>
      </c>
    </row>
  </sheetData>
  <hyperlinks>
    <hyperlink ref="A6" r:id="rId1" xr:uid="{6310E0D4-CC97-47D0-B3B3-1458F9DFD741}"/>
  </hyperlinks>
  <pageMargins left="0.75" right="0.75" top="1" bottom="1" header="0.5" footer="0.5"/>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Cover</vt:lpstr>
      <vt:lpstr>ITEMS</vt:lpstr>
      <vt:lpstr>H2_Production</vt:lpstr>
      <vt:lpstr>SUP_H2Liquefaction</vt:lpstr>
      <vt:lpstr>SUP_H2Delivery</vt:lpstr>
      <vt:lpstr>SUP_H2Storage</vt:lpstr>
      <vt:lpstr>Aviation Synfuel Data</vt:lpstr>
      <vt:lpstr>Aviation Synfuel-Items</vt:lpstr>
      <vt:lpstr>Aviation Synfuel-TSData</vt:lpstr>
      <vt:lpstr>Aviation Synfuel-TIDData</vt:lpstr>
      <vt:lpstr>Hydrogen-Other</vt:lpstr>
      <vt:lpstr>Hydrogen-ELT</vt:lpstr>
      <vt:lpstr>H2Storage</vt:lpstr>
      <vt:lpstr>H2Storage-Items</vt:lpstr>
      <vt:lpstr>H2Storage-TSData</vt:lpstr>
      <vt:lpstr>H2Storage-TIDData</vt:lpstr>
      <vt:lpstr>ITEMS_UPS</vt:lpstr>
      <vt:lpstr>Deflator</vt:lpstr>
      <vt:lpstr>Evaluate</vt:lpstr>
      <vt:lpstr>H2.LHV.MJ_kg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Olex</dc:creator>
  <cp:lastModifiedBy>Bruno Merven</cp:lastModifiedBy>
  <dcterms:created xsi:type="dcterms:W3CDTF">2020-12-10T22:20:56Z</dcterms:created>
  <dcterms:modified xsi:type="dcterms:W3CDTF">2023-09-30T13:20:45Z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988966882228851</vt:r8>
  </property>
</Properties>
</file>