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1AAF6B95-F3F1-4659-930B-2318DA660FC2}" xr6:coauthVersionLast="47" xr6:coauthVersionMax="47" xr10:uidLastSave="{00000000-0000-0000-0000-000000000000}"/>
  <bookViews>
    <workbookView xWindow="-5340" yWindow="-21720" windowWidth="38640" windowHeight="21240" tabRatio="921"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H127" i="20" l="1"/>
  <c r="B253" i="60"/>
  <c r="B254" i="60"/>
  <c r="B252" i="60"/>
  <c r="F243" i="60"/>
  <c r="L134" i="20"/>
  <c r="P7" i="33" l="1"/>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Q10" i="33" l="1"/>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4"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8"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184" i="60"/>
  <c r="P181"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41" i="60" l="1"/>
  <c r="B242" i="60"/>
  <c r="B246" i="60" s="1"/>
  <c r="B243" i="60"/>
  <c r="B247" i="60" s="1"/>
  <c r="B244" i="60"/>
  <c r="B248"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179" i="60"/>
  <c r="J171" i="60"/>
  <c r="B161" i="60"/>
  <c r="D161" i="60"/>
  <c r="F161" i="60"/>
  <c r="H161" i="60"/>
  <c r="J161" i="60"/>
  <c r="R181" i="60" s="1"/>
  <c r="P185" i="60"/>
  <c r="P186" i="60" s="1"/>
  <c r="E242" i="60"/>
  <c r="Q185" i="60"/>
  <c r="Q186" i="60" s="1"/>
  <c r="E244" i="60"/>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E220" i="60"/>
  <c r="D220" i="60"/>
  <c r="E245" i="60"/>
  <c r="E247" i="60"/>
  <c r="E230" i="60"/>
  <c r="E237" i="60" s="1"/>
  <c r="F230" i="60"/>
  <c r="F237" i="60" s="1"/>
  <c r="F251" i="60" s="1"/>
  <c r="G230" i="60"/>
  <c r="H230" i="60"/>
  <c r="I230" i="60"/>
  <c r="J230" i="60"/>
  <c r="K230" i="60"/>
  <c r="L230" i="60"/>
  <c r="D230" i="60"/>
  <c r="D237" i="60" s="1"/>
  <c r="D170" i="60"/>
  <c r="F170" i="60"/>
  <c r="H170" i="60"/>
  <c r="J170" i="60"/>
  <c r="P182" i="60"/>
  <c r="P183" i="60" s="1"/>
  <c r="C239" i="60"/>
  <c r="C238" i="60"/>
  <c r="B239" i="60"/>
  <c r="B238" i="60"/>
  <c r="A174" i="60"/>
  <c r="A173" i="60"/>
  <c r="Q194" i="60"/>
  <c r="Q195" i="60" s="1"/>
  <c r="Q196" i="60" s="1"/>
  <c r="Q182" i="60"/>
  <c r="Q183" i="60" s="1"/>
  <c r="AC37" i="20"/>
  <c r="AA37" i="20"/>
  <c r="Y37" i="20"/>
  <c r="W37" i="20"/>
  <c r="AM39" i="20"/>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46" i="60" l="1"/>
  <c r="G244" i="60"/>
  <c r="F244" i="60"/>
  <c r="H42" i="20"/>
  <c r="AG36" i="20"/>
  <c r="AG33" i="20"/>
  <c r="AI36" i="20"/>
  <c r="AI33" i="20"/>
  <c r="AK36" i="20"/>
  <c r="AK33" i="20"/>
  <c r="O25" i="33"/>
  <c r="O26" i="33"/>
  <c r="O20" i="33"/>
  <c r="O19" i="33"/>
  <c r="O31" i="33"/>
  <c r="O32" i="33"/>
  <c r="K237" i="60"/>
  <c r="K251" i="60" s="1"/>
  <c r="S230" i="60"/>
  <c r="I237" i="60"/>
  <c r="I251" i="60" s="1"/>
  <c r="Q230" i="60"/>
  <c r="G237" i="60"/>
  <c r="G251" i="60" s="1"/>
  <c r="O230" i="60"/>
  <c r="L237" i="60"/>
  <c r="L251" i="60" s="1"/>
  <c r="T230" i="60"/>
  <c r="J237" i="60"/>
  <c r="J251" i="60" s="1"/>
  <c r="R230" i="60"/>
  <c r="H237" i="60"/>
  <c r="H251" i="60" s="1"/>
  <c r="P230" i="60"/>
  <c r="N230"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45"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48" i="60"/>
  <c r="AB132" i="60" a="1"/>
  <c r="AB132" i="60" s="1"/>
  <c r="H244" i="60"/>
  <c r="J244" i="60"/>
  <c r="I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61" i="60"/>
  <c r="F261" i="60" s="1"/>
  <c r="C260" i="60"/>
  <c r="F260" i="60" s="1"/>
  <c r="Q47" i="60"/>
  <c r="Q48" i="60"/>
  <c r="AQ134" i="60"/>
  <c r="D50" i="60"/>
  <c r="C146" i="60"/>
  <c r="J47" i="60"/>
  <c r="B44" i="60"/>
  <c r="J50" i="60"/>
  <c r="L48" i="60"/>
  <c r="G48" i="60"/>
  <c r="F50" i="60"/>
  <c r="J46" i="60"/>
  <c r="H47" i="60"/>
  <c r="G49" i="60"/>
  <c r="F48" i="60"/>
  <c r="L134" i="60"/>
  <c r="E145" i="60"/>
  <c r="C259" i="60"/>
  <c r="F259"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G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N39" i="74" l="1"/>
  <c r="V6" i="33"/>
  <c r="G4" i="41"/>
  <c r="L82" i="41" s="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H11" i="41"/>
  <c r="H12" i="41" s="1"/>
  <c r="K5"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2" i="60"/>
  <c r="D168" i="60" s="1"/>
  <c r="C167" i="60"/>
  <c r="C174" i="60" s="1"/>
  <c r="C166" i="60"/>
  <c r="C173" i="60" s="1"/>
  <c r="E212" i="60" s="1"/>
  <c r="I82" i="41" l="1"/>
  <c r="J82" i="41"/>
  <c r="M82" i="41"/>
  <c r="N82" i="41"/>
  <c r="K82" i="41"/>
  <c r="F82" i="41"/>
  <c r="G82" i="41"/>
  <c r="X4" i="33"/>
  <c r="V7" i="33"/>
  <c r="O82" i="41"/>
  <c r="H82" i="41"/>
  <c r="O40" i="74"/>
  <c r="S38" i="74"/>
  <c r="F85" i="41"/>
  <c r="F86" i="41"/>
  <c r="F84" i="41"/>
  <c r="F87" i="41"/>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71" i="74" l="1"/>
  <c r="W4" i="33"/>
  <c r="W5" i="33"/>
  <c r="W6" i="33"/>
  <c r="S15" i="33"/>
  <c r="S20" i="33"/>
  <c r="S17" i="33"/>
  <c r="S16" i="33"/>
  <c r="X7" i="33"/>
  <c r="S18" i="33"/>
  <c r="S19" i="33"/>
  <c r="H95" i="33"/>
  <c r="H103" i="33"/>
  <c r="H111" i="33" s="1"/>
  <c r="H75" i="33"/>
  <c r="H67" i="33"/>
  <c r="F42" i="74"/>
  <c r="F43" i="74"/>
  <c r="S41" i="74"/>
  <c r="I84" i="41"/>
  <c r="I26" i="74" s="1"/>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Y4" i="33" l="1"/>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G27" i="74"/>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S26" i="33" l="1"/>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183" i="60"/>
  <c r="O181" i="60"/>
  <c r="O182" i="60"/>
  <c r="O196" i="60"/>
  <c r="O194" i="60"/>
  <c r="O195"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4" i="74" s="1"/>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T33" i="33" l="1"/>
  <c r="F238"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05" i="60"/>
  <c r="J205" i="60"/>
  <c r="L205" i="60"/>
  <c r="G205" i="60"/>
  <c r="E205" i="60"/>
  <c r="E232" i="60" s="1"/>
  <c r="D205" i="60"/>
  <c r="D232" i="60" s="1"/>
  <c r="I205" i="60"/>
  <c r="K205" i="60"/>
  <c r="H205" i="60"/>
  <c r="T168" i="60"/>
  <c r="D203" i="60"/>
  <c r="D231" i="60" s="1"/>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F232" i="60" l="1"/>
  <c r="F239" i="60" s="1"/>
  <c r="F235"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32" i="60"/>
  <c r="H231" i="60"/>
  <c r="I232" i="60"/>
  <c r="I231" i="60"/>
  <c r="L232" i="60"/>
  <c r="L231" i="60"/>
  <c r="K232" i="60"/>
  <c r="K231" i="60"/>
  <c r="G232" i="60"/>
  <c r="G231" i="60"/>
  <c r="J232" i="60"/>
  <c r="J231" i="60"/>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F236" i="60" l="1"/>
  <c r="N231"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I221" i="60"/>
  <c r="G246" i="6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21" i="60"/>
  <c r="L221" i="60"/>
  <c r="H221" i="60"/>
  <c r="D218" i="60"/>
  <c r="D224" i="60" s="1"/>
  <c r="F245" i="60" s="1"/>
  <c r="F246" i="60" s="1"/>
  <c r="D219" i="60"/>
  <c r="D223" i="60" s="1"/>
  <c r="F247" i="60" s="1"/>
  <c r="F248" i="60" s="1"/>
  <c r="J246" i="60"/>
  <c r="J248" i="60"/>
  <c r="H248" i="60"/>
  <c r="I246" i="60"/>
  <c r="I248" i="60"/>
  <c r="J221" i="60"/>
  <c r="H246" i="60"/>
  <c r="G221" i="60"/>
  <c r="E221" i="60"/>
  <c r="P183" i="41" l="1"/>
  <c r="S183" i="41"/>
  <c r="H78" i="33"/>
  <c r="L178" i="41"/>
  <c r="L149" i="33"/>
  <c r="H152" i="33"/>
  <c r="Q193" i="41"/>
  <c r="J42" i="33"/>
  <c r="J48" i="33" s="1"/>
  <c r="P193" i="41"/>
  <c r="S193" i="41"/>
  <c r="H115" i="33"/>
  <c r="L115" i="33" s="1"/>
  <c r="L188" i="41"/>
  <c r="Q183" i="41"/>
  <c r="R183" i="41"/>
  <c r="R193" i="41"/>
  <c r="N84" i="20"/>
  <c r="D221"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M133" i="20" l="1"/>
  <c r="N133" i="20" s="1"/>
  <c r="M134" i="20"/>
  <c r="N134" i="20" s="1"/>
  <c r="N62" i="20"/>
  <c r="M66" i="20"/>
  <c r="F35" i="33"/>
  <c r="M34" i="33" s="1"/>
  <c r="M132" i="20"/>
  <c r="AE62" i="20" l="1"/>
  <c r="AE64" i="20"/>
  <c r="AE65" i="20"/>
  <c r="AE63" i="20"/>
  <c r="V62" i="20"/>
  <c r="AE61" i="20"/>
  <c r="H133" i="20"/>
  <c r="H134" i="20"/>
  <c r="V61" i="20"/>
  <c r="V64" i="20"/>
  <c r="V65" i="20"/>
  <c r="V63" i="20"/>
  <c r="H62" i="20"/>
  <c r="E13" i="85"/>
  <c r="N132" i="20"/>
  <c r="V132" i="20" s="1"/>
  <c r="AE132" i="20" s="1"/>
  <c r="M138" i="20"/>
  <c r="N66" i="20"/>
  <c r="W132" i="20" l="1"/>
  <c r="V133" i="20"/>
  <c r="V134" i="20"/>
  <c r="AL61" i="20"/>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W134" i="20" l="1"/>
  <c r="AE134" i="20"/>
  <c r="W133" i="20"/>
  <c r="AE133" i="20"/>
  <c r="X132" i="20"/>
  <c r="V138" i="20"/>
  <c r="AH66" i="20"/>
  <c r="AG66" i="20"/>
  <c r="AF66" i="20"/>
  <c r="AL66" i="20"/>
  <c r="AJ66" i="20"/>
  <c r="AI66" i="20"/>
  <c r="AK66" i="20"/>
  <c r="X133" i="20" l="1"/>
  <c r="AF133" i="20"/>
  <c r="Y132" i="20"/>
  <c r="AF134" i="20"/>
  <c r="X134" i="20"/>
  <c r="W138" i="20"/>
  <c r="Z132" i="20" l="1"/>
  <c r="Y134" i="20"/>
  <c r="AG134" i="20"/>
  <c r="Y133" i="20"/>
  <c r="AG133" i="20"/>
  <c r="X138" i="20"/>
  <c r="Z133" i="20" l="1"/>
  <c r="AH133" i="20"/>
  <c r="Z134" i="20"/>
  <c r="AH134" i="20"/>
  <c r="AA132" i="20"/>
  <c r="AJ132" i="20" s="1"/>
  <c r="Y138" i="20"/>
  <c r="AB132" i="20" l="1"/>
  <c r="AK132" i="20" s="1"/>
  <c r="AA134" i="20"/>
  <c r="AI134" i="20"/>
  <c r="AA133" i="20"/>
  <c r="AI133" i="20"/>
  <c r="Z138" i="20"/>
  <c r="AB133" i="20" l="1"/>
  <c r="AJ133" i="20"/>
  <c r="AB134" i="20"/>
  <c r="AJ134" i="20"/>
  <c r="AC132" i="20"/>
  <c r="AL132" i="20" s="1"/>
  <c r="AA138" i="20"/>
  <c r="H118" i="33"/>
  <c r="L111" i="33"/>
  <c r="L67" i="33"/>
  <c r="I67" i="33" s="1"/>
  <c r="M50" i="20" s="1"/>
  <c r="L138" i="33"/>
  <c r="I138" i="33" s="1"/>
  <c r="M124" i="20" s="1"/>
  <c r="L103" i="33"/>
  <c r="I103" i="33" s="1"/>
  <c r="M87" i="20" s="1"/>
  <c r="AC134" i="20" l="1"/>
  <c r="AL134" i="20" s="1"/>
  <c r="AK134" i="20"/>
  <c r="AJ138" i="20"/>
  <c r="AC133" i="20"/>
  <c r="AL133" i="20" s="1"/>
  <c r="AL138" i="20" s="1"/>
  <c r="AK133" i="20"/>
  <c r="AB138" i="20"/>
  <c r="L112" i="33"/>
  <c r="I112" i="33" s="1"/>
  <c r="M99" i="20" s="1"/>
  <c r="L83" i="33"/>
  <c r="I83" i="33" s="1"/>
  <c r="M68" i="20" s="1"/>
  <c r="L95" i="33"/>
  <c r="I95" i="33" s="1"/>
  <c r="M79" i="20" s="1"/>
  <c r="F18" i="33"/>
  <c r="L123" i="33"/>
  <c r="I123" i="33" s="1"/>
  <c r="M110" i="20" s="1"/>
  <c r="L59" i="33"/>
  <c r="I59" i="33" s="1"/>
  <c r="M43" i="20" s="1"/>
  <c r="F33" i="33"/>
  <c r="I111" i="33"/>
  <c r="M96" i="20" s="1"/>
  <c r="L157" i="33"/>
  <c r="I157" i="33" s="1"/>
  <c r="M143" i="20" s="1"/>
  <c r="L87" i="33"/>
  <c r="I87" i="33" s="1"/>
  <c r="M71" i="20" s="1"/>
  <c r="L130" i="33"/>
  <c r="I130" i="33" s="1"/>
  <c r="M117" i="20" s="1"/>
  <c r="L154" i="33"/>
  <c r="I154" i="33" s="1"/>
  <c r="M140" i="20" s="1"/>
  <c r="F26" i="33"/>
  <c r="L120" i="33"/>
  <c r="I120" i="33" s="1"/>
  <c r="M107" i="20" s="1"/>
  <c r="AK138" i="20" l="1"/>
  <c r="AC138" i="20"/>
  <c r="M95" i="20"/>
  <c r="M111" i="33"/>
  <c r="F27" i="33"/>
  <c r="F21" i="33"/>
  <c r="F32" i="33"/>
  <c r="F29" i="33"/>
  <c r="F22" i="33"/>
  <c r="F30" i="33"/>
  <c r="F37" i="33"/>
  <c r="F17" i="33"/>
  <c r="F36" i="33"/>
  <c r="F28" i="33"/>
  <c r="N99" i="20"/>
  <c r="M105" i="20"/>
  <c r="F25" i="33"/>
  <c r="AF99" i="20" l="1"/>
  <c r="AK99" i="20"/>
  <c r="AG99" i="20"/>
  <c r="AH99" i="20"/>
  <c r="AI99" i="20"/>
  <c r="AJ99" i="20"/>
  <c r="AL99" i="20"/>
  <c r="AE99" i="20"/>
  <c r="AE102" i="20"/>
  <c r="AE103" i="20"/>
  <c r="AE101" i="20"/>
  <c r="AE100" i="20"/>
  <c r="V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M112" i="20"/>
  <c r="N110" i="20"/>
  <c r="AE110" i="20" s="1"/>
  <c r="AF110" i="20" s="1"/>
  <c r="AG110" i="20" s="1"/>
  <c r="AH110" i="20" s="1"/>
  <c r="AI110" i="20" s="1"/>
  <c r="AJ110" i="20" s="1"/>
  <c r="AK110" i="20" s="1"/>
  <c r="AL110" i="20" s="1"/>
  <c r="AE96" i="20" l="1"/>
  <c r="AF96" i="20" s="1"/>
  <c r="AG96" i="20" s="1"/>
  <c r="AH96" i="20" s="1"/>
  <c r="AI96" i="20" s="1"/>
  <c r="AJ96" i="20" s="1"/>
  <c r="AK96" i="20" s="1"/>
  <c r="AL96" i="20" s="1"/>
  <c r="V96" i="20"/>
  <c r="W96" i="20" s="1"/>
  <c r="X96" i="20" s="1"/>
  <c r="Y96" i="20" s="1"/>
  <c r="Z96" i="20" s="1"/>
  <c r="AA96" i="20" s="1"/>
  <c r="AB96" i="20" s="1"/>
  <c r="AC96" i="20" s="1"/>
  <c r="AE95" i="20"/>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W130" i="20" l="1"/>
  <c r="W95" i="20"/>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30" i="20" l="1"/>
  <c r="Z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2" i="20"/>
  <c r="AI138" i="20" s="1"/>
  <c r="AH132" i="20"/>
  <c r="AH138" i="20" s="1"/>
  <c r="AG132" i="20"/>
  <c r="AG138" i="20" s="1"/>
  <c r="AF132" i="20"/>
  <c r="AF138" i="20" s="1"/>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<sst xmlns="http://schemas.openxmlformats.org/spreadsheetml/2006/main" count="3755" uniqueCount="1064">
  <si>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</si>
  <si>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</si>
  <si>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</si>
  <si>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</si>
  <si>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</si>
  <si>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</si>
  <si>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</si>
  <si>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</si>
  <si>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</si>
  <si>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</si>
  <si>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</si>
  <si>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</si>
  <si>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</si>
  <si>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</si>
  <si>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</si>
  <si>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</si>
  <si>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</si>
  <si>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</si>
  <si>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</si>
  <si>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</si>
  <si>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</si>
  <si>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</si>
  <si>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</si>
  <si>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</si>
  <si>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</si>
  <si>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</si>
  <si>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</si>
  <si>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</si>
  <si>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</si>
  <si>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</si>
  <si>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</si>
  <si>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</si>
  <si>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</si>
  <si>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</si>
  <si>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</si>
  <si>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</si>
  <si>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</si>
  <si>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</si>
  <si>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</si>
  <si>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</si>
  <si>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</si>
  <si>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</si>
  <si>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</si>
  <si>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</si>
  <si>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</si>
  <si>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</si>
  <si>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</si>
  <si>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</si>
  <si>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</si>
  <si>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</si>
  <si>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</si>
  <si>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</si>
  <si>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</si>
  <si>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</si>
  <si>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</si>
  <si>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</si>
  <si>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</si>
  <si>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</si>
  <si>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</si>
  <si>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</si>
  <si>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</si>
  <si>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</si>
  <si>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</si>
  <si>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</si>
  <si>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</si>
  <si>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</si>
  <si>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</si>
  <si>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</si>
  <si>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</si>
  <si>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</si>
  <si>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</si>
  <si>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</si>
  <si>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</si>
  <si>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</si>
  <si>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</si>
  <si>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</si>
  <si>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</si>
  <si>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</si>
  <si>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</si>
  <si>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</si>
  <si>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</si>
  <si>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</si>
  <si>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</si>
  <si>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</si>
  <si>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</si>
  <si>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</si>
  <si>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</si>
  <si>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</si>
  <si>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</si>
  <si>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</si>
  <si>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</si>
  <si>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</si>
  <si>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</si>
  <si>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</si>
  <si>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</si>
  <si>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</si>
  <si>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</si>
  <si>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</si>
  <si>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</si>
  <si>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</si>
  <si>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</si>
  <si>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</si>
  <si>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</si>
  <si>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</si>
  <si>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</si>
  <si>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</si>
  <si>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</si>
  <si>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</si>
  <si>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</si>
  <si>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</si>
  <si>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</si>
  <si>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</si>
  <si>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</si>
  <si>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</si>
  <si>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</si>
  <si>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</si>
  <si>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</si>
  <si>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</si>
  <si>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</si>
  <si>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</si>
  <si>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</si>
  <si>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</si>
  <si>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</si>
  <si>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</si>
  <si>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</si>
  <si>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</si>
  <si>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</si>
  <si>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</si>
  <si>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</si>
  <si>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</si>
  <si>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</si>
  <si>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</si>
  <si>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</si>
  <si>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</si>
  <si>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</si>
  <si>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</si>
  <si>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</si>
  <si>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</si>
  <si>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</si>
  <si>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</si>
  <si>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</si>
  <si>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</si>
  <si>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</si>
  <si>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</si>
  <si>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</si>
  <si>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</si>
  <si>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</si>
  <si>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</si>
  <si>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</si>
  <si>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</si>
  <si>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</si>
  <si>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</si>
  <si>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</si>
  <si>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</si>
  <si>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</si>
  <si>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</si>
  <si>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</si>
  <si>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</si>
  <si>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</si>
  <si>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</si>
  <si>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</si>
  <si>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</si>
  <si>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</si>
  <si>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</si>
  <si>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</si>
  <si>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</si>
  <si>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</si>
  <si>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</si>
  <si>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</si>
  <si>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</si>
  <si>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</si>
  <si>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</si>
  <si>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</si>
  <si>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</si>
  <si>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</si>
  <si>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</si>
  <si>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</si>
  <si>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</si>
  <si>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</si>
  <si>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</si>
  <si>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</si>
  <si>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</si>
  <si>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</si>
  <si>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</si>
  <si>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</si>
  <si>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</si>
  <si>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</si>
  <si>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</si>
  <si>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</si>
  <si>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</si>
  <si>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</si>
  <si>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</si>
  <si>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</si>
  <si>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</si>
  <si>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</si>
  <si>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</si>
  <si>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</si>
  <si>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</si>
  <si>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</si>
  <si>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</si>
  <si>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</si>
  <si>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</si>
  <si>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</si>
  <si>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</si>
  <si>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</si>
  <si>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</si>
  <si>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</si>
  <si>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</si>
  <si>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</si>
  <si>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</si>
  <si>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</si>
  <si>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</si>
  <si>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</si>
  <si>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</si>
  <si>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</si>
  <si>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</si>
  <si>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</si>
  <si>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</si>
  <si>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</si>
  <si>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</si>
  <si>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</si>
  <si>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</si>
  <si>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</si>
  <si>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</si>
  <si>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</si>
  <si>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</si>
  <si>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</si>
  <si>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</si>
  <si>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</si>
  <si>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</si>
  <si>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</si>
  <si>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</si>
  <si>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</si>
  <si>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</si>
  <si>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</si>
  <si>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</si>
  <si>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</si>
  <si>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</si>
  <si>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</si>
  <si>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</si>
  <si>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</si>
  <si>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</si>
  <si>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</si>
  <si>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</si>
  <si>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</si>
  <si>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</si>
  <si>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</si>
  <si>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</si>
  <si>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</si>
  <si>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</si>
  <si>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</si>
  <si>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</si>
  <si>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</si>
  <si>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</si>
  <si>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</si>
  <si>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</si>
  <si>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</si>
  <si>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</si>
  <si>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</si>
  <si>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</si>
  <si>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</si>
  <si>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</si>
  <si>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</si>
  <si>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</si>
  <si>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</si>
  <si>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</si>
  <si>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</si>
  <si>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</si>
  <si>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</si>
  <si>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</si>
  <si>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</si>
  <si>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</si>
  <si>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</si>
  <si>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</si>
  <si>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</si>
  <si>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</si>
  <si>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</si>
  <si>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</si>
  <si>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</si>
  <si>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</si>
  <si>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</si>
  <si>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</si>
  <si>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</si>
  <si>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</si>
  <si>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</si>
  <si>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</si>
  <si>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</si>
  <si>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</si>
  <si>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</si>
  <si>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</si>
  <si>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</si>
  <si>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</si>
  <si>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</si>
  <si>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</si>
  <si>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</si>
  <si>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</si>
  <si>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</si>
  <si>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</si>
  <si>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</si>
  <si>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</si>
  <si>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</si>
  <si>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</si>
  <si>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</si>
  <si>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</si>
  <si>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</si>
  <si>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</si>
  <si>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</si>
  <si>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</si>
  <si>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</si>
  <si>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</si>
  <si>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</si>
  <si>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</si>
  <si>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</si>
  <si>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</si>
  <si>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</si>
  <si>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</si>
  <si>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</si>
  <si>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</si>
  <si>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</si>
  <si>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</si>
  <si>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</si>
  <si>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</si>
  <si>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</si>
  <si>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</si>
  <si>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</si>
  <si>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</si>
  <si>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</si>
  <si>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</si>
  <si>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</si>
  <si>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</si>
  <si>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</si>
  <si>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</si>
  <si>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</si>
  <si>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</si>
  <si>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</si>
  <si>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</si>
  <si>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</si>
  <si>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</si>
  <si>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</si>
  <si>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</si>
  <si>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</si>
  <si>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</si>
  <si>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</si>
  <si>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</si>
  <si>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</si>
  <si>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</si>
  <si>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</si>
  <si>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</si>
  <si>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</si>
  <si>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</si>
  <si>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</si>
  <si>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</si>
  <si>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</si>
  <si>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</si>
  <si>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</si>
  <si>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</si>
  <si>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</si>
  <si>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</si>
  <si>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</si>
  <si>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</si>
  <si>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</si>
  <si>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</si>
  <si>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</si>
  <si>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</si>
  <si>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</si>
  <si>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</si>
  <si>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</si>
  <si>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</si>
  <si>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</si>
  <si>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</si>
  <si>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</si>
  <si>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</si>
  <si>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</si>
  <si>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</si>
  <si>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</si>
  <si>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</si>
  <si>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</si>
  <si>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</si>
  <si>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</si>
  <si>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</si>
  <si>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</si>
  <si>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</si>
  <si>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</si>
  <si>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</si>
  <si>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</si>
  <si>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</si>
  <si>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</si>
  <si>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</si>
  <si>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</si>
  <si>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</si>
  <si>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</si>
  <si>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</si>
  <si>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</si>
  <si>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</si>
  <si>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</si>
  <si>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</si>
  <si>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</si>
  <si>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</si>
  <si>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</si>
  <si>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</si>
  <si>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</si>
  <si>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</si>
  <si>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</si>
  <si>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</si>
  <si>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</si>
  <si>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</si>
  <si>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</si>
  <si>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</si>
  <si>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</si>
  <si>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</si>
  <si>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</si>
  <si>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</si>
  <si>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</si>
  <si>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</si>
  <si>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</si>
  <si>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</si>
  <si>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</si>
  <si>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</si>
  <si>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</si>
  <si>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</si>
  <si>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</si>
  <si>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</si>
  <si>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</si>
  <si>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</si>
  <si>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</si>
  <si>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</si>
  <si>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</si>
  <si>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</si>
  <si>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</si>
  <si>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</si>
  <si>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</si>
  <si>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</si>
  <si>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</si>
  <si>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</si>
  <si>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</si>
  <si>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</si>
  <si>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</si>
  <si>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</si>
  <si>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</si>
  <si>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</si>
  <si>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</si>
  <si>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</si>
  <si>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</si>
  <si>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</si>
  <si>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</si>
  <si>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</si>
  <si>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</si>
  <si>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</si>
  <si>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</si>
  <si>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</si>
  <si>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</si>
  <si>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</si>
  <si>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</si>
  <si>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</si>
  <si>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</si>
  <si>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</si>
  <si>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</si>
  <si>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</si>
  <si>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</si>
  <si>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</si>
  <si>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</si>
  <si>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</si>
  <si>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</si>
  <si>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</si>
  <si>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</si>
  <si>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</si>
  <si>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</si>
  <si>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</si>
  <si>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</si>
  <si>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</si>
  <si>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</si>
  <si>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</si>
  <si>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</si>
  <si>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</si>
  <si>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</si>
  <si>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</si>
  <si>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</si>
  <si>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</si>
  <si>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</si>
  <si>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</si>
  <si>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</si>
  <si>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</si>
  <si>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</si>
  <si>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</si>
  <si>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</si>
  <si>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</si>
  <si>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</si>
  <si>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</si>
  <si>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</si>
  <si>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</si>
  <si>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</si>
  <si>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</si>
  <si>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</si>
  <si>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</si>
  <si>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</si>
  <si>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</si>
  <si>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</si>
  <si>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</si>
  <si>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</si>
  <si>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</si>
  <si>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</si>
  <si>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</si>
  <si>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</si>
  <si>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</si>
  <si>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</si>
  <si>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</si>
  <si>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</si>
  <si>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</si>
  <si>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</si>
  <si>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</si>
  <si>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</si>
  <si>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</si>
  <si>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</si>
  <si>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</si>
  <si>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</si>
  <si>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</si>
  <si>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</si>
  <si>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</si>
  <si>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</si>
  <si>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</si>
  <si>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</si>
  <si>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</si>
  <si>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</si>
  <si>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</si>
  <si>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</si>
  <si>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</si>
  <si>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</si>
  <si>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</si>
  <si>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</si>
  <si>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</si>
  <si>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</si>
  <si>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</si>
  <si>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</si>
  <si>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</si>
  <si>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</si>
  <si>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</si>
  <si>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</si>
  <si>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</si>
  <si>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</si>
  <si>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</si>
  <si>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</si>
  <si>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</si>
  <si>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</si>
  <si>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</si>
  <si>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</si>
  <si>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</si>
  <si>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</si>
  <si>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</si>
  <si>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</si>
  <si>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</si>
  <si>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</si>
  <si>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</si>
  <si>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</si>
  <si>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</si>
  <si>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</si>
  <si>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</si>
  <si>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</si>
  <si>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</si>
  <si>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</si>
  <si>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</si>
  <si>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</si>
  <si>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</si>
  <si>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</si>
  <si>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</si>
  <si>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</si>
  <si>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</si>
  <si>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</si>
  <si>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</si>
  <si>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</si>
  <si>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</si>
  <si>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</si>
  <si>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</si>
  <si>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</si>
  <si>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</si>
  <si>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</si>
  <si>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</si>
  <si>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</si>
  <si>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</si>
  <si>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</si>
  <si>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</si>
  <si>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</si>
  <si>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</si>
  <si>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</si>
  <si>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</si>
  <si>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</si>
  <si>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</si>
  <si>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</si>
  <si>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</si>
  <si>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</si>
  <si>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</si>
  <si>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</si>
  <si>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</si>
  <si>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</si>
  <si>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</si>
  <si>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</si>
  <si>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</si>
  <si>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</si>
  <si>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</si>
  <si>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</si>
  <si>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</si>
  <si>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</si>
  <si>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</si>
  <si>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</si>
  <si>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</si>
  <si>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</si>
  <si>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</si>
  <si>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</si>
  <si>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</si>
  <si>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</si>
  <si>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</si>
  <si>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</si>
  <si>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</si>
  <si>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</si>
  <si>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</si>
  <si>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</si>
  <si>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</si>
  <si>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</si>
  <si>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</si>
  <si>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</si>
  <si>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</si>
  <si>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</si>
  <si>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</si>
  <si>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</si>
  <si>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</si>
  <si>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</si>
  <si>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</si>
  <si>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</si>
  <si>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</si>
  <si>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</si>
  <si>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</si>
  <si>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</si>
  <si>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</si>
  <si>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</si>
  <si>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</si>
  <si>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</si>
  <si>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</si>
  <si>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</si>
  <si>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</si>
  <si>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</si>
  <si>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</si>
  <si>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</si>
  <si>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</si>
  <si>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</si>
  <si>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</si>
  <si>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</si>
  <si>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</si>
  <si>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</si>
  <si>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</si>
  <si>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</si>
  <si>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</si>
  <si>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</si>
  <si>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</si>
  <si>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</si>
  <si>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</si>
  <si>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</si>
  <si>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</si>
  <si>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</si>
  <si>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</si>
  <si>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</si>
  <si>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</si>
  <si>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</si>
  <si>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</si>
  <si>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</si>
  <si>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</si>
  <si>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</si>
  <si>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</si>
  <si>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</si>
  <si>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</si>
  <si>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</si>
  <si>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</si>
  <si>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</si>
  <si>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</si>
  <si>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</si>
  <si>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</si>
  <si>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</si>
  <si>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</si>
  <si>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</si>
  <si>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</si>
  <si>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</si>
  <si>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</si>
  <si>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</si>
  <si>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</si>
  <si>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</si>
  <si>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</si>
  <si>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</si>
  <si>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</si>
  <si>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</si>
  <si>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</si>
  <si>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</si>
  <si>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</si>
  <si>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</si>
  <si>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</si>
  <si>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</si>
  <si>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</si>
  <si>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</si>
  <si>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</si>
  <si>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</si>
  <si>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</si>
  <si>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</si>
  <si>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</si>
  <si>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</si>
  <si>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</si>
  <si>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</si>
  <si>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</si>
  <si>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</si>
  <si>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</si>
  <si>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</si>
  <si>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</si>
  <si>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</si>
  <si>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</si>
  <si>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</si>
  <si>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</si>
  <si>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</si>
  <si>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</si>
  <si>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</si>
  <si>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</si>
  <si>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</si>
  <si>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</si>
  <si>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</si>
  <si>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</si>
  <si>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</si>
  <si>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</si>
  <si>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</si>
  <si>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</si>
  <si>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</si>
  <si>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</si>
  <si>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</si>
  <si>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</si>
  <si>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</si>
  <si>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</si>
  <si>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</si>
  <si>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</si>
  <si>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</si>
  <si>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</si>
  <si>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</si>
  <si>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</si>
  <si>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</si>
  <si>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</si>
  <si>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</si>
  <si>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</si>
  <si>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</si>
  <si>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</si>
  <si>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</si>
  <si>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</si>
  <si>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</si>
  <si>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</si>
  <si>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</si>
  <si>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</si>
  <si>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</si>
  <si>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</si>
  <si>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</si>
  <si>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</si>
  <si>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</si>
  <si>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</si>
  <si>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</si>
  <si>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</si>
  <si>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</si>
  <si>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</si>
  <si>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</si>
  <si>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</si>
  <si>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</si>
  <si>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</si>
  <si>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</si>
  <si>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</si>
  <si>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</si>
  <si>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</si>
  <si>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</si>
  <si>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</si>
  <si>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</si>
  <si>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</si>
  <si>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</si>
  <si>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</si>
  <si>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</si>
  <si>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</si>
  <si>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</si>
  <si>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</si>
  <si>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</si>
  <si>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</si>
  <si>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</si>
  <si>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</si>
  <si>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</si>
  <si>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</si>
  <si>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</si>
  <si>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</si>
  <si>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</si>
  <si>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</si>
  <si>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</si>
  <si>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</si>
  <si>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</si>
  <si>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</si>
  <si>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</si>
  <si>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</si>
  <si>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</si>
  <si>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</si>
  <si>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</si>
  <si>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</si>
  <si>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</si>
  <si>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</si>
  <si>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</si>
  <si>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</si>
  <si>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</si>
  <si>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</si>
  <si>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</si>
  <si>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</si>
  <si>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</si>
  <si>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</si>
  <si>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</si>
  <si>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</si>
  <si>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</si>
  <si>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</si>
  <si>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</si>
  <si>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</si>
  <si>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</si>
  <si>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</si>
  <si>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</si>
  <si>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</si>
  <si>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</si>
  <si>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</si>
  <si>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</si>
  <si>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</si>
  <si>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</si>
  <si>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</si>
  <si>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</si>
  <si>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</si>
  <si>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</si>
  <si>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</si>
  <si>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</si>
  <si>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</si>
  <si>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</si>
  <si>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</si>
  <si>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</si>
  <si>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</si>
  <si>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</si>
  <si>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</si>
  <si>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</si>
  <si>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</si>
  <si>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</si>
  <si>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</si>
  <si>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</si>
  <si>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</si>
  <si>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</si>
  <si>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</si>
  <si>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</si>
  <si>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</si>
  <si>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</si>
  <si>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</si>
  <si>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</si>
  <si>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</si>
  <si>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</si>
  <si>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</si>
  <si>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</si>
  <si>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</si>
  <si>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</si>
  <si>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</si>
  <si>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</si>
  <si>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</si>
  <si>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</si>
  <si>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</si>
  <si>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</si>
  <si>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</si>
  <si>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</si>
  <si>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</si>
  <si>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</si>
  <si>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</si>
  <si>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</si>
  <si>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</si>
  <si>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</si>
  <si>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</si>
  <si>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</si>
  <si>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</si>
  <si>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</si>
  <si>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</si>
  <si>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</si>
  <si>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</si>
  <si>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</si>
  <si>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</si>
  <si>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</si>
  <si>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</si>
  <si>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</si>
  <si>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</si>
  <si>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</si>
  <si>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</si>
  <si>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</si>
  <si>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</si>
  <si>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</si>
  <si>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</si>
  <si>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</si>
  <si>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</si>
  <si>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</si>
  <si>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</si>
  <si>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</si>
  <si>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</si>
  <si>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</si>
  <si>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</si>
  <si>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</si>
  <si>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</si>
  <si>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</si>
  <si>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</si>
  <si>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</si>
  <si>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</si>
  <si>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</si>
  <si>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</si>
  <si>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</si>
  <si>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</si>
  <si>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</si>
  <si>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</si>
  <si>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</si>
  <si>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</si>
  <si>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</si>
  <si>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</si>
  <si>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</si>
  <si>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</si>
  <si>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</si>
  <si>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</si>
  <si>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</si>
  <si>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</si>
  <si>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</si>
  <si>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</si>
  <si>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</si>
  <si>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</si>
  <si>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</si>
  <si>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</si>
  <si>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</si>
  <si>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</si>
  <si>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</si>
  <si>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</si>
  <si>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</si>
  <si>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</si>
  <si>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</si>
  <si>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</si>
  <si>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</si>
  <si>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</si>
  <si>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</si>
  <si>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</si>
  <si>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</si>
  <si>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</si>
  <si>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</si>
  <si>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</si>
  <si>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</si>
  <si>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</si>
  <si>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</si>
  <si>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</si>
  <si>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</si>
  <si>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</si>
  <si>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</si>
  <si>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</si>
  <si>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</si>
  <si>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</si>
  <si>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</si>
  <si>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</si>
  <si>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</si>
  <si>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</si>
  <si>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</si>
  <si>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</si>
  <si>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</si>
  <si>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</si>
  <si>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</si>
  <si>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</si>
  <si>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</si>
  <si>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*Residential - Lighting - Middle Income  - Oil Paraffin - WICK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</si>
  <si>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</si>
  <si>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</si>
  <si>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</si>
  <si>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</si>
  <si>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</si>
  <si>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</si>
  <si>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</si>
  <si>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</si>
  <si>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</si>
  <si>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</si>
  <si>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</si>
  <si>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</si>
  <si>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</si>
  <si>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</si>
  <si>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</si>
  <si>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</si>
  <si>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</si>
  <si>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</si>
  <si>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</si>
  <si>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</si>
  <si>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</si>
  <si>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</si>
  <si>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</si>
  <si>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</si>
  <si>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</si>
  <si>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</si>
  <si>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</si>
  <si>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</si>
  <si>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</si>
  <si>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</si>
  <si>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</si>
  <si>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</si>
  <si>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</si>
  <si>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</si>
  <si>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</si>
  <si>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</si>
  <si>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</si>
  <si>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</si>
  <si>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</si>
  <si>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</si>
  <si>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</si>
  <si>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</si>
  <si>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</si>
  <si>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</si>
  <si>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</si>
  <si>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</si>
  <si>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</si>
  <si>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</si>
  <si>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</si>
  <si>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</si>
  <si>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</si>
  <si>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*Residential - Refrigeration - High Income  - Electricity - REF - E</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</si>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</sst>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2">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455104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174</v>
      </c>
      <c r="D2" s="18" t="s">
        <v>1</v>
      </c>
      <c r="E2" s="16" t="s">
        <v>165</v>
      </c>
      <c r="F2" s="1" t="s">
        <v>212</v>
      </c>
    </row>
    <row r="3" spans="1:6" ht="15.75">
      <c r="A3" s="1"/>
      <c r="B3" s="73" t="s">
        <v>42</v>
      </c>
      <c r="C3" s="72">
        <v>3.6</v>
      </c>
      <c r="D3" s="16" t="s">
        <v>123</v>
      </c>
      <c r="E3">
        <v>4</v>
      </c>
    </row>
    <row r="4" spans="1:6" ht="15">
      <c r="B4" s="72" t="s">
        <v>3</v>
      </c>
      <c r="C4" s="72">
        <v>37</v>
      </c>
      <c r="D4" s="16" t="s">
        <v>172</v>
      </c>
      <c r="E4" t="s">
        <v>185</v>
      </c>
    </row>
    <row r="5" spans="1:6" ht="15">
      <c r="B5" s="72" t="s">
        <v>21</v>
      </c>
      <c r="C5" s="72">
        <v>26.7</v>
      </c>
      <c r="D5" s="16" t="s">
        <v>172</v>
      </c>
      <c r="E5">
        <v>4</v>
      </c>
    </row>
    <row r="6" spans="1:6" ht="15">
      <c r="B6" s="72" t="s">
        <v>21</v>
      </c>
      <c r="C6" s="72">
        <v>46</v>
      </c>
      <c r="D6" s="16" t="s">
        <v>32</v>
      </c>
    </row>
    <row r="7" spans="1:6" ht="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64"/>
  <sheetViews>
    <sheetView topLeftCell="A195" zoomScale="60" zoomScaleNormal="60" workbookViewId="0">
      <selection activeCell="C252" sqref="C252"/>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2" t="s">
        <v>444</v>
      </c>
      <c r="B11" s="611"/>
      <c r="C11" s="610" t="s">
        <v>445</v>
      </c>
      <c r="D11" s="611"/>
      <c r="E11" s="611"/>
      <c r="F11" s="611"/>
      <c r="G11" s="611"/>
      <c r="H11" s="611"/>
      <c r="I11" s="611"/>
      <c r="J11" s="611"/>
      <c r="K11" s="611"/>
      <c r="L11" s="611"/>
      <c r="M11" s="611"/>
      <c r="N11" s="611"/>
      <c r="O11" s="611"/>
      <c r="P11" s="611"/>
      <c r="Q11" s="610" t="s">
        <v>446</v>
      </c>
      <c r="R11" s="611"/>
      <c r="S11" s="611"/>
      <c r="T11" s="611"/>
      <c r="U11" s="611"/>
      <c r="V11" s="611"/>
      <c r="W11" s="611"/>
      <c r="X11" s="611"/>
      <c r="Y11" s="611"/>
      <c r="Z11" s="611"/>
      <c r="AA11" s="611"/>
      <c r="AB11" s="611"/>
      <c r="AC11" s="611"/>
      <c r="AD11" s="611"/>
      <c r="AE11" s="610" t="s">
        <v>447</v>
      </c>
      <c r="AF11" s="611"/>
      <c r="AG11" s="611"/>
      <c r="AH11" s="611"/>
      <c r="AI11" s="611"/>
      <c r="AJ11" s="611"/>
      <c r="AK11" s="611"/>
      <c r="AL11" s="611"/>
      <c r="AM11" s="611"/>
      <c r="AN11" s="611"/>
      <c r="AO11" s="611"/>
      <c r="AP11" s="611"/>
      <c r="AQ11" s="611"/>
      <c r="AR11" s="611"/>
      <c r="AS11" s="610" t="s">
        <v>448</v>
      </c>
      <c r="AT11" s="611"/>
      <c r="AU11" s="611"/>
      <c r="AV11" s="611"/>
      <c r="AW11" s="611"/>
      <c r="AX11" s="611"/>
      <c r="AY11" s="611"/>
      <c r="AZ11" s="611"/>
      <c r="BA11" s="611"/>
      <c r="BB11" s="611"/>
      <c r="BC11" s="611"/>
      <c r="BD11" s="611"/>
      <c r="BE11" s="611"/>
      <c r="BF11" s="611"/>
      <c r="BG11" s="610" t="s">
        <v>449</v>
      </c>
      <c r="BH11" s="611"/>
      <c r="BI11" s="611"/>
      <c r="BJ11" s="611"/>
      <c r="BK11" s="611"/>
      <c r="BL11" s="611"/>
      <c r="BM11" s="611"/>
      <c r="BN11" s="611"/>
      <c r="BO11" s="611"/>
      <c r="BP11" s="611"/>
      <c r="BQ11" s="611"/>
      <c r="BR11" s="611"/>
      <c r="BS11" s="611"/>
      <c r="BT11" s="611"/>
      <c r="BU11" s="610" t="s">
        <v>450</v>
      </c>
      <c r="BV11" s="611"/>
      <c r="BW11" s="611"/>
      <c r="BX11" s="611"/>
      <c r="BY11" s="611"/>
      <c r="BZ11" s="611"/>
      <c r="CA11" s="611"/>
      <c r="CB11" s="611"/>
      <c r="CC11" s="611"/>
      <c r="CD11" s="611"/>
      <c r="CE11" s="611"/>
      <c r="CF11" s="611"/>
      <c r="CG11" s="611"/>
      <c r="CH11" s="611"/>
      <c r="CI11" s="610" t="s">
        <v>451</v>
      </c>
      <c r="CJ11" s="611"/>
      <c r="CK11" s="611"/>
      <c r="CL11" s="611"/>
      <c r="CM11" s="611"/>
      <c r="CN11" s="611"/>
      <c r="CO11" s="611"/>
      <c r="CP11" s="611"/>
      <c r="CQ11" s="611"/>
      <c r="CR11" s="611"/>
      <c r="CS11" s="611"/>
      <c r="CT11" s="611"/>
      <c r="CU11" s="611"/>
      <c r="CV11" s="611"/>
    </row>
    <row r="12" spans="1:100" s="274" customFormat="1" ht="26.25" customHeight="1">
      <c r="A12" s="612" t="s">
        <v>453</v>
      </c>
      <c r="B12" s="611"/>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2" t="s">
        <v>512</v>
      </c>
      <c r="B88" s="611"/>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7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7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7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5">
      <c r="A163" s="341" t="s">
        <v>816</v>
      </c>
      <c r="B163" s="342"/>
      <c r="C163" s="342"/>
      <c r="D163" s="342"/>
      <c r="E163" s="342"/>
      <c r="F163" s="342"/>
      <c r="G163" s="342"/>
      <c r="H163" s="342"/>
      <c r="I163" s="342"/>
      <c r="J163" s="342"/>
      <c r="M163" s="306"/>
      <c r="N163" s="306"/>
      <c r="O163" s="306"/>
      <c r="P163" s="306"/>
      <c r="Q163" s="306"/>
    </row>
    <row r="164" spans="1:20" ht="15">
      <c r="A164" s="271" t="s">
        <v>817</v>
      </c>
      <c r="B164" s="24"/>
      <c r="C164" s="24"/>
      <c r="D164" s="24"/>
      <c r="E164" s="24"/>
      <c r="F164" s="24"/>
      <c r="G164" s="24"/>
      <c r="H164" s="24"/>
      <c r="I164" s="24"/>
      <c r="J164" s="24"/>
      <c r="M164" s="306"/>
      <c r="N164" s="306"/>
      <c r="O164" s="306"/>
      <c r="P164" s="306"/>
      <c r="Q164" s="306"/>
    </row>
    <row r="165" spans="1:20" ht="1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D181/B168</f>
        <v>8.7745777275293861E-3</v>
      </c>
    </row>
    <row r="169" spans="1:20" ht="1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687</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5">
      <c r="A175" s="339" t="s">
        <v>704</v>
      </c>
      <c r="B175" s="340"/>
      <c r="C175" s="340"/>
      <c r="D175" s="340"/>
      <c r="E175" s="340"/>
      <c r="F175" s="340"/>
      <c r="G175" s="340"/>
      <c r="H175" s="340"/>
      <c r="I175" s="340"/>
      <c r="J175" s="340"/>
      <c r="K175" t="s">
        <v>703</v>
      </c>
      <c r="M175" s="306"/>
      <c r="N175" s="306"/>
      <c r="O175" s="306"/>
      <c r="P175" s="306"/>
      <c r="Q175" s="306"/>
    </row>
    <row r="176" spans="1:20" ht="15">
      <c r="A176" s="308" t="s">
        <v>418</v>
      </c>
      <c r="B176" s="344">
        <v>0.51061825480855005</v>
      </c>
      <c r="C176" s="245">
        <f>$M176*$N176*EXP($O176*C$179)/($M176+$N176*(EXP($O176*C$179)-1))</f>
        <v>0.51061825480855005</v>
      </c>
      <c r="D176" s="245">
        <f t="shared" ref="D176:J176" si="47">$M176*$N176*EXP($O176*D$179)/($M176+$N176*(EXP($O176*D$179)-1))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9" ht="1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9" ht="15">
      <c r="A178" s="2"/>
      <c r="B178" s="2"/>
      <c r="D178" s="2"/>
      <c r="F178" s="2"/>
      <c r="H178" s="2"/>
      <c r="J178" s="2"/>
      <c r="M178" s="306"/>
      <c r="N178" s="306"/>
      <c r="O178" s="306"/>
      <c r="P178" s="306"/>
      <c r="Q178" s="306"/>
    </row>
    <row r="179" spans="1:19">
      <c r="A179" s="304" t="s">
        <v>691</v>
      </c>
      <c r="B179" s="302"/>
      <c r="C179" s="302"/>
      <c r="D179" s="302">
        <v>0</v>
      </c>
      <c r="E179" s="302">
        <f t="shared" ref="E179:L179" si="49">E$180-$D$180</f>
        <v>3</v>
      </c>
      <c r="F179" s="302">
        <f t="shared" si="49"/>
        <v>8</v>
      </c>
      <c r="G179" s="302">
        <f t="shared" si="49"/>
        <v>13</v>
      </c>
      <c r="H179" s="302">
        <f t="shared" si="49"/>
        <v>18</v>
      </c>
      <c r="I179" s="302">
        <f t="shared" si="49"/>
        <v>23</v>
      </c>
      <c r="J179" s="302">
        <f t="shared" si="49"/>
        <v>28</v>
      </c>
      <c r="K179" s="302">
        <f t="shared" si="49"/>
        <v>33</v>
      </c>
      <c r="L179" s="302">
        <f t="shared" si="49"/>
        <v>38</v>
      </c>
      <c r="O179" t="s">
        <v>596</v>
      </c>
    </row>
    <row r="180" spans="1:19">
      <c r="A180" s="304" t="s">
        <v>614</v>
      </c>
      <c r="B180" s="302" t="s">
        <v>589</v>
      </c>
      <c r="C180" s="302"/>
      <c r="D180" s="304">
        <v>2012</v>
      </c>
      <c r="E180" s="304">
        <v>2015</v>
      </c>
      <c r="F180" s="304">
        <v>2020</v>
      </c>
      <c r="G180" s="304">
        <v>2025</v>
      </c>
      <c r="H180" s="304">
        <v>2030</v>
      </c>
      <c r="I180" s="304">
        <v>2035</v>
      </c>
      <c r="J180" s="304">
        <v>2040</v>
      </c>
      <c r="K180" s="304">
        <v>2045</v>
      </c>
      <c r="L180" s="304">
        <v>2050</v>
      </c>
      <c r="N180" s="5" t="s">
        <v>595</v>
      </c>
      <c r="O180" s="14" t="s">
        <v>594</v>
      </c>
      <c r="P180" s="14" t="s">
        <v>437</v>
      </c>
      <c r="Q180" s="14" t="s">
        <v>609</v>
      </c>
      <c r="R180" s="14" t="s">
        <v>597</v>
      </c>
    </row>
    <row r="181" spans="1:19">
      <c r="A181" s="302"/>
      <c r="B181" s="302" t="s">
        <v>59</v>
      </c>
      <c r="C181" s="302" t="s">
        <v>587</v>
      </c>
      <c r="D181" s="245">
        <f t="shared" ref="D181:L186" si="50">$O181*$P181*EXP($Q181*D$179)/($O181+$P181*(EXP($Q181*D$179)-1))</f>
        <v>27950</v>
      </c>
      <c r="E181" s="245">
        <f t="shared" si="50"/>
        <v>58857.570340177561</v>
      </c>
      <c r="F181" s="245">
        <f t="shared" si="50"/>
        <v>200435.52081881356</v>
      </c>
      <c r="G181" s="245">
        <f t="shared" si="50"/>
        <v>644835.81944953371</v>
      </c>
      <c r="H181" s="245">
        <f t="shared" si="50"/>
        <v>1767791.3285220149</v>
      </c>
      <c r="I181" s="245">
        <f t="shared" si="50"/>
        <v>3528078.5781210754</v>
      </c>
      <c r="J181" s="245">
        <f t="shared" si="50"/>
        <v>4936368.239469626</v>
      </c>
      <c r="K181" s="245">
        <f t="shared" si="50"/>
        <v>5573805.5052590463</v>
      </c>
      <c r="L181" s="245">
        <f t="shared" si="50"/>
        <v>5787939.5827813214</v>
      </c>
      <c r="N181">
        <v>100</v>
      </c>
      <c r="O181" s="8">
        <f>$E$149*$J$160*$J$162*N181/100</f>
        <v>5878627.7822403442</v>
      </c>
      <c r="P181">
        <f>I139</f>
        <v>27950</v>
      </c>
      <c r="Q181">
        <v>0.25</v>
      </c>
      <c r="R181">
        <f>J161*J160</f>
        <v>27734473.420595895</v>
      </c>
      <c r="S181" t="s">
        <v>604</v>
      </c>
    </row>
    <row r="182" spans="1:19">
      <c r="A182" s="302"/>
      <c r="B182" s="302"/>
      <c r="C182" s="302" t="s">
        <v>58</v>
      </c>
      <c r="D182" s="245">
        <f t="shared" si="50"/>
        <v>27950</v>
      </c>
      <c r="E182" s="245">
        <f t="shared" si="50"/>
        <v>58548.275416055978</v>
      </c>
      <c r="F182" s="245">
        <f t="shared" si="50"/>
        <v>194695.64237629084</v>
      </c>
      <c r="G182" s="245">
        <f t="shared" si="50"/>
        <v>583330.4215300451</v>
      </c>
      <c r="H182" s="245">
        <f t="shared" si="50"/>
        <v>1362591.5828017865</v>
      </c>
      <c r="I182" s="245">
        <f t="shared" si="50"/>
        <v>2207472.8269972703</v>
      </c>
      <c r="J182" s="245">
        <f t="shared" si="50"/>
        <v>2684342.6181293325</v>
      </c>
      <c r="K182" s="245">
        <f t="shared" si="50"/>
        <v>2861443.845201401</v>
      </c>
      <c r="L182" s="245">
        <f t="shared" si="50"/>
        <v>2916573.9106388506</v>
      </c>
      <c r="N182">
        <v>50</v>
      </c>
      <c r="O182" s="8">
        <f>$E$149*$J$160*$J$162*N182/100</f>
        <v>2939313.8911201721</v>
      </c>
      <c r="P182">
        <f>P181</f>
        <v>27950</v>
      </c>
      <c r="Q182">
        <f>Q181</f>
        <v>0.25</v>
      </c>
    </row>
    <row r="183" spans="1:19">
      <c r="A183" s="302"/>
      <c r="B183" s="302"/>
      <c r="C183" s="302" t="s">
        <v>588</v>
      </c>
      <c r="D183" s="245">
        <f t="shared" si="50"/>
        <v>27950</v>
      </c>
      <c r="E183" s="245">
        <f t="shared" si="50"/>
        <v>58754.109576479277</v>
      </c>
      <c r="F183" s="245">
        <f t="shared" si="50"/>
        <v>198484.98972358942</v>
      </c>
      <c r="G183" s="245">
        <f t="shared" si="50"/>
        <v>622941.83284232824</v>
      </c>
      <c r="H183" s="245">
        <f t="shared" si="50"/>
        <v>1608362.7366748778</v>
      </c>
      <c r="I183" s="245">
        <f t="shared" si="50"/>
        <v>2941500.8811973915</v>
      </c>
      <c r="J183" s="245">
        <f t="shared" si="50"/>
        <v>3857593.8519480298</v>
      </c>
      <c r="K183" s="245">
        <f t="shared" si="50"/>
        <v>4235522.1606349265</v>
      </c>
      <c r="L183" s="245">
        <f t="shared" si="50"/>
        <v>4357841.8257824276</v>
      </c>
      <c r="N183">
        <v>75</v>
      </c>
      <c r="O183" s="8">
        <f>$E$149*$J$160*$J$162*N183/100</f>
        <v>4408970.8366802577</v>
      </c>
      <c r="P183">
        <f>P182</f>
        <v>27950</v>
      </c>
      <c r="Q183">
        <f>Q182</f>
        <v>0.25</v>
      </c>
    </row>
    <row r="184" spans="1:19">
      <c r="A184" s="304" t="s">
        <v>613</v>
      </c>
      <c r="B184" s="302" t="s">
        <v>616</v>
      </c>
      <c r="C184" s="302" t="s">
        <v>587</v>
      </c>
      <c r="D184" s="245">
        <f t="shared" si="50"/>
        <v>138095</v>
      </c>
      <c r="E184" s="245">
        <f t="shared" si="50"/>
        <v>245822.29529794829</v>
      </c>
      <c r="F184" s="245">
        <f t="shared" si="50"/>
        <v>614262.76573844638</v>
      </c>
      <c r="G184" s="245">
        <f t="shared" si="50"/>
        <v>1369229.5320803381</v>
      </c>
      <c r="H184" s="245">
        <f t="shared" si="50"/>
        <v>2499262.1230827225</v>
      </c>
      <c r="I184" s="245">
        <f t="shared" si="50"/>
        <v>3588897.8226191034</v>
      </c>
      <c r="J184" s="245">
        <f t="shared" si="50"/>
        <v>4274477.7524382714</v>
      </c>
      <c r="K184" s="245">
        <f t="shared" si="50"/>
        <v>4597573.4665484382</v>
      </c>
      <c r="L184" s="245">
        <f t="shared" si="50"/>
        <v>4729074.700587227</v>
      </c>
      <c r="N184">
        <v>100</v>
      </c>
      <c r="O184" s="8">
        <f>J177</f>
        <v>4809126.847871772</v>
      </c>
      <c r="P184">
        <f>I140</f>
        <v>138095</v>
      </c>
      <c r="Q184">
        <v>0.2</v>
      </c>
    </row>
    <row r="185" spans="1:19">
      <c r="A185" s="302"/>
      <c r="B185" s="302"/>
      <c r="C185" s="302" t="s">
        <v>58</v>
      </c>
      <c r="D185" s="245">
        <f t="shared" si="50"/>
        <v>138095</v>
      </c>
      <c r="E185" s="245">
        <f t="shared" si="50"/>
        <v>240280.7372903153</v>
      </c>
      <c r="F185" s="245">
        <f t="shared" si="50"/>
        <v>557437.27795969637</v>
      </c>
      <c r="G185" s="245">
        <f t="shared" si="50"/>
        <v>1083621.5619265069</v>
      </c>
      <c r="H185" s="245">
        <f t="shared" si="50"/>
        <v>1660097.0793513348</v>
      </c>
      <c r="I185" s="245">
        <f t="shared" si="50"/>
        <v>2064047.9286188548</v>
      </c>
      <c r="J185" s="245">
        <f t="shared" si="50"/>
        <v>2266978.7469702698</v>
      </c>
      <c r="K185" s="245">
        <f t="shared" si="50"/>
        <v>2352049.4852583357</v>
      </c>
      <c r="L185" s="245">
        <f t="shared" si="50"/>
        <v>2384974.1950583998</v>
      </c>
      <c r="N185">
        <v>50</v>
      </c>
      <c r="O185" s="8">
        <f>J177*N185/100</f>
        <v>2404563.423935886</v>
      </c>
      <c r="P185">
        <f>P184</f>
        <v>138095</v>
      </c>
      <c r="Q185">
        <f>Q184</f>
        <v>0.2</v>
      </c>
    </row>
    <row r="186" spans="1:19">
      <c r="A186" s="302"/>
      <c r="B186" s="302"/>
      <c r="C186" s="302" t="s">
        <v>588</v>
      </c>
      <c r="D186" s="245">
        <f t="shared" si="50"/>
        <v>138095</v>
      </c>
      <c r="E186" s="245">
        <f t="shared" si="50"/>
        <v>243946.9250522849</v>
      </c>
      <c r="F186" s="245">
        <f t="shared" si="50"/>
        <v>594075.94723062252</v>
      </c>
      <c r="G186" s="245">
        <f t="shared" si="50"/>
        <v>1258649.6109614698</v>
      </c>
      <c r="H186" s="245">
        <f t="shared" si="50"/>
        <v>2138868.7620435925</v>
      </c>
      <c r="I186" s="245">
        <f t="shared" si="50"/>
        <v>2879744.6612418857</v>
      </c>
      <c r="J186" s="245">
        <f t="shared" si="50"/>
        <v>3300296.800101405</v>
      </c>
      <c r="K186" s="245">
        <f t="shared" si="50"/>
        <v>3487669.6783072087</v>
      </c>
      <c r="L186" s="245">
        <f t="shared" si="50"/>
        <v>3562067.7051859237</v>
      </c>
      <c r="N186">
        <v>75</v>
      </c>
      <c r="O186" s="8">
        <f>N186*J177/100</f>
        <v>3606845.1359038288</v>
      </c>
      <c r="P186">
        <f>P185</f>
        <v>138095</v>
      </c>
      <c r="Q186">
        <f>Q185</f>
        <v>0.2</v>
      </c>
    </row>
    <row r="187" spans="1:19">
      <c r="A187" s="302"/>
      <c r="B187" t="s">
        <v>418</v>
      </c>
      <c r="C187" s="302" t="s">
        <v>615</v>
      </c>
      <c r="D187" s="338">
        <v>0</v>
      </c>
      <c r="E187" s="338">
        <v>0</v>
      </c>
      <c r="F187" s="338">
        <v>0.05</v>
      </c>
      <c r="G187" s="338">
        <v>0.1</v>
      </c>
      <c r="H187" s="338">
        <v>0.15</v>
      </c>
      <c r="I187" s="338">
        <v>0.15</v>
      </c>
      <c r="J187" s="338">
        <v>0.15</v>
      </c>
      <c r="K187" s="338">
        <v>0.15</v>
      </c>
      <c r="L187" s="338">
        <v>0.15</v>
      </c>
      <c r="O187" s="8"/>
    </row>
    <row r="188" spans="1:19">
      <c r="A188" s="302"/>
      <c r="B188" s="302" t="s">
        <v>617</v>
      </c>
      <c r="C188" s="302" t="s">
        <v>587</v>
      </c>
      <c r="D188" s="310">
        <f>D184*D$187</f>
        <v>0</v>
      </c>
      <c r="E188" s="310">
        <f t="shared" ref="E188:L188" si="51">E184*E$187</f>
        <v>0</v>
      </c>
      <c r="F188" s="310">
        <f t="shared" si="51"/>
        <v>30713.13828692232</v>
      </c>
      <c r="G188" s="310">
        <f t="shared" si="51"/>
        <v>136922.95320803381</v>
      </c>
      <c r="H188" s="310">
        <f t="shared" si="51"/>
        <v>374889.31846240838</v>
      </c>
      <c r="I188" s="310">
        <f t="shared" si="51"/>
        <v>538334.67339286546</v>
      </c>
      <c r="J188" s="310">
        <f t="shared" si="51"/>
        <v>641171.66286574071</v>
      </c>
      <c r="K188" s="310">
        <f t="shared" si="51"/>
        <v>689636.01998226566</v>
      </c>
      <c r="L188" s="310">
        <f t="shared" si="51"/>
        <v>709361.20508808398</v>
      </c>
      <c r="O188" s="8"/>
    </row>
    <row r="189" spans="1:19">
      <c r="A189" s="302"/>
      <c r="B189" s="302"/>
      <c r="C189" s="302" t="s">
        <v>58</v>
      </c>
      <c r="D189" s="310">
        <f t="shared" ref="D189:L190" si="52">D185*D$187</f>
        <v>0</v>
      </c>
      <c r="E189" s="310">
        <f t="shared" si="52"/>
        <v>0</v>
      </c>
      <c r="F189" s="310">
        <f t="shared" si="52"/>
        <v>27871.863897984818</v>
      </c>
      <c r="G189" s="310">
        <f t="shared" si="52"/>
        <v>108362.1561926507</v>
      </c>
      <c r="H189" s="310">
        <f t="shared" si="52"/>
        <v>249014.56190270022</v>
      </c>
      <c r="I189" s="310">
        <f t="shared" si="52"/>
        <v>309607.1892928282</v>
      </c>
      <c r="J189" s="310">
        <f t="shared" si="52"/>
        <v>340046.81204554049</v>
      </c>
      <c r="K189" s="310">
        <f t="shared" si="52"/>
        <v>352807.42278875032</v>
      </c>
      <c r="L189" s="310">
        <f t="shared" si="52"/>
        <v>357746.12925875996</v>
      </c>
      <c r="O189" s="8"/>
    </row>
    <row r="190" spans="1:19">
      <c r="A190" s="302"/>
      <c r="B190" s="302"/>
      <c r="C190" s="302" t="s">
        <v>588</v>
      </c>
      <c r="D190" s="310">
        <f t="shared" si="52"/>
        <v>0</v>
      </c>
      <c r="E190" s="310">
        <f t="shared" si="52"/>
        <v>0</v>
      </c>
      <c r="F190" s="310">
        <f t="shared" si="52"/>
        <v>29703.797361531128</v>
      </c>
      <c r="G190" s="310">
        <f t="shared" si="52"/>
        <v>125864.96109614699</v>
      </c>
      <c r="H190" s="310">
        <f t="shared" si="52"/>
        <v>320830.31430653884</v>
      </c>
      <c r="I190" s="310">
        <f t="shared" si="52"/>
        <v>431961.69918628287</v>
      </c>
      <c r="J190" s="310">
        <f t="shared" si="52"/>
        <v>495044.52001521073</v>
      </c>
      <c r="K190" s="310">
        <f t="shared" si="52"/>
        <v>523150.45174608129</v>
      </c>
      <c r="L190" s="310">
        <f t="shared" si="52"/>
        <v>534310.15577788849</v>
      </c>
      <c r="O190" s="8"/>
    </row>
    <row r="191" spans="1:19">
      <c r="A191" s="302"/>
      <c r="B191" s="302" t="s">
        <v>618</v>
      </c>
      <c r="C191" s="302" t="s">
        <v>587</v>
      </c>
      <c r="D191" s="310">
        <f>D184*(1-D$187)</f>
        <v>138095</v>
      </c>
      <c r="E191" s="310">
        <f t="shared" ref="E191:L191" si="53">E184*(1-E$187)</f>
        <v>245822.29529794829</v>
      </c>
      <c r="F191" s="310">
        <f t="shared" si="53"/>
        <v>583549.62745152402</v>
      </c>
      <c r="G191" s="310">
        <f t="shared" si="53"/>
        <v>1232306.5788723044</v>
      </c>
      <c r="H191" s="310">
        <f t="shared" si="53"/>
        <v>2124372.8046203139</v>
      </c>
      <c r="I191" s="310">
        <f t="shared" si="53"/>
        <v>3050563.1492262376</v>
      </c>
      <c r="J191" s="310">
        <f t="shared" si="53"/>
        <v>3633306.0895725307</v>
      </c>
      <c r="K191" s="310">
        <f t="shared" si="53"/>
        <v>3907937.4465661724</v>
      </c>
      <c r="L191" s="310">
        <f t="shared" si="53"/>
        <v>4019713.4954991429</v>
      </c>
      <c r="O191" s="8"/>
    </row>
    <row r="192" spans="1:19">
      <c r="A192" s="302"/>
      <c r="B192" s="302"/>
      <c r="C192" s="302" t="s">
        <v>58</v>
      </c>
      <c r="D192" s="310">
        <f t="shared" ref="D192:L193" si="54">D185*(1-D$187)</f>
        <v>138095</v>
      </c>
      <c r="E192" s="310">
        <f t="shared" si="54"/>
        <v>240280.7372903153</v>
      </c>
      <c r="F192" s="310">
        <f t="shared" si="54"/>
        <v>529565.41406171152</v>
      </c>
      <c r="G192" s="310">
        <f t="shared" si="54"/>
        <v>975259.40573385626</v>
      </c>
      <c r="H192" s="310">
        <f t="shared" si="54"/>
        <v>1411082.5174486346</v>
      </c>
      <c r="I192" s="310">
        <f t="shared" si="54"/>
        <v>1754440.7393260265</v>
      </c>
      <c r="J192" s="310">
        <f t="shared" si="54"/>
        <v>1926931.9349247294</v>
      </c>
      <c r="K192" s="310">
        <f t="shared" si="54"/>
        <v>1999242.0624695853</v>
      </c>
      <c r="L192" s="310">
        <f t="shared" si="54"/>
        <v>2027228.0657996398</v>
      </c>
      <c r="O192" s="8"/>
    </row>
    <row r="193" spans="1:17">
      <c r="A193" s="302"/>
      <c r="B193" s="302"/>
      <c r="C193" s="302" t="s">
        <v>588</v>
      </c>
      <c r="D193" s="310">
        <f t="shared" si="54"/>
        <v>138095</v>
      </c>
      <c r="E193" s="310">
        <f t="shared" si="54"/>
        <v>243946.9250522849</v>
      </c>
      <c r="F193" s="310">
        <f t="shared" si="54"/>
        <v>564372.14986909134</v>
      </c>
      <c r="G193" s="310">
        <f t="shared" si="54"/>
        <v>1132784.649865323</v>
      </c>
      <c r="H193" s="310">
        <f t="shared" si="54"/>
        <v>1818038.4477370535</v>
      </c>
      <c r="I193" s="310">
        <f t="shared" si="54"/>
        <v>2447782.962055603</v>
      </c>
      <c r="J193" s="310">
        <f t="shared" si="54"/>
        <v>2805252.2800861942</v>
      </c>
      <c r="K193" s="310">
        <f t="shared" si="54"/>
        <v>2964519.2265611272</v>
      </c>
      <c r="L193" s="310">
        <f t="shared" si="54"/>
        <v>3027757.5494080349</v>
      </c>
      <c r="O193" s="8"/>
    </row>
    <row r="194" spans="1:17">
      <c r="A194" s="304" t="s">
        <v>627</v>
      </c>
      <c r="B194" s="302" t="s">
        <v>628</v>
      </c>
      <c r="C194" s="302" t="s">
        <v>31</v>
      </c>
      <c r="D194" s="310">
        <v>1</v>
      </c>
      <c r="E194" s="310">
        <v>1000</v>
      </c>
      <c r="F194" s="245">
        <f>$O194*$P194*EXP($Q194*F$214)/($O194+$P194*(EXP($Q194*F$214)-1))</f>
        <v>2715.9633440993275</v>
      </c>
      <c r="G194" s="245">
        <f t="shared" ref="F194:L196" si="55">$O194*$P194*EXP($Q194*G$179)/($O194+$P194*(EXP($Q194*G$179)-1))</f>
        <v>13380.882990594493</v>
      </c>
      <c r="H194" s="245">
        <f t="shared" si="55"/>
        <v>35962.22885997744</v>
      </c>
      <c r="I194" s="245">
        <f t="shared" si="55"/>
        <v>94843.844357287977</v>
      </c>
      <c r="J194" s="245">
        <f t="shared" si="55"/>
        <v>238502.31055409231</v>
      </c>
      <c r="K194" s="245">
        <f t="shared" si="55"/>
        <v>538648.8354669346</v>
      </c>
      <c r="L194" s="245">
        <f t="shared" si="55"/>
        <v>1003001.275816632</v>
      </c>
      <c r="N194">
        <v>100</v>
      </c>
      <c r="O194" s="8">
        <f>$D$149*$J$158*$J$162*N194/100</f>
        <v>2012862.6019696158</v>
      </c>
      <c r="P194">
        <v>1000</v>
      </c>
      <c r="Q194">
        <f>Q184</f>
        <v>0.2</v>
      </c>
    </row>
    <row r="195" spans="1:17">
      <c r="A195" s="302"/>
      <c r="B195" s="302"/>
      <c r="C195" s="302" t="s">
        <v>30</v>
      </c>
      <c r="D195" s="310">
        <v>1</v>
      </c>
      <c r="E195" s="310">
        <v>1000</v>
      </c>
      <c r="F195" s="245">
        <f t="shared" si="55"/>
        <v>4933.6541570118015</v>
      </c>
      <c r="G195" s="245">
        <f t="shared" si="55"/>
        <v>13299.041479013369</v>
      </c>
      <c r="H195" s="245">
        <f t="shared" si="55"/>
        <v>35347.950756263112</v>
      </c>
      <c r="I195" s="245">
        <f t="shared" si="55"/>
        <v>90616.991662014232</v>
      </c>
      <c r="J195" s="245">
        <f t="shared" si="55"/>
        <v>213319.71367365413</v>
      </c>
      <c r="K195" s="245">
        <f t="shared" si="55"/>
        <v>425056.90767169988</v>
      </c>
      <c r="L195" s="245">
        <f t="shared" si="55"/>
        <v>669539.44782187312</v>
      </c>
      <c r="N195">
        <v>50</v>
      </c>
      <c r="O195" s="8">
        <f>$D$149*$J$158*$J$162*N195/100</f>
        <v>1006431.3009848079</v>
      </c>
      <c r="P195">
        <v>1000</v>
      </c>
      <c r="Q195">
        <f t="shared" ref="Q195:Q196" si="56">Q194</f>
        <v>0.2</v>
      </c>
    </row>
    <row r="196" spans="1:17">
      <c r="A196" s="302"/>
      <c r="B196" s="302"/>
      <c r="C196" s="302" t="s">
        <v>29</v>
      </c>
      <c r="D196" s="310">
        <v>1</v>
      </c>
      <c r="E196" s="310">
        <v>1000</v>
      </c>
      <c r="F196" s="245">
        <f t="shared" si="55"/>
        <v>4940.0967095556862</v>
      </c>
      <c r="G196" s="245">
        <f t="shared" si="55"/>
        <v>13353.49079411678</v>
      </c>
      <c r="H196" s="245">
        <f t="shared" si="55"/>
        <v>35755.110943393913</v>
      </c>
      <c r="I196" s="245">
        <f t="shared" si="55"/>
        <v>93391.75034988916</v>
      </c>
      <c r="J196" s="245">
        <f t="shared" si="55"/>
        <v>229472.49450212307</v>
      </c>
      <c r="K196" s="245">
        <f t="shared" si="55"/>
        <v>494590.79603907018</v>
      </c>
      <c r="L196" s="245">
        <f t="shared" si="55"/>
        <v>860195.47309881181</v>
      </c>
      <c r="N196">
        <v>75</v>
      </c>
      <c r="O196" s="8">
        <f>$D$149*$J$158*$J$162*N196/100</f>
        <v>1509646.9514772117</v>
      </c>
      <c r="P196">
        <v>1000</v>
      </c>
      <c r="Q196">
        <f t="shared" si="56"/>
        <v>0.2</v>
      </c>
    </row>
    <row r="197" spans="1:17">
      <c r="A197" s="302" t="s">
        <v>610</v>
      </c>
      <c r="B197" s="302" t="s">
        <v>676</v>
      </c>
      <c r="C197" s="302" t="s">
        <v>607</v>
      </c>
      <c r="D197" s="245"/>
      <c r="E197" s="245">
        <f>(E181-D181)/E179</f>
        <v>10302.523446725854</v>
      </c>
      <c r="F197" s="245">
        <f>(F181-E181)/F179</f>
        <v>17697.243809829499</v>
      </c>
      <c r="G197" s="245">
        <f t="shared" ref="G197:L197" si="57">(G181-F181)/G179</f>
        <v>34184.638356209238</v>
      </c>
      <c r="H197" s="245">
        <f t="shared" si="57"/>
        <v>62386.417170693399</v>
      </c>
      <c r="I197" s="245">
        <f t="shared" si="57"/>
        <v>76534.228243437406</v>
      </c>
      <c r="J197" s="245">
        <f t="shared" si="57"/>
        <v>50296.059333876809</v>
      </c>
      <c r="K197" s="245">
        <f t="shared" si="57"/>
        <v>19316.280781497586</v>
      </c>
      <c r="L197" s="245">
        <f t="shared" si="57"/>
        <v>5635.1073032177637</v>
      </c>
      <c r="O197" s="8"/>
    </row>
    <row r="198" spans="1:17">
      <c r="A198" s="302"/>
      <c r="B198" s="302" t="s">
        <v>677</v>
      </c>
      <c r="C198" s="302" t="s">
        <v>607</v>
      </c>
      <c r="D198" s="245"/>
      <c r="E198" s="245">
        <f>(E182-D182)/E179</f>
        <v>10199.425138685327</v>
      </c>
      <c r="F198" s="245">
        <f t="shared" ref="F198:L198" si="58">(F182-E182)/F179</f>
        <v>17018.420870029357</v>
      </c>
      <c r="G198" s="245">
        <f t="shared" si="58"/>
        <v>29894.983011827248</v>
      </c>
      <c r="H198" s="245">
        <f t="shared" si="58"/>
        <v>43292.286737318966</v>
      </c>
      <c r="I198" s="245">
        <f t="shared" si="58"/>
        <v>36733.96713893408</v>
      </c>
      <c r="J198" s="245">
        <f t="shared" si="58"/>
        <v>17031.063969002222</v>
      </c>
      <c r="K198" s="245">
        <f t="shared" si="58"/>
        <v>5366.7038506687422</v>
      </c>
      <c r="L198" s="245">
        <f t="shared" si="58"/>
        <v>1450.791195722358</v>
      </c>
      <c r="O198" s="8"/>
    </row>
    <row r="199" spans="1:17">
      <c r="A199" s="302"/>
      <c r="B199" s="302" t="s">
        <v>677</v>
      </c>
      <c r="C199" s="302" t="s">
        <v>608</v>
      </c>
      <c r="D199" s="245"/>
      <c r="E199" s="245"/>
      <c r="F199" s="245"/>
      <c r="G199" s="245"/>
      <c r="H199" s="245"/>
      <c r="I199" s="245"/>
      <c r="J199" s="245"/>
      <c r="K199" s="245"/>
      <c r="L199" s="245"/>
      <c r="O199" s="8"/>
    </row>
    <row r="200" spans="1:17">
      <c r="F200">
        <f>F181+F184</f>
        <v>814698.28655725997</v>
      </c>
    </row>
    <row r="201" spans="1:17">
      <c r="A201" s="304" t="s">
        <v>691</v>
      </c>
      <c r="B201" s="302"/>
      <c r="C201" s="302"/>
      <c r="D201" s="302" t="s">
        <v>605</v>
      </c>
      <c r="E201" s="302"/>
      <c r="F201" s="302"/>
      <c r="G201" s="302"/>
      <c r="H201" s="302"/>
      <c r="I201" s="302"/>
      <c r="J201" s="302"/>
      <c r="K201" s="302"/>
      <c r="L201" s="302"/>
    </row>
    <row r="202" spans="1:17">
      <c r="A202" s="304" t="s">
        <v>606</v>
      </c>
      <c r="B202" s="302" t="s">
        <v>589</v>
      </c>
      <c r="C202" s="302"/>
      <c r="D202" s="304">
        <v>2012</v>
      </c>
      <c r="E202" s="304">
        <v>2015</v>
      </c>
      <c r="F202" s="304">
        <v>2020</v>
      </c>
      <c r="G202" s="304">
        <v>2025</v>
      </c>
      <c r="H202" s="304">
        <v>2030</v>
      </c>
      <c r="I202" s="304">
        <v>2035</v>
      </c>
      <c r="J202" s="304">
        <v>2040</v>
      </c>
      <c r="K202" s="304">
        <v>2045</v>
      </c>
      <c r="L202" s="304">
        <v>2050</v>
      </c>
      <c r="M202" t="s">
        <v>697</v>
      </c>
    </row>
    <row r="203" spans="1:17">
      <c r="A203" s="302" t="s">
        <v>59</v>
      </c>
      <c r="B203" s="302" t="s">
        <v>607</v>
      </c>
      <c r="C203" s="302" t="s">
        <v>587</v>
      </c>
      <c r="D203" s="307">
        <f>D181/$B$168</f>
        <v>8.7745777275293861E-3</v>
      </c>
      <c r="E203" s="307">
        <f>E181/C$168</f>
        <v>1.6109362844475762E-2</v>
      </c>
      <c r="F203" s="307">
        <f t="shared" ref="F203:L205" si="59">F181/D$168</f>
        <v>4.5654514773069851E-2</v>
      </c>
      <c r="G203" s="307">
        <f t="shared" si="59"/>
        <v>0.12160943009231959</v>
      </c>
      <c r="H203" s="307">
        <f t="shared" si="59"/>
        <v>0.27771497581927407</v>
      </c>
      <c r="I203" s="307">
        <f t="shared" si="59"/>
        <v>0.52436995723584667</v>
      </c>
      <c r="J203" s="307">
        <f t="shared" si="59"/>
        <v>0.72793725928542241</v>
      </c>
      <c r="K203" s="307">
        <f t="shared" si="59"/>
        <v>0.80524495209338831</v>
      </c>
      <c r="L203" s="307">
        <f t="shared" si="59"/>
        <v>0.83240468576534998</v>
      </c>
    </row>
    <row r="204" spans="1:17">
      <c r="A204" s="302"/>
      <c r="B204" s="302" t="s">
        <v>607</v>
      </c>
      <c r="C204" s="302" t="s">
        <v>58</v>
      </c>
      <c r="D204" s="307">
        <f t="shared" ref="D204:D205" si="60">D182/$B$168</f>
        <v>8.7745777275293861E-3</v>
      </c>
      <c r="E204" s="307">
        <f t="shared" ref="E204:E205" si="61">E182/C$168</f>
        <v>1.6024708582843286E-2</v>
      </c>
      <c r="F204" s="307">
        <f t="shared" si="59"/>
        <v>4.4347104968264522E-2</v>
      </c>
      <c r="G204" s="307">
        <f t="shared" si="59"/>
        <v>0.11001014208289206</v>
      </c>
      <c r="H204" s="307">
        <f t="shared" si="59"/>
        <v>0.2140592514308354</v>
      </c>
      <c r="I204" s="307">
        <f t="shared" si="59"/>
        <v>0.32809145438827247</v>
      </c>
      <c r="J204" s="307">
        <f t="shared" si="59"/>
        <v>0.39584425505380594</v>
      </c>
      <c r="K204" s="307">
        <f t="shared" si="59"/>
        <v>0.4133913911910056</v>
      </c>
      <c r="L204" s="307">
        <f t="shared" si="59"/>
        <v>0.4194532017609825</v>
      </c>
    </row>
    <row r="205" spans="1:17">
      <c r="A205" s="302"/>
      <c r="B205" s="302" t="s">
        <v>607</v>
      </c>
      <c r="C205" s="302" t="s">
        <v>588</v>
      </c>
      <c r="D205" s="307">
        <f t="shared" si="60"/>
        <v>8.7745777275293861E-3</v>
      </c>
      <c r="E205" s="307">
        <f t="shared" si="61"/>
        <v>1.6081045552869103E-2</v>
      </c>
      <c r="F205" s="307">
        <f t="shared" si="59"/>
        <v>4.5210229496994749E-2</v>
      </c>
      <c r="G205" s="307">
        <f t="shared" si="59"/>
        <v>0.11748044849197362</v>
      </c>
      <c r="H205" s="307">
        <f t="shared" si="59"/>
        <v>0.25266919874402061</v>
      </c>
      <c r="I205" s="307">
        <f t="shared" si="59"/>
        <v>0.43718830437844874</v>
      </c>
      <c r="J205" s="307">
        <f t="shared" si="59"/>
        <v>0.56885673025176331</v>
      </c>
      <c r="K205" s="307">
        <f t="shared" si="59"/>
        <v>0.61190381259499016</v>
      </c>
      <c r="L205" s="307">
        <f t="shared" si="59"/>
        <v>0.62673217363861577</v>
      </c>
    </row>
    <row r="206" spans="1:17">
      <c r="A206" s="302" t="s">
        <v>418</v>
      </c>
      <c r="B206" s="302" t="s">
        <v>607</v>
      </c>
      <c r="C206" s="302" t="s">
        <v>587</v>
      </c>
      <c r="D206" s="307">
        <f>D184/B$177*D$187</f>
        <v>0</v>
      </c>
      <c r="E206" s="307">
        <f t="shared" ref="E206:L206" si="62">E184/C$174*E$187</f>
        <v>0</v>
      </c>
      <c r="F206" s="307">
        <f t="shared" si="62"/>
        <v>6.6987730718320029E-3</v>
      </c>
      <c r="G206" s="307">
        <f t="shared" si="62"/>
        <v>2.6352834989611069E-2</v>
      </c>
      <c r="H206" s="307">
        <f t="shared" si="62"/>
        <v>6.4065627357668561E-2</v>
      </c>
      <c r="I206" s="307">
        <f t="shared" si="62"/>
        <v>8.9929614836388463E-2</v>
      </c>
      <c r="J206" s="307">
        <f t="shared" si="62"/>
        <v>0.10497780394355592</v>
      </c>
      <c r="K206" s="307">
        <f t="shared" si="62"/>
        <v>0.10633068321528817</v>
      </c>
      <c r="L206" s="307">
        <f t="shared" si="62"/>
        <v>0.10321727399595863</v>
      </c>
      <c r="M206" t="s">
        <v>111</v>
      </c>
    </row>
    <row r="207" spans="1:17">
      <c r="A207" s="302" t="s">
        <v>690</v>
      </c>
      <c r="B207" s="302" t="s">
        <v>607</v>
      </c>
      <c r="C207" s="302" t="s">
        <v>58</v>
      </c>
      <c r="D207" s="307">
        <f>D185/B$177*D$187</f>
        <v>0</v>
      </c>
      <c r="E207" s="307">
        <f t="shared" ref="E207:L207" si="63">E185/C$177*E$187</f>
        <v>0</v>
      </c>
      <c r="F207" s="307">
        <f t="shared" si="63"/>
        <v>1.1905311039914081E-2</v>
      </c>
      <c r="G207" s="307">
        <f t="shared" si="63"/>
        <v>3.5013901054766997E-2</v>
      </c>
      <c r="H207" s="307">
        <f t="shared" si="63"/>
        <v>6.3843737350299412E-2</v>
      </c>
      <c r="I207" s="307">
        <f t="shared" si="63"/>
        <v>7.4948754657535949E-2</v>
      </c>
      <c r="J207" s="307">
        <f t="shared" si="63"/>
        <v>7.9863718618332691E-2</v>
      </c>
      <c r="K207" s="307">
        <f t="shared" si="63"/>
        <v>7.7801989568355434E-2</v>
      </c>
      <c r="L207" s="307">
        <f t="shared" si="63"/>
        <v>7.4388998372350412E-2</v>
      </c>
      <c r="M207" t="s">
        <v>696</v>
      </c>
    </row>
    <row r="208" spans="1:17">
      <c r="A208" s="302"/>
      <c r="B208" s="302" t="s">
        <v>607</v>
      </c>
      <c r="C208" s="302" t="s">
        <v>588</v>
      </c>
      <c r="D208" s="307">
        <f>D186/B$177*D$187</f>
        <v>0</v>
      </c>
      <c r="E208" s="307">
        <f t="shared" ref="E208:L208" si="64">E186/C$177*E$187</f>
        <v>0</v>
      </c>
      <c r="F208" s="307">
        <f t="shared" si="64"/>
        <v>1.2687811190164986E-2</v>
      </c>
      <c r="G208" s="307">
        <f t="shared" si="64"/>
        <v>4.0669394638545214E-2</v>
      </c>
      <c r="H208" s="307">
        <f t="shared" si="64"/>
        <v>8.2256259088190162E-2</v>
      </c>
      <c r="I208" s="307">
        <f t="shared" si="64"/>
        <v>0.10456795750677679</v>
      </c>
      <c r="J208" s="307">
        <f t="shared" si="64"/>
        <v>0.11626662815103092</v>
      </c>
      <c r="K208" s="307">
        <f t="shared" si="64"/>
        <v>0.11536646725769195</v>
      </c>
      <c r="L208" s="307">
        <f t="shared" si="64"/>
        <v>0.11110336089686257</v>
      </c>
      <c r="M208" t="s">
        <v>122</v>
      </c>
    </row>
    <row r="209" spans="1:15">
      <c r="A209" s="302"/>
      <c r="B209" s="302" t="s">
        <v>695</v>
      </c>
      <c r="C209" s="302" t="s">
        <v>587</v>
      </c>
      <c r="D209" s="307">
        <f>D184/B$177*(1-D$187)</f>
        <v>6.8475059934243659E-2</v>
      </c>
      <c r="E209" s="307">
        <f t="shared" ref="E209:L209" si="65">E184/C$177*(1-E$187)</f>
        <v>0.11509717330389066</v>
      </c>
      <c r="F209" s="307">
        <f t="shared" si="65"/>
        <v>0.24925996508395273</v>
      </c>
      <c r="G209" s="307">
        <f t="shared" si="65"/>
        <v>0.39818200502639728</v>
      </c>
      <c r="H209" s="307">
        <f t="shared" si="65"/>
        <v>0.54465850645832281</v>
      </c>
      <c r="I209" s="307">
        <f t="shared" si="65"/>
        <v>0.73847093008693787</v>
      </c>
      <c r="J209" s="307">
        <f t="shared" si="65"/>
        <v>0.85332173369422615</v>
      </c>
      <c r="K209" s="307">
        <f t="shared" si="65"/>
        <v>0.86178829812653757</v>
      </c>
      <c r="L209" s="307">
        <f t="shared" si="65"/>
        <v>0.83585100219970787</v>
      </c>
      <c r="M209" t="s">
        <v>111</v>
      </c>
    </row>
    <row r="210" spans="1:15">
      <c r="A210" s="302"/>
      <c r="B210" s="302" t="s">
        <v>695</v>
      </c>
      <c r="C210" s="302" t="s">
        <v>58</v>
      </c>
      <c r="D210" s="307">
        <f t="shared" ref="D210" si="66">D185/B$174*(1-D$187)</f>
        <v>3.4964615601534361E-2</v>
      </c>
      <c r="E210" s="307">
        <f t="shared" ref="E210" si="67">E185/C$174*(1-E$187)</f>
        <v>5.7445852821196478E-2</v>
      </c>
      <c r="F210" s="307">
        <f t="shared" ref="F210" si="68">F185/D$174*(1-F$187)</f>
        <v>0.11550231377692394</v>
      </c>
      <c r="G210" s="307">
        <f t="shared" ref="G210" si="69">G185/E$174*(1-G$187)</f>
        <v>0.18770300807288234</v>
      </c>
      <c r="H210" s="307">
        <f t="shared" ref="H210" si="70">H185/F$174*(1-H$187)</f>
        <v>0.24114287146020683</v>
      </c>
      <c r="I210" s="307">
        <f t="shared" ref="I210" si="71">I185/G$174*(1-I$187)</f>
        <v>0.29308195763514644</v>
      </c>
      <c r="J210" s="307">
        <f t="shared" ref="J210" si="72">J185/H$174*(1-J$187)</f>
        <v>0.31549286188504394</v>
      </c>
      <c r="K210" s="307">
        <f t="shared" ref="K210" si="73">K185/I$174*(1-K$187)</f>
        <v>0.30825068333959621</v>
      </c>
      <c r="L210" s="307">
        <f t="shared" ref="L210" si="74">L185/J$174*(1-L$187)</f>
        <v>0.29497659756281142</v>
      </c>
      <c r="M210" t="s">
        <v>696</v>
      </c>
    </row>
    <row r="211" spans="1:15">
      <c r="A211" s="302"/>
      <c r="B211" s="302" t="s">
        <v>695</v>
      </c>
      <c r="C211" s="302" t="s">
        <v>588</v>
      </c>
      <c r="D211" s="307">
        <f>D186/B$177*(1-D$187)</f>
        <v>6.8475059934243659E-2</v>
      </c>
      <c r="E211" s="307">
        <f t="shared" ref="E211:L211" si="75">E186/C$177*(1-E$187)</f>
        <v>0.11421910073560528</v>
      </c>
      <c r="F211" s="307">
        <f t="shared" si="75"/>
        <v>0.24106841261313472</v>
      </c>
      <c r="G211" s="307">
        <f t="shared" si="75"/>
        <v>0.36602455174690696</v>
      </c>
      <c r="H211" s="307">
        <f t="shared" si="75"/>
        <v>0.46611880149974422</v>
      </c>
      <c r="I211" s="307">
        <f t="shared" si="75"/>
        <v>0.59255175920506842</v>
      </c>
      <c r="J211" s="307">
        <f t="shared" si="75"/>
        <v>0.65884422618917526</v>
      </c>
      <c r="K211" s="307">
        <f t="shared" si="75"/>
        <v>0.65374331446025447</v>
      </c>
      <c r="L211" s="307">
        <f t="shared" si="75"/>
        <v>0.62958571174888789</v>
      </c>
      <c r="M211" t="s">
        <v>122</v>
      </c>
    </row>
    <row r="212" spans="1:15">
      <c r="A212" s="302" t="s">
        <v>18</v>
      </c>
      <c r="B212" s="302" t="s">
        <v>695</v>
      </c>
      <c r="C212" s="302" t="s">
        <v>587</v>
      </c>
      <c r="D212" s="355">
        <v>0</v>
      </c>
      <c r="E212" s="356">
        <f>E194/C173</f>
        <v>2.0749603150142109E-4</v>
      </c>
      <c r="F212" s="356">
        <f t="shared" ref="F212:L212" si="76">F194/D173</f>
        <v>6.1599215895705931E-4</v>
      </c>
      <c r="G212" s="356">
        <f t="shared" si="76"/>
        <v>3.2509256239793365E-3</v>
      </c>
      <c r="H212" s="356">
        <f t="shared" si="76"/>
        <v>9.8778103549652975E-3</v>
      </c>
      <c r="I212" s="356">
        <f t="shared" si="76"/>
        <v>2.8925306015421575E-2</v>
      </c>
      <c r="J212" s="356">
        <f t="shared" si="76"/>
        <v>7.4402566364663705E-2</v>
      </c>
      <c r="K212" s="356">
        <f t="shared" si="76"/>
        <v>0.17022113825972524</v>
      </c>
      <c r="L212" s="356">
        <f t="shared" si="76"/>
        <v>0.31040333319418079</v>
      </c>
      <c r="M212" t="s">
        <v>696</v>
      </c>
    </row>
    <row r="214" spans="1:15">
      <c r="F214">
        <f>F215-E215</f>
        <v>5</v>
      </c>
      <c r="G214" s="302">
        <f>G$215-$E$215</f>
        <v>10</v>
      </c>
      <c r="H214" s="302">
        <f t="shared" ref="H214:L214" si="77">H$215-$E$215</f>
        <v>15</v>
      </c>
      <c r="I214" s="302">
        <f t="shared" si="77"/>
        <v>20</v>
      </c>
      <c r="J214" s="302">
        <f t="shared" si="77"/>
        <v>25</v>
      </c>
      <c r="K214" s="302">
        <f t="shared" si="77"/>
        <v>30</v>
      </c>
      <c r="L214" s="302">
        <f t="shared" si="77"/>
        <v>35</v>
      </c>
    </row>
    <row r="215" spans="1:15">
      <c r="A215" s="82" t="s">
        <v>624</v>
      </c>
      <c r="B215" s="82"/>
      <c r="C215" s="82"/>
      <c r="D215" s="357">
        <f>D180</f>
        <v>2012</v>
      </c>
      <c r="E215" s="357">
        <f t="shared" ref="E215:L215" si="78">E180</f>
        <v>2015</v>
      </c>
      <c r="F215" s="357">
        <f t="shared" si="78"/>
        <v>2020</v>
      </c>
      <c r="G215" s="357">
        <f t="shared" si="78"/>
        <v>2025</v>
      </c>
      <c r="H215" s="357">
        <f t="shared" si="78"/>
        <v>2030</v>
      </c>
      <c r="I215" s="357">
        <f t="shared" si="78"/>
        <v>2035</v>
      </c>
      <c r="J215" s="357">
        <f t="shared" si="78"/>
        <v>2040</v>
      </c>
      <c r="K215" s="357">
        <f t="shared" si="78"/>
        <v>2045</v>
      </c>
      <c r="L215" s="357">
        <f t="shared" si="78"/>
        <v>2050</v>
      </c>
    </row>
    <row r="216" spans="1:15" ht="14.1" customHeight="1">
      <c r="A216" s="82"/>
      <c r="B216" s="82" t="s">
        <v>59</v>
      </c>
      <c r="C216" s="82" t="s">
        <v>629</v>
      </c>
      <c r="D216" s="245">
        <f>D181</f>
        <v>27950</v>
      </c>
      <c r="E216" s="245">
        <f>E181</f>
        <v>58857.570340177561</v>
      </c>
      <c r="F216" s="245">
        <f>$O181*$P181*EXP($N216*F$214)/($O181+$P181*(EXP($N216*F$214)-1))</f>
        <v>254895.88484757452</v>
      </c>
      <c r="G216" s="245">
        <f t="shared" ref="G216:L216" si="79">$O181*$F216*EXP($O216*G$214)/($O181+$F216*(EXP($O216*G$214)-1))</f>
        <v>1474862.0157627151</v>
      </c>
      <c r="H216" s="245">
        <f t="shared" si="79"/>
        <v>2801420.8739724793</v>
      </c>
      <c r="I216" s="245">
        <f t="shared" si="79"/>
        <v>4186772.4784253244</v>
      </c>
      <c r="J216" s="245">
        <f t="shared" si="79"/>
        <v>5117820.8610229595</v>
      </c>
      <c r="K216" s="245">
        <f t="shared" si="79"/>
        <v>5573805.5052590473</v>
      </c>
      <c r="L216" s="245">
        <f t="shared" si="79"/>
        <v>5762689.8220821638</v>
      </c>
      <c r="N216">
        <v>0.45</v>
      </c>
      <c r="O216">
        <v>0.2</v>
      </c>
    </row>
    <row r="217" spans="1:15">
      <c r="A217" s="82" t="s">
        <v>625</v>
      </c>
      <c r="B217" s="82" t="s">
        <v>681</v>
      </c>
      <c r="C217" s="82" t="s">
        <v>682</v>
      </c>
      <c r="D217" s="309">
        <f>D191</f>
        <v>138095</v>
      </c>
      <c r="E217" s="309">
        <f>E191</f>
        <v>245822.29529794829</v>
      </c>
      <c r="F217" s="245">
        <f>$O184*$P184*EXP($N217*F$214)/($O184+$P184*(EXP($N217*F$214)-1))</f>
        <v>1053453.7881037707</v>
      </c>
      <c r="G217" s="245">
        <f t="shared" ref="G217:L217" si="80">$O184*$F217*EXP($O217*G$214)/($O184+$F217*(EXP($O217*G$214)-1))</f>
        <v>2678459.4989427892</v>
      </c>
      <c r="H217" s="245">
        <f t="shared" si="80"/>
        <v>3495616.5273471246</v>
      </c>
      <c r="I217" s="245">
        <f t="shared" si="80"/>
        <v>4084197.6457546423</v>
      </c>
      <c r="J217" s="245">
        <f t="shared" si="80"/>
        <v>4437105.5982963108</v>
      </c>
      <c r="K217" s="245">
        <f t="shared" si="80"/>
        <v>4625918.5649903379</v>
      </c>
      <c r="L217" s="245">
        <f t="shared" si="80"/>
        <v>4720810.1554810842</v>
      </c>
      <c r="N217">
        <v>0.45</v>
      </c>
      <c r="O217">
        <v>0.15</v>
      </c>
    </row>
    <row r="218" spans="1:15">
      <c r="A218" s="82"/>
      <c r="B218" s="82"/>
      <c r="C218" s="82" t="s">
        <v>680</v>
      </c>
      <c r="D218" s="309">
        <f>D217*(1-D187)</f>
        <v>138095</v>
      </c>
      <c r="E218" s="309">
        <f t="shared" ref="E218:L218" si="81">E217*(1-E187)</f>
        <v>245822.29529794829</v>
      </c>
      <c r="F218" s="309">
        <f t="shared" si="81"/>
        <v>1000781.0986985822</v>
      </c>
      <c r="G218" s="309">
        <f t="shared" si="81"/>
        <v>2410613.5490485104</v>
      </c>
      <c r="H218" s="309">
        <f t="shared" si="81"/>
        <v>2971274.0482450561</v>
      </c>
      <c r="I218" s="309">
        <f t="shared" si="81"/>
        <v>3471567.9988914458</v>
      </c>
      <c r="J218" s="309">
        <f t="shared" si="81"/>
        <v>3771539.758551864</v>
      </c>
      <c r="K218" s="309">
        <f t="shared" si="81"/>
        <v>3932030.780241787</v>
      </c>
      <c r="L218" s="309">
        <f t="shared" si="81"/>
        <v>4012688.6321589216</v>
      </c>
    </row>
    <row r="219" spans="1:15">
      <c r="A219" s="82"/>
      <c r="B219" s="82"/>
      <c r="C219" s="82" t="s">
        <v>679</v>
      </c>
      <c r="D219" s="245">
        <f>D217*D187</f>
        <v>0</v>
      </c>
      <c r="E219" s="245">
        <f t="shared" ref="E219:L219" si="82">E217*E187</f>
        <v>0</v>
      </c>
      <c r="F219" s="245">
        <f t="shared" si="82"/>
        <v>52672.689405188539</v>
      </c>
      <c r="G219" s="245">
        <f t="shared" si="82"/>
        <v>267845.94989427895</v>
      </c>
      <c r="H219" s="245">
        <f t="shared" si="82"/>
        <v>524342.4791020687</v>
      </c>
      <c r="I219" s="245">
        <f t="shared" si="82"/>
        <v>612629.64686319628</v>
      </c>
      <c r="J219" s="245">
        <f t="shared" si="82"/>
        <v>665565.83974444657</v>
      </c>
      <c r="K219" s="245">
        <f t="shared" si="82"/>
        <v>693887.78474855062</v>
      </c>
      <c r="L219" s="245">
        <f t="shared" si="82"/>
        <v>708121.52332216257</v>
      </c>
    </row>
    <row r="220" spans="1:15">
      <c r="A220" s="82"/>
      <c r="B220" s="82"/>
      <c r="C220" s="82" t="s">
        <v>630</v>
      </c>
      <c r="D220" s="309">
        <f>D194</f>
        <v>1</v>
      </c>
      <c r="E220" s="309">
        <f t="shared" ref="E220:L220" si="83">E194</f>
        <v>1000</v>
      </c>
      <c r="F220" s="309">
        <f t="shared" si="83"/>
        <v>2715.9633440993275</v>
      </c>
      <c r="G220" s="309">
        <f t="shared" si="83"/>
        <v>13380.882990594493</v>
      </c>
      <c r="H220" s="309">
        <f t="shared" si="83"/>
        <v>35962.22885997744</v>
      </c>
      <c r="I220" s="309">
        <f t="shared" si="83"/>
        <v>94843.844357287977</v>
      </c>
      <c r="J220" s="309">
        <f t="shared" si="83"/>
        <v>238502.31055409231</v>
      </c>
      <c r="K220" s="309">
        <f t="shared" si="83"/>
        <v>538648.8354669346</v>
      </c>
      <c r="L220" s="309">
        <f t="shared" si="83"/>
        <v>1003001.275816632</v>
      </c>
    </row>
    <row r="221" spans="1:15">
      <c r="A221" s="82"/>
      <c r="B221" s="82"/>
      <c r="C221" s="82" t="s">
        <v>27</v>
      </c>
      <c r="D221" s="245">
        <f>SUM(D216:D220)</f>
        <v>304141</v>
      </c>
      <c r="E221" s="245">
        <f t="shared" ref="E221:L221" si="84">SUM(E216:E220)</f>
        <v>551502.1609360741</v>
      </c>
      <c r="F221" s="245">
        <f t="shared" si="84"/>
        <v>2364519.4243992153</v>
      </c>
      <c r="G221" s="245">
        <f t="shared" si="84"/>
        <v>6845161.8966388889</v>
      </c>
      <c r="H221" s="245">
        <f t="shared" si="84"/>
        <v>9828616.1575267073</v>
      </c>
      <c r="I221" s="245">
        <f t="shared" si="84"/>
        <v>12450011.614291897</v>
      </c>
      <c r="J221" s="245">
        <f t="shared" si="84"/>
        <v>14230534.368169675</v>
      </c>
      <c r="K221" s="245">
        <f t="shared" si="84"/>
        <v>15364291.470706658</v>
      </c>
      <c r="L221" s="245">
        <f t="shared" si="84"/>
        <v>16207311.408860965</v>
      </c>
    </row>
    <row r="222" spans="1:15">
      <c r="A222" s="82" t="s">
        <v>675</v>
      </c>
      <c r="B222" s="82" t="s">
        <v>629</v>
      </c>
      <c r="C222" s="82" t="s">
        <v>699</v>
      </c>
      <c r="D222" s="307">
        <f>D216/(B$162*B$160)</f>
        <v>8.0735449002391386E-3</v>
      </c>
      <c r="E222" s="307">
        <f t="shared" ref="E222:L222" si="85">E216/(C$162*C$160)</f>
        <v>1.4822327441589532E-2</v>
      </c>
      <c r="F222" s="307">
        <f t="shared" si="85"/>
        <v>5.3420740778140748E-2</v>
      </c>
      <c r="G222" s="307">
        <f t="shared" si="85"/>
        <v>0.25592194618327269</v>
      </c>
      <c r="H222" s="307">
        <f t="shared" si="85"/>
        <v>0.40493442594678425</v>
      </c>
      <c r="I222" s="307">
        <f t="shared" si="85"/>
        <v>0.57255465848084375</v>
      </c>
      <c r="J222" s="307">
        <f t="shared" si="85"/>
        <v>0.69439969193660434</v>
      </c>
      <c r="K222" s="307">
        <f t="shared" si="85"/>
        <v>0.74091101341778065</v>
      </c>
      <c r="L222" s="307">
        <f t="shared" si="85"/>
        <v>0.76255963164455631</v>
      </c>
    </row>
    <row r="223" spans="1:15">
      <c r="A223" s="82"/>
      <c r="B223" s="82"/>
      <c r="C223" s="82" t="s">
        <v>607</v>
      </c>
      <c r="D223" s="307">
        <f t="shared" ref="D223:L223" si="86">D219/B174</f>
        <v>0</v>
      </c>
      <c r="E223" s="307">
        <f t="shared" si="86"/>
        <v>0</v>
      </c>
      <c r="F223" s="307">
        <f t="shared" si="86"/>
        <v>1.148832106026392E-2</v>
      </c>
      <c r="G223" s="307">
        <f t="shared" si="86"/>
        <v>5.1550890152619183E-2</v>
      </c>
      <c r="H223" s="307">
        <f t="shared" si="86"/>
        <v>8.9605993608264642E-2</v>
      </c>
      <c r="I223" s="307">
        <f t="shared" si="86"/>
        <v>0.10234070161695454</v>
      </c>
      <c r="J223" s="307">
        <f t="shared" si="86"/>
        <v>0.10897181563504492</v>
      </c>
      <c r="K223" s="307">
        <f t="shared" si="86"/>
        <v>0.10698623634675221</v>
      </c>
      <c r="L223" s="307">
        <f t="shared" si="86"/>
        <v>0.10303689117887883</v>
      </c>
    </row>
    <row r="224" spans="1:15">
      <c r="A224" s="82"/>
      <c r="B224" s="82"/>
      <c r="C224" s="82" t="s">
        <v>608</v>
      </c>
      <c r="D224" s="307">
        <f>D218/B177</f>
        <v>6.8475059934243659E-2</v>
      </c>
      <c r="E224" s="307">
        <f t="shared" ref="E224:L224" si="87">E218/C177</f>
        <v>0.11509717330389066</v>
      </c>
      <c r="F224" s="307">
        <f t="shared" si="87"/>
        <v>0.42747805839189029</v>
      </c>
      <c r="G224" s="307">
        <f t="shared" si="87"/>
        <v>0.77891569578595865</v>
      </c>
      <c r="H224" s="307">
        <f t="shared" si="87"/>
        <v>0.76179175419484257</v>
      </c>
      <c r="I224" s="307">
        <f t="shared" si="87"/>
        <v>0.84038648721357412</v>
      </c>
      <c r="J224" s="307">
        <f t="shared" si="87"/>
        <v>0.88578742503988339</v>
      </c>
      <c r="K224" s="307">
        <f t="shared" si="87"/>
        <v>0.86710142130427592</v>
      </c>
      <c r="L224" s="307">
        <f t="shared" si="87"/>
        <v>0.8343902664856292</v>
      </c>
    </row>
    <row r="225" spans="1:20">
      <c r="A225" s="82"/>
      <c r="B225" s="82" t="s">
        <v>678</v>
      </c>
      <c r="C225" s="82" t="s">
        <v>629</v>
      </c>
      <c r="D225" s="348"/>
      <c r="E225" s="348"/>
      <c r="F225" s="348"/>
      <c r="G225" s="348"/>
      <c r="H225" s="348"/>
      <c r="I225" s="348"/>
      <c r="J225" s="348"/>
      <c r="K225" s="348"/>
      <c r="L225" s="348"/>
    </row>
    <row r="226" spans="1:20">
      <c r="A226" s="82"/>
      <c r="B226" s="82"/>
      <c r="C226" s="82" t="s">
        <v>679</v>
      </c>
      <c r="D226" s="348"/>
      <c r="E226" s="348"/>
      <c r="F226" s="348"/>
      <c r="G226" s="348"/>
      <c r="H226" s="348"/>
      <c r="I226" s="348"/>
      <c r="J226" s="348"/>
      <c r="K226" s="348"/>
      <c r="L226" s="348"/>
    </row>
    <row r="228" spans="1:20" ht="13.5" thickBot="1"/>
    <row r="229" spans="1:20" s="15" customFormat="1" ht="13.5" thickBot="1">
      <c r="B229" s="335" t="s">
        <v>674</v>
      </c>
      <c r="C229" s="336"/>
      <c r="D229" s="337" t="s">
        <v>689</v>
      </c>
    </row>
    <row r="230" spans="1:20">
      <c r="A230" s="5" t="s">
        <v>673</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45" t="s">
        <v>683</v>
      </c>
      <c r="B231" s="245" t="s">
        <v>670</v>
      </c>
      <c r="C231" s="245" t="s">
        <v>669</v>
      </c>
      <c r="D231" s="352">
        <f t="shared" ref="D231:E231" si="90">-D203</f>
        <v>-8.7745777275293861E-3</v>
      </c>
      <c r="E231" s="352">
        <f t="shared" si="90"/>
        <v>-1.6109362844475762E-2</v>
      </c>
      <c r="F231" s="352">
        <f>-F203</f>
        <v>-4.5654514773069851E-2</v>
      </c>
      <c r="G231" s="352">
        <f>-G205*1.05</f>
        <v>-0.1233544709165723</v>
      </c>
      <c r="H231" s="352">
        <f t="shared" ref="H231:L231" si="91">-H205*1.05</f>
        <v>-0.26530265868122166</v>
      </c>
      <c r="I231" s="352">
        <f t="shared" si="91"/>
        <v>-0.45904771959737117</v>
      </c>
      <c r="J231" s="352">
        <f t="shared" si="91"/>
        <v>-0.59729956676435148</v>
      </c>
      <c r="K231" s="352">
        <f t="shared" si="91"/>
        <v>-0.64249900322473974</v>
      </c>
      <c r="L231" s="352">
        <f t="shared" si="91"/>
        <v>-0.65806878232054655</v>
      </c>
      <c r="N231" s="352">
        <f>-(F231+F232)/2</f>
        <v>4.5432372135032303E-2</v>
      </c>
      <c r="O231" s="352">
        <f t="shared" ref="O231:T231" si="92">-(G231+G232)/2</f>
        <v>0.12041745970427295</v>
      </c>
      <c r="P231" s="352">
        <f t="shared" si="92"/>
        <v>0.25898592871262116</v>
      </c>
      <c r="Q231" s="352">
        <f t="shared" si="92"/>
        <v>0.44811801198790996</v>
      </c>
      <c r="R231" s="352">
        <f t="shared" si="92"/>
        <v>0.58307814850805739</v>
      </c>
      <c r="S231" s="352">
        <f t="shared" si="92"/>
        <v>0.62720140790986489</v>
      </c>
      <c r="T231" s="352">
        <f t="shared" si="92"/>
        <v>0.64240047797958111</v>
      </c>
    </row>
    <row r="232" spans="1:20">
      <c r="A232" s="245"/>
      <c r="B232" s="245" t="s">
        <v>671</v>
      </c>
      <c r="C232" s="245" t="s">
        <v>669</v>
      </c>
      <c r="D232" s="352">
        <f t="shared" ref="D232:L232" si="93">-D205</f>
        <v>-8.7745777275293861E-3</v>
      </c>
      <c r="E232" s="352">
        <f t="shared" si="93"/>
        <v>-1.6081045552869103E-2</v>
      </c>
      <c r="F232" s="352">
        <f t="shared" si="93"/>
        <v>-4.5210229496994749E-2</v>
      </c>
      <c r="G232" s="352">
        <f t="shared" si="93"/>
        <v>-0.11748044849197362</v>
      </c>
      <c r="H232" s="352">
        <f t="shared" si="93"/>
        <v>-0.25266919874402061</v>
      </c>
      <c r="I232" s="352">
        <f t="shared" si="93"/>
        <v>-0.43718830437844874</v>
      </c>
      <c r="J232" s="352">
        <f t="shared" si="93"/>
        <v>-0.56885673025176331</v>
      </c>
      <c r="K232" s="352">
        <f t="shared" si="93"/>
        <v>-0.61190381259499016</v>
      </c>
      <c r="L232" s="352">
        <f t="shared" si="93"/>
        <v>-0.62673217363861577</v>
      </c>
    </row>
    <row r="233" spans="1:20">
      <c r="A233" s="245" t="s">
        <v>834</v>
      </c>
      <c r="B233" s="245" t="s">
        <v>670</v>
      </c>
      <c r="C233" s="245" t="s">
        <v>669</v>
      </c>
      <c r="D233" s="352">
        <f t="shared" ref="D233:L233" si="94">-D222</f>
        <v>-8.0735449002391386E-3</v>
      </c>
      <c r="E233" s="352">
        <f t="shared" si="94"/>
        <v>-1.4822327441589532E-2</v>
      </c>
      <c r="F233" s="352">
        <f t="shared" si="94"/>
        <v>-5.3420740778140748E-2</v>
      </c>
      <c r="G233" s="352">
        <f t="shared" si="94"/>
        <v>-0.25592194618327269</v>
      </c>
      <c r="H233" s="352">
        <f t="shared" si="94"/>
        <v>-0.40493442594678425</v>
      </c>
      <c r="I233" s="352">
        <f t="shared" si="94"/>
        <v>-0.57255465848084375</v>
      </c>
      <c r="J233" s="352">
        <f t="shared" si="94"/>
        <v>-0.69439969193660434</v>
      </c>
      <c r="K233" s="352">
        <f t="shared" si="94"/>
        <v>-0.74091101341778065</v>
      </c>
      <c r="L233" s="352">
        <f t="shared" si="94"/>
        <v>-0.76255963164455631</v>
      </c>
    </row>
    <row r="234" spans="1:20">
      <c r="A234" s="245"/>
      <c r="B234" s="245" t="s">
        <v>671</v>
      </c>
      <c r="C234" s="245" t="s">
        <v>669</v>
      </c>
      <c r="D234" s="353">
        <f>D233*0.99</f>
        <v>-7.9928094512367476E-3</v>
      </c>
      <c r="E234" s="353">
        <f t="shared" ref="E234:L234" si="95">E233*0.99</f>
        <v>-1.4674104167173636E-2</v>
      </c>
      <c r="F234" s="353">
        <f t="shared" si="95"/>
        <v>-5.288653337035934E-2</v>
      </c>
      <c r="G234" s="353">
        <f t="shared" si="95"/>
        <v>-0.25336272672143995</v>
      </c>
      <c r="H234" s="353">
        <f t="shared" si="95"/>
        <v>-0.4008850816873164</v>
      </c>
      <c r="I234" s="353">
        <f t="shared" si="95"/>
        <v>-0.56682911189603535</v>
      </c>
      <c r="J234" s="353">
        <f t="shared" si="95"/>
        <v>-0.68745569501723824</v>
      </c>
      <c r="K234" s="353">
        <f t="shared" si="95"/>
        <v>-0.73350190328360287</v>
      </c>
      <c r="L234" s="353">
        <f t="shared" si="95"/>
        <v>-0.75493403532811076</v>
      </c>
    </row>
    <row r="235" spans="1:20">
      <c r="A235" s="245" t="s">
        <v>835</v>
      </c>
      <c r="B235" s="245" t="s">
        <v>670</v>
      </c>
      <c r="C235" s="245" t="s">
        <v>669</v>
      </c>
      <c r="D235" s="352">
        <f>D233</f>
        <v>-8.0735449002391386E-3</v>
      </c>
      <c r="E235" s="352">
        <f>E233</f>
        <v>-1.4822327441589532E-2</v>
      </c>
      <c r="F235" s="352">
        <f>(F231+F233)/2</f>
        <v>-4.9537627775605303E-2</v>
      </c>
      <c r="G235" s="352">
        <f t="shared" ref="G235:L235" si="96">(G231+G233)/2</f>
        <v>-0.1896382085499225</v>
      </c>
      <c r="H235" s="352">
        <f t="shared" si="96"/>
        <v>-0.33511854231400295</v>
      </c>
      <c r="I235" s="352">
        <f t="shared" si="96"/>
        <v>-0.51580118903910743</v>
      </c>
      <c r="J235" s="352">
        <f t="shared" si="96"/>
        <v>-0.64584962935047785</v>
      </c>
      <c r="K235" s="352">
        <f t="shared" si="96"/>
        <v>-0.69170500832126014</v>
      </c>
      <c r="L235" s="352">
        <f t="shared" si="96"/>
        <v>-0.71031420698255143</v>
      </c>
    </row>
    <row r="236" spans="1:20">
      <c r="A236" s="245"/>
      <c r="B236" s="245" t="s">
        <v>671</v>
      </c>
      <c r="C236" s="245" t="s">
        <v>669</v>
      </c>
      <c r="D236" s="352">
        <f>D234</f>
        <v>-7.9928094512367476E-3</v>
      </c>
      <c r="E236" s="352">
        <f>E234</f>
        <v>-1.4674104167173636E-2</v>
      </c>
      <c r="F236" s="352">
        <f>(F232+F234)/2</f>
        <v>-4.9048381433677041E-2</v>
      </c>
      <c r="G236" s="352">
        <f t="shared" ref="G236:L236" si="97">(G232+G234)/2</f>
        <v>-0.18542158760670679</v>
      </c>
      <c r="H236" s="352">
        <f t="shared" si="97"/>
        <v>-0.3267771402156685</v>
      </c>
      <c r="I236" s="352">
        <f t="shared" si="97"/>
        <v>-0.50200870813724208</v>
      </c>
      <c r="J236" s="352">
        <f t="shared" si="97"/>
        <v>-0.62815621263450083</v>
      </c>
      <c r="K236" s="352">
        <f t="shared" si="97"/>
        <v>-0.67270285793929652</v>
      </c>
      <c r="L236" s="352">
        <f t="shared" si="97"/>
        <v>-0.69083310448336332</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54" t="s">
        <v>692</v>
      </c>
      <c r="B238" s="165" t="str">
        <f>B231</f>
        <v>RHIEW-UP</v>
      </c>
      <c r="C238" s="165" t="str">
        <f>C231</f>
        <v>S-RHWEG-ALL</v>
      </c>
      <c r="D238" s="165">
        <f>IF(RES!$G$16=0,D231,IF(OR(RES!$G$16=3,RES!$G$16=1),D233,D235))</f>
        <v>-8.7745777275293861E-3</v>
      </c>
      <c r="E238" s="165">
        <f>IF(RES!$G$16=0,E231,IF(OR(RES!$G$16=3,RES!$G$16=1),E233,E235))</f>
        <v>-1.6109362844475762E-2</v>
      </c>
      <c r="F238" s="165">
        <f>IF(RES!$G$16=0,F231,IF(OR(RES!$G$16=3,RES!$G$16=1),F233,F235))</f>
        <v>-4.5654514773069851E-2</v>
      </c>
      <c r="G238" s="165">
        <f>IF(RES!$G$16=0,G231,IF(OR(RES!$G$16=3,RES!$G$16=1),G233,G235))</f>
        <v>-0.1233544709165723</v>
      </c>
      <c r="H238" s="165">
        <f>IF(RES!$G$16=0,H231,IF(OR(RES!$G$16=3,RES!$G$16=1),H233,H235))</f>
        <v>-0.26530265868122166</v>
      </c>
      <c r="I238" s="165">
        <f>IF(RES!$G$16=0,I231,IF(OR(RES!$G$16=3,RES!$G$16=1),I233,I235))</f>
        <v>-0.45904771959737117</v>
      </c>
      <c r="J238" s="165">
        <f>IF(RES!$G$16=0,J231,IF(OR(RES!$G$16=3,RES!$G$16=1),J233,J235))</f>
        <v>-0.59729956676435148</v>
      </c>
      <c r="K238" s="165">
        <f>IF(RES!$G$16=0,K231,IF(OR(RES!$G$16=3,RES!$G$16=1),K233,K235))</f>
        <v>-0.64249900322473974</v>
      </c>
      <c r="L238" s="165">
        <f>IF(RES!$G$16=0,L231,IF(OR(RES!$G$16=3,RES!$G$16=1),L233,L235))</f>
        <v>-0.65806878232054655</v>
      </c>
    </row>
    <row r="239" spans="1:20">
      <c r="A239" s="165"/>
      <c r="B239" s="165" t="str">
        <f>B232</f>
        <v>RHIEW-LO</v>
      </c>
      <c r="C239" s="165" t="str">
        <f>C232</f>
        <v>S-RHWEG-ALL</v>
      </c>
      <c r="D239" s="165">
        <f>IF(RES!$G$16=0,D232,IF(OR(RES!$G$16=3,RES!$G$16=1),D234,D236))</f>
        <v>-8.7745777275293861E-3</v>
      </c>
      <c r="E239" s="165">
        <f>IF(RES!$G$16=0,E232,IF(OR(RES!$G$16=3,RES!$G$16=1),E234,E236))</f>
        <v>-1.6081045552869103E-2</v>
      </c>
      <c r="F239" s="165">
        <f>IF(RES!$G$16=0,F232,IF(OR(RES!$G$16=3,RES!$G$16=1),F234,F236))</f>
        <v>-4.5210229496994749E-2</v>
      </c>
      <c r="G239" s="165">
        <f>IF(RES!$G$16=0,G232,IF(OR(RES!$G$16=3,RES!$G$16=1),G234,G236))</f>
        <v>-0.11748044849197362</v>
      </c>
      <c r="H239" s="165">
        <f>IF(RES!$G$16=0,H232,IF(OR(RES!$G$16=3,RES!$G$16=1),H234,H236))</f>
        <v>-0.25266919874402061</v>
      </c>
      <c r="I239" s="165">
        <f>IF(RES!$G$16=0,I232,IF(OR(RES!$G$16=3,RES!$G$16=1),I234,I236))</f>
        <v>-0.43718830437844874</v>
      </c>
      <c r="J239" s="165">
        <f>IF(RES!$G$16=0,J232,IF(OR(RES!$G$16=3,RES!$G$16=1),J234,J236))</f>
        <v>-0.56885673025176331</v>
      </c>
      <c r="K239" s="165">
        <f>IF(RES!$G$16=0,K232,IF(OR(RES!$G$16=3,RES!$G$16=1),K234,K236))</f>
        <v>-0.61190381259499016</v>
      </c>
      <c r="L239" s="165">
        <f>IF(RES!$G$16=0,L232,IF(OR(RES!$G$16=3,RES!$G$16=1),L234,L236))</f>
        <v>-0.62673217363861577</v>
      </c>
    </row>
    <row r="240" spans="1:20">
      <c r="F240" s="5">
        <v>2012</v>
      </c>
      <c r="G240" s="5">
        <v>2020</v>
      </c>
      <c r="H240" s="5">
        <v>2030</v>
      </c>
      <c r="I240" s="5">
        <v>2040</v>
      </c>
      <c r="J240" s="5">
        <v>2050</v>
      </c>
    </row>
    <row r="241" spans="1:12" ht="15">
      <c r="A241" s="354" t="s">
        <v>698</v>
      </c>
      <c r="B241" s="165" t="str">
        <f>RES!B96</f>
        <v>RMEWELCSWH-E</v>
      </c>
      <c r="C241" s="165" t="s">
        <v>111</v>
      </c>
      <c r="D241" s="165" t="s">
        <v>691</v>
      </c>
      <c r="E241" s="165" t="s">
        <v>695</v>
      </c>
      <c r="F241" s="358">
        <f>SUMIFS(D$206:D$212,$B$206:$B$212,$E241,$M$206:$M$212,$C241)</f>
        <v>6.8475059934243659E-2</v>
      </c>
      <c r="G241" s="358">
        <f>SUMIFS(F$206:F$212,$B$206:$B$212,$E241,$M$206:$M$212,$C241)</f>
        <v>0.24925996508395273</v>
      </c>
      <c r="H241" s="358">
        <f>SUMIFS(H$206:H$212,$B$206:$B$212,$E241,$M$206:$M$212,$C241)</f>
        <v>0.54465850645832281</v>
      </c>
      <c r="I241" s="358">
        <f>SUMIFS(J$206:J$212,$B$206:$B$212,$E241,$M$206:$M$212,$C241)</f>
        <v>0.85332173369422615</v>
      </c>
      <c r="J241" s="358">
        <f>SUMIFS(L$206:L$212,$B$206:$B$212,$E241,$M$206:$M$212,$C241)</f>
        <v>0.83585100219970787</v>
      </c>
    </row>
    <row r="242" spans="1:12" ht="15">
      <c r="A242" s="354" t="s">
        <v>692</v>
      </c>
      <c r="B242" s="165" t="str">
        <f>RES!B96</f>
        <v>RMEWELCSWH-E</v>
      </c>
      <c r="C242" s="165" t="s">
        <v>122</v>
      </c>
      <c r="D242" s="165" t="s">
        <v>691</v>
      </c>
      <c r="E242" s="165" t="str">
        <f>E241</f>
        <v>Low pressure</v>
      </c>
      <c r="F242" s="358">
        <f>SUMIFS(D$206:D$212,$B$206:$B$212,$E242,$M$206:$M$212,$C242)</f>
        <v>6.8475059934243659E-2</v>
      </c>
      <c r="G242" s="358">
        <f>SUMIFS(F$206:F$212,$B$206:$B$212,$E242,$M$206:$M$212,$C242)</f>
        <v>0.24106841261313472</v>
      </c>
      <c r="H242" s="358">
        <f>SUMIFS(H$206:H$212,$B$206:$B$212,$E242,$M$206:$M$212,$C242)</f>
        <v>0.46611880149974422</v>
      </c>
      <c r="I242" s="358">
        <f>SUMIFS(J$206:J$212,$B$206:$B$212,$E242,$M$206:$M$212,$C242)</f>
        <v>0.65884422618917526</v>
      </c>
      <c r="J242" s="358">
        <f>SUMIFS(L$206:L$212,$B$206:$B$212,$E242,$M$206:$M$212,$C242)</f>
        <v>0.62958571174888789</v>
      </c>
    </row>
    <row r="243" spans="1:12">
      <c r="A243" s="165"/>
      <c r="B243" s="165" t="e">
        <f>RES!#REF!</f>
        <v>#REF!</v>
      </c>
      <c r="C243" s="165" t="s">
        <v>111</v>
      </c>
      <c r="D243" s="165" t="s">
        <v>691</v>
      </c>
      <c r="E243" s="165" t="s">
        <v>705</v>
      </c>
      <c r="F243" s="358">
        <f>SUMIFS(D$206:D$212,$B$206:$B$212,$E243,$M$206:$M$212,$C243)</f>
        <v>0</v>
      </c>
      <c r="G243" s="358">
        <f>SUMIFS(F$206:F$212,$B$206:$B$212,$E243,$M$206:$M$212,$C243)</f>
        <v>0</v>
      </c>
      <c r="H243" s="358">
        <f>SUMIFS(H$206:H$212,$B$206:$B$212,$E243,$M$206:$M$212,$C243)</f>
        <v>0</v>
      </c>
      <c r="I243" s="358">
        <f>SUMIFS(J$206:J$212,$B$206:$B$212,$E243,$M$206:$M$212,$C243)</f>
        <v>0</v>
      </c>
      <c r="J243" s="358">
        <f>SUMIFS(L$206:L$212,$B$206:$B$212,$E243,$M$206:$M$212,$C243)</f>
        <v>0</v>
      </c>
    </row>
    <row r="244" spans="1:12">
      <c r="A244" s="165"/>
      <c r="B244" s="165" t="e">
        <f>RES!#REF!</f>
        <v>#REF!</v>
      </c>
      <c r="C244" s="165" t="s">
        <v>122</v>
      </c>
      <c r="D244" s="165" t="s">
        <v>691</v>
      </c>
      <c r="E244" s="165" t="str">
        <f>E243</f>
        <v>High pressusre</v>
      </c>
      <c r="F244" s="358">
        <f>SUMIFS(D$206:D$212,$B$206:$B$212,$E244,$M$206:$M$212,$C244)</f>
        <v>0</v>
      </c>
      <c r="G244" s="358">
        <f>SUMIFS(F$206:F$212,$B$206:$B$212,$E244,$M$206:$M$212,$C244)</f>
        <v>0</v>
      </c>
      <c r="H244" s="358">
        <f>SUMIFS(H$206:H$212,$B$206:$B$212,$E244,$M$206:$M$212,$C244)</f>
        <v>0</v>
      </c>
      <c r="I244" s="358">
        <f>SUMIFS(J$206:J$212,$B$206:$B$212,$E244,$M$206:$M$212,$C244)</f>
        <v>0</v>
      </c>
      <c r="J244" s="358">
        <f>SUMIFS(L$206:L$212,$B$206:$B$212,$E244,$M$206:$M$212,$C244)</f>
        <v>0</v>
      </c>
      <c r="L244" t="s">
        <v>700</v>
      </c>
    </row>
    <row r="245" spans="1:12">
      <c r="A245" s="165" t="s">
        <v>694</v>
      </c>
      <c r="B245" s="165" t="str">
        <f>B241</f>
        <v>RMEWELCSWH-E</v>
      </c>
      <c r="C245" s="165" t="str">
        <f t="shared" ref="C245" si="99">C241</f>
        <v>UP</v>
      </c>
      <c r="D245" s="165" t="s">
        <v>65</v>
      </c>
      <c r="E245" s="165" t="str">
        <f>E241</f>
        <v>Low pressure</v>
      </c>
      <c r="F245" s="358">
        <f>D224</f>
        <v>6.8475059934243659E-2</v>
      </c>
      <c r="G245" s="358">
        <f>F224</f>
        <v>0.42747805839189029</v>
      </c>
      <c r="H245" s="358">
        <f>H224</f>
        <v>0.76179175419484257</v>
      </c>
      <c r="I245" s="358">
        <f>J224</f>
        <v>0.88578742503988339</v>
      </c>
      <c r="J245" s="358">
        <f>L224</f>
        <v>0.8343902664856292</v>
      </c>
    </row>
    <row r="246" spans="1:12">
      <c r="A246" s="165"/>
      <c r="B246" s="165" t="str">
        <f t="shared" ref="B246:C248" si="100">B242</f>
        <v>RMEWELCSWH-E</v>
      </c>
      <c r="C246" s="165" t="str">
        <f t="shared" si="100"/>
        <v>LO</v>
      </c>
      <c r="D246" s="165" t="s">
        <v>65</v>
      </c>
      <c r="E246" s="165" t="str">
        <f>E242</f>
        <v>Low pressure</v>
      </c>
      <c r="F246" s="358">
        <f>MAX(F245-0.001,0)</f>
        <v>6.7475059934243659E-2</v>
      </c>
      <c r="G246" s="358">
        <f t="shared" ref="G246:J246" si="101">MAX(G245-0.001,0)</f>
        <v>0.42647805839189029</v>
      </c>
      <c r="H246" s="358">
        <f t="shared" si="101"/>
        <v>0.76079175419484257</v>
      </c>
      <c r="I246" s="358">
        <f t="shared" si="101"/>
        <v>0.88478742503988339</v>
      </c>
      <c r="J246" s="358">
        <f t="shared" si="101"/>
        <v>0.83339026648562919</v>
      </c>
    </row>
    <row r="247" spans="1:12">
      <c r="A247" s="165"/>
      <c r="B247" s="165" t="e">
        <f t="shared" si="100"/>
        <v>#REF!</v>
      </c>
      <c r="C247" s="165" t="str">
        <f t="shared" si="100"/>
        <v>UP</v>
      </c>
      <c r="D247" s="165" t="s">
        <v>65</v>
      </c>
      <c r="E247" s="165" t="str">
        <f>E243</f>
        <v>High pressusre</v>
      </c>
      <c r="F247" s="358">
        <f>D223</f>
        <v>0</v>
      </c>
      <c r="G247" s="358">
        <f>F223</f>
        <v>1.148832106026392E-2</v>
      </c>
      <c r="H247" s="358">
        <f>H223</f>
        <v>8.9605993608264642E-2</v>
      </c>
      <c r="I247" s="358">
        <f>J223</f>
        <v>0.10897181563504492</v>
      </c>
      <c r="J247" s="358">
        <f>L223</f>
        <v>0.10303689117887883</v>
      </c>
    </row>
    <row r="248" spans="1:12">
      <c r="A248" s="165"/>
      <c r="B248" s="165" t="e">
        <f t="shared" si="100"/>
        <v>#REF!</v>
      </c>
      <c r="C248" s="165" t="str">
        <f t="shared" si="100"/>
        <v>LO</v>
      </c>
      <c r="D248" s="165" t="s">
        <v>65</v>
      </c>
      <c r="E248" s="165" t="str">
        <f>E244</f>
        <v>High pressusre</v>
      </c>
      <c r="F248" s="358">
        <f>MAX(F247-0.001,0)</f>
        <v>0</v>
      </c>
      <c r="G248" s="358">
        <f t="shared" ref="G248:J248" si="102">MAX(G247-0.001,0)</f>
        <v>1.0488321060263921E-2</v>
      </c>
      <c r="H248" s="358">
        <f t="shared" si="102"/>
        <v>8.8605993608264641E-2</v>
      </c>
      <c r="I248" s="358">
        <f t="shared" si="102"/>
        <v>0.10797181563504492</v>
      </c>
      <c r="J248" s="358">
        <f t="shared" si="102"/>
        <v>0.10203689117887883</v>
      </c>
    </row>
    <row r="251" spans="1:12">
      <c r="A251" s="1" t="s">
        <v>59</v>
      </c>
      <c r="B251" s="1" t="s">
        <v>409</v>
      </c>
      <c r="C251" s="1" t="s">
        <v>1061</v>
      </c>
      <c r="D251">
        <v>2015</v>
      </c>
      <c r="E251">
        <v>2017</v>
      </c>
      <c r="F251">
        <f t="shared" ref="F251:L251" si="103">F237</f>
        <v>2020</v>
      </c>
      <c r="G251">
        <f t="shared" si="103"/>
        <v>2025</v>
      </c>
      <c r="H251">
        <f t="shared" si="103"/>
        <v>2030</v>
      </c>
      <c r="I251">
        <f t="shared" si="103"/>
        <v>2035</v>
      </c>
      <c r="J251">
        <f t="shared" si="103"/>
        <v>2040</v>
      </c>
      <c r="K251">
        <f t="shared" si="103"/>
        <v>2045</v>
      </c>
      <c r="L251">
        <f t="shared" si="103"/>
        <v>2050</v>
      </c>
    </row>
    <row r="252" spans="1:12">
      <c r="A252" s="1" t="s">
        <v>504</v>
      </c>
      <c r="B252" s="3">
        <f>RES!E132</f>
        <v>0.75</v>
      </c>
    </row>
    <row r="253" spans="1:12">
      <c r="A253" s="1" t="s">
        <v>1060</v>
      </c>
      <c r="B253" s="3">
        <f>RES!E133</f>
        <v>2.3199999999999998</v>
      </c>
    </row>
    <row r="254" spans="1:12">
      <c r="A254" s="1" t="s">
        <v>65</v>
      </c>
      <c r="B254" s="3">
        <f>RES!E134</f>
        <v>2.15</v>
      </c>
    </row>
    <row r="256" spans="1:12" ht="23.25">
      <c r="A256" s="303" t="s">
        <v>585</v>
      </c>
    </row>
    <row r="257" spans="1:6">
      <c r="A257" s="5" t="s">
        <v>565</v>
      </c>
    </row>
    <row r="258" spans="1:6" ht="51">
      <c r="A258" s="294"/>
      <c r="B258" s="294"/>
      <c r="C258" s="299" t="s">
        <v>566</v>
      </c>
      <c r="D258" s="15"/>
      <c r="E258" s="295" t="s">
        <v>578</v>
      </c>
      <c r="F258" s="295" t="s">
        <v>579</v>
      </c>
    </row>
    <row r="259" spans="1:6">
      <c r="A259" s="248" t="s">
        <v>575</v>
      </c>
      <c r="B259" s="248"/>
      <c r="C259" s="298">
        <f>SUM(I131:O131)+SUM(W131:AC131)+SUM(AK131:AQ131)</f>
        <v>2556297.3557393001</v>
      </c>
      <c r="E259" s="248">
        <v>0.25</v>
      </c>
      <c r="F259" s="248">
        <f>E259*C259</f>
        <v>639074.33893482503</v>
      </c>
    </row>
    <row r="260" spans="1:6">
      <c r="A260" s="248" t="s">
        <v>576</v>
      </c>
      <c r="B260" s="248"/>
      <c r="C260" s="298">
        <f>SUM(I132:O132)+SUM(W132:AC132)+SUM(AK132:AQ132)</f>
        <v>317432.98297999997</v>
      </c>
      <c r="E260" s="248">
        <v>0.2</v>
      </c>
      <c r="F260" s="248">
        <f t="shared" ref="F260:F261" si="104">E260*C260</f>
        <v>63486.596595999996</v>
      </c>
    </row>
    <row r="261" spans="1:6">
      <c r="A261" s="248" t="s">
        <v>577</v>
      </c>
      <c r="B261" s="248"/>
      <c r="C261" s="298">
        <f>SUM(I133:O133)+SUM(W133:AC133)+SUM(AK133:AQ133)</f>
        <v>303646.52499999991</v>
      </c>
      <c r="E261" s="248">
        <v>0.5</v>
      </c>
      <c r="F261" s="248">
        <f t="shared" si="104"/>
        <v>151823.26249999995</v>
      </c>
    </row>
    <row r="262" spans="1:6">
      <c r="C262" s="8"/>
    </row>
    <row r="264" spans="1:6">
      <c r="A264"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261</v>
      </c>
      <c r="B2" s="81" t="s">
        <v>262</v>
      </c>
      <c r="C2" s="76" t="s">
        <v>0</v>
      </c>
      <c r="D2" s="77"/>
      <c r="E2" s="77" t="s">
        <v>23</v>
      </c>
    </row>
    <row r="3" spans="1:15" s="9" customFormat="1" ht="16.5" thickTop="1" thickBot="1">
      <c r="A3" s="80" t="s">
        <v>229</v>
      </c>
      <c r="B3" s="80" t="s">
        <v>246</v>
      </c>
      <c r="C3" s="80" t="s">
        <v>42</v>
      </c>
      <c r="D3" s="78"/>
      <c r="E3" s="79">
        <f>Fridges!F17</f>
        <v>1.1879983500000002</v>
      </c>
    </row>
    <row r="4" spans="1:15" s="9" customFormat="1" ht="16.5" thickTop="1" thickBot="1">
      <c r="A4" s="80" t="s">
        <v>229</v>
      </c>
      <c r="B4" s="80" t="s">
        <v>252</v>
      </c>
      <c r="C4" s="80" t="s">
        <v>42</v>
      </c>
      <c r="D4" s="78"/>
      <c r="E4" s="79">
        <f>Fridges!F20</f>
        <v>1.6055999600000002</v>
      </c>
    </row>
    <row r="5" spans="1:15" s="9" customFormat="1" ht="16.5" thickTop="1" thickBot="1">
      <c r="A5" s="80" t="s">
        <v>229</v>
      </c>
      <c r="B5" s="80" t="s">
        <v>257</v>
      </c>
      <c r="C5" s="80" t="s">
        <v>42</v>
      </c>
      <c r="D5" s="78"/>
      <c r="E5" s="79">
        <f>Fridges!F23</f>
        <v>2.9051999999999998</v>
      </c>
    </row>
    <row r="6" spans="1:15" s="9" customFormat="1" ht="16.5" thickTop="1" thickBot="1">
      <c r="A6" s="80" t="s">
        <v>229</v>
      </c>
      <c r="B6" s="80" t="s">
        <v>247</v>
      </c>
      <c r="C6" s="80" t="s">
        <v>42</v>
      </c>
      <c r="D6" s="78"/>
      <c r="E6" s="79"/>
    </row>
    <row r="7" spans="1:15" s="9" customFormat="1" ht="16.5" thickTop="1" thickBot="1">
      <c r="A7" s="80" t="s">
        <v>229</v>
      </c>
      <c r="B7" s="80" t="s">
        <v>253</v>
      </c>
      <c r="C7" s="80" t="s">
        <v>42</v>
      </c>
      <c r="D7" s="78"/>
      <c r="E7" s="79"/>
    </row>
    <row r="8" spans="1:15" s="9" customFormat="1" ht="16.5" thickTop="1" thickBot="1">
      <c r="A8" s="80" t="s">
        <v>229</v>
      </c>
      <c r="B8" s="80" t="s">
        <v>258</v>
      </c>
      <c r="C8" s="80" t="s">
        <v>42</v>
      </c>
      <c r="D8" s="78"/>
      <c r="E8" s="79"/>
    </row>
    <row r="9" spans="1:15" s="9" customFormat="1" ht="16.5" thickTop="1" thickBot="1">
      <c r="A9" s="80" t="s">
        <v>231</v>
      </c>
      <c r="B9" s="80" t="s">
        <v>287</v>
      </c>
      <c r="C9" s="80" t="s">
        <v>17</v>
      </c>
      <c r="D9" s="78"/>
      <c r="E9" s="109"/>
    </row>
    <row r="10" spans="1:15" s="9" customFormat="1" ht="16.5" thickTop="1" thickBot="1">
      <c r="A10" s="80" t="s">
        <v>231</v>
      </c>
      <c r="B10" s="80" t="s">
        <v>288</v>
      </c>
      <c r="C10" s="80" t="s">
        <v>17</v>
      </c>
      <c r="D10" s="78"/>
      <c r="E10" s="79"/>
    </row>
    <row r="11" spans="1:15" s="9" customFormat="1" ht="16.5" thickTop="1" thickBot="1">
      <c r="A11" s="80" t="s">
        <v>231</v>
      </c>
      <c r="B11" s="80" t="s">
        <v>289</v>
      </c>
      <c r="C11" s="80" t="s">
        <v>17</v>
      </c>
      <c r="D11" s="78"/>
      <c r="E11" s="79"/>
    </row>
    <row r="12" spans="1:15" s="9" customFormat="1" ht="16.5" thickTop="1" thickBot="1">
      <c r="A12" s="80" t="s">
        <v>231</v>
      </c>
      <c r="B12" s="80" t="s">
        <v>291</v>
      </c>
      <c r="C12" s="80" t="s">
        <v>17</v>
      </c>
      <c r="D12" s="78"/>
      <c r="E12" s="109"/>
    </row>
    <row r="13" spans="1:15" s="9" customFormat="1" ht="15.75" thickTop="1">
      <c r="A13" s="80" t="s">
        <v>231</v>
      </c>
      <c r="B13" s="80" t="s">
        <v>290</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665</v>
      </c>
    </row>
    <row r="40" spans="1:8" ht="20.25">
      <c r="A40" s="278" t="s">
        <v>655</v>
      </c>
      <c r="B40" s="274"/>
      <c r="C40" s="274"/>
    </row>
    <row r="41" spans="1:8" ht="20.25">
      <c r="A41" s="278" t="s">
        <v>656</v>
      </c>
      <c r="B41" s="274"/>
      <c r="C41" s="274"/>
    </row>
    <row r="42" spans="1:8" ht="20.25">
      <c r="A42" s="278" t="s">
        <v>657</v>
      </c>
      <c r="B42" s="274"/>
      <c r="C42" s="274"/>
    </row>
    <row r="43" spans="1:8">
      <c r="A43" s="274"/>
      <c r="B43" s="274"/>
      <c r="C43" s="274"/>
    </row>
    <row r="44" spans="1:8" ht="20.25">
      <c r="A44" s="278" t="s">
        <v>441</v>
      </c>
      <c r="B44" s="274"/>
      <c r="C44" s="274" t="s">
        <v>655</v>
      </c>
    </row>
    <row r="45" spans="1:8">
      <c r="A45" s="274" t="s">
        <v>442</v>
      </c>
      <c r="B45" s="274" t="s">
        <v>658</v>
      </c>
      <c r="C45" s="274"/>
    </row>
    <row r="46" spans="1:8">
      <c r="A46" s="274"/>
      <c r="B46" s="274"/>
      <c r="C46" s="274"/>
    </row>
    <row r="47" spans="1:8">
      <c r="A47" s="612" t="s">
        <v>659</v>
      </c>
      <c r="B47" s="611"/>
      <c r="C47" s="273" t="s">
        <v>658</v>
      </c>
    </row>
    <row r="48" spans="1:8" ht="76.5">
      <c r="A48" s="275" t="s">
        <v>660</v>
      </c>
      <c r="B48" s="275" t="s">
        <v>661</v>
      </c>
      <c r="C48" s="274"/>
    </row>
    <row r="49" spans="1:3">
      <c r="A49" s="616" t="s">
        <v>662</v>
      </c>
      <c r="B49" s="276" t="s">
        <v>662</v>
      </c>
      <c r="C49" s="277">
        <v>10346108.0580603</v>
      </c>
    </row>
    <row r="50" spans="1:3" ht="38.25">
      <c r="A50" s="611"/>
      <c r="B50" s="276" t="s">
        <v>663</v>
      </c>
      <c r="C50" s="277">
        <v>3346922.7480302001</v>
      </c>
    </row>
    <row r="51" spans="1:3" ht="38.25">
      <c r="A51" s="611"/>
      <c r="B51" s="276" t="s">
        <v>664</v>
      </c>
      <c r="C51" s="277">
        <v>26403112.9382765</v>
      </c>
    </row>
    <row r="52" spans="1:3">
      <c r="A52" s="611"/>
      <c r="B52" s="276" t="s">
        <v>279</v>
      </c>
      <c r="C52" s="277">
        <v>530920.0628971</v>
      </c>
    </row>
    <row r="53" spans="1:3">
      <c r="A53" s="611"/>
      <c r="B53" s="276" t="s">
        <v>27</v>
      </c>
      <c r="C53" s="277">
        <v>40627063.807263501</v>
      </c>
    </row>
    <row r="54" spans="1:3">
      <c r="A54" s="616" t="s">
        <v>663</v>
      </c>
      <c r="B54" s="276" t="s">
        <v>662</v>
      </c>
      <c r="C54" s="277">
        <v>318793.32804669999</v>
      </c>
    </row>
    <row r="55" spans="1:3" ht="38.25">
      <c r="A55" s="611"/>
      <c r="B55" s="276" t="s">
        <v>663</v>
      </c>
      <c r="C55" s="277">
        <v>975904.78942289995</v>
      </c>
    </row>
    <row r="56" spans="1:3" ht="38.25">
      <c r="A56" s="611"/>
      <c r="B56" s="276" t="s">
        <v>664</v>
      </c>
      <c r="C56" s="277">
        <v>836656.96756200003</v>
      </c>
    </row>
    <row r="57" spans="1:3">
      <c r="A57" s="611"/>
      <c r="B57" s="276" t="s">
        <v>279</v>
      </c>
      <c r="C57" s="277">
        <v>11121.95803</v>
      </c>
    </row>
    <row r="58" spans="1:3">
      <c r="A58" s="611"/>
      <c r="B58" s="276" t="s">
        <v>27</v>
      </c>
      <c r="C58" s="277">
        <v>2142477.0430616001</v>
      </c>
    </row>
    <row r="59" spans="1:3">
      <c r="A59" s="616" t="s">
        <v>664</v>
      </c>
      <c r="B59" s="276" t="s">
        <v>662</v>
      </c>
      <c r="C59" s="277">
        <v>3515718.7135239998</v>
      </c>
    </row>
    <row r="60" spans="1:3" ht="38.25">
      <c r="A60" s="611"/>
      <c r="B60" s="276" t="s">
        <v>663</v>
      </c>
      <c r="C60" s="277">
        <v>128364.63808030001</v>
      </c>
    </row>
    <row r="61" spans="1:3" ht="38.25">
      <c r="A61" s="611"/>
      <c r="B61" s="276" t="s">
        <v>664</v>
      </c>
      <c r="C61" s="277">
        <v>8042799.6635534</v>
      </c>
    </row>
    <row r="62" spans="1:3">
      <c r="A62" s="611"/>
      <c r="B62" s="276" t="s">
        <v>279</v>
      </c>
      <c r="C62" s="277">
        <v>6784.6686466000001</v>
      </c>
    </row>
    <row r="63" spans="1:3">
      <c r="A63" s="611"/>
      <c r="B63" s="276" t="s">
        <v>27</v>
      </c>
      <c r="C63" s="277">
        <v>11693667.6838043</v>
      </c>
    </row>
    <row r="64" spans="1:3">
      <c r="A64" s="616" t="s">
        <v>279</v>
      </c>
      <c r="B64" s="276" t="s">
        <v>662</v>
      </c>
      <c r="C64" s="277">
        <v>85636.514467800007</v>
      </c>
    </row>
    <row r="65" spans="1:7" ht="38.25">
      <c r="A65" s="611"/>
      <c r="B65" s="276" t="s">
        <v>663</v>
      </c>
      <c r="C65" s="277">
        <v>7633.0913972999997</v>
      </c>
    </row>
    <row r="66" spans="1:7" ht="38.25">
      <c r="A66" s="611"/>
      <c r="B66" s="276" t="s">
        <v>664</v>
      </c>
      <c r="C66" s="277">
        <v>26830.0804675</v>
      </c>
    </row>
    <row r="67" spans="1:7">
      <c r="A67" s="611"/>
      <c r="B67" s="276" t="s">
        <v>279</v>
      </c>
      <c r="C67" s="277">
        <v>184119.02966619999</v>
      </c>
    </row>
    <row r="68" spans="1:7">
      <c r="A68" s="611"/>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3" t="s">
        <v>667</v>
      </c>
      <c r="B73" s="613"/>
      <c r="C73" s="613"/>
      <c r="D73" s="613"/>
      <c r="E73" s="613"/>
      <c r="F73" s="613"/>
      <c r="G73" s="613"/>
    </row>
    <row r="74" spans="1:7">
      <c r="A74" s="319"/>
      <c r="B74" s="318"/>
      <c r="F74" s="319"/>
      <c r="G74" s="318"/>
    </row>
    <row r="75" spans="1:7">
      <c r="A75" s="319"/>
      <c r="B75" s="318"/>
      <c r="F75" s="319"/>
      <c r="G75" s="318"/>
    </row>
    <row r="77" spans="1:7">
      <c r="A77" s="615" t="s">
        <v>631</v>
      </c>
      <c r="B77" s="615"/>
      <c r="C77" s="615"/>
      <c r="D77" s="313" t="s">
        <v>632</v>
      </c>
    </row>
    <row r="78" spans="1:7" ht="44.1" customHeight="1">
      <c r="A78" s="615"/>
      <c r="B78" s="615"/>
      <c r="C78" s="615"/>
      <c r="D78" s="313" t="s">
        <v>633</v>
      </c>
    </row>
    <row r="79" spans="1:7" ht="22.5">
      <c r="A79" s="614" t="s">
        <v>634</v>
      </c>
      <c r="B79" s="313" t="s">
        <v>635</v>
      </c>
      <c r="C79" s="314" t="s">
        <v>50</v>
      </c>
      <c r="D79" s="315">
        <v>8552460</v>
      </c>
    </row>
    <row r="80" spans="1:7" ht="33.75">
      <c r="A80" s="614"/>
      <c r="B80" s="313" t="s">
        <v>636</v>
      </c>
      <c r="C80" s="314" t="s">
        <v>50</v>
      </c>
      <c r="D80" s="315">
        <v>35278358</v>
      </c>
    </row>
    <row r="81" spans="1:12">
      <c r="A81" s="614" t="s">
        <v>632</v>
      </c>
      <c r="B81" s="614"/>
      <c r="C81" s="614"/>
      <c r="D81" s="315">
        <v>39777584</v>
      </c>
    </row>
    <row r="83" spans="1:12">
      <c r="A83" s="140" t="s">
        <v>637</v>
      </c>
    </row>
    <row r="84" spans="1:12">
      <c r="A84" s="316" t="s">
        <v>47</v>
      </c>
    </row>
    <row r="85" spans="1:12">
      <c r="A85" s="316" t="s">
        <v>47</v>
      </c>
    </row>
    <row r="88" spans="1:12">
      <c r="A88" s="615" t="s">
        <v>631</v>
      </c>
      <c r="B88" s="615"/>
      <c r="C88" s="615"/>
      <c r="D88" s="614" t="s">
        <v>638</v>
      </c>
      <c r="E88" s="614"/>
      <c r="F88" s="614"/>
      <c r="G88" s="614"/>
      <c r="H88" s="614"/>
      <c r="I88" s="614"/>
      <c r="J88" s="614"/>
      <c r="K88" s="614"/>
      <c r="L88" s="614" t="s">
        <v>632</v>
      </c>
    </row>
    <row r="89" spans="1:12">
      <c r="A89" s="615"/>
      <c r="B89" s="615"/>
      <c r="C89" s="615"/>
      <c r="D89" s="614" t="s">
        <v>639</v>
      </c>
      <c r="E89" s="614"/>
      <c r="F89" s="614"/>
      <c r="G89" s="614"/>
      <c r="H89" s="614"/>
      <c r="I89" s="614"/>
      <c r="J89" s="614"/>
      <c r="K89" s="614"/>
      <c r="L89" s="614"/>
    </row>
    <row r="90" spans="1:12" ht="33" customHeight="1">
      <c r="A90" s="615"/>
      <c r="B90" s="615"/>
      <c r="C90" s="615"/>
      <c r="D90" s="313" t="s">
        <v>640</v>
      </c>
      <c r="E90" s="313" t="s">
        <v>641</v>
      </c>
      <c r="F90" s="313" t="s">
        <v>642</v>
      </c>
      <c r="G90" s="313" t="s">
        <v>643</v>
      </c>
      <c r="H90" s="313" t="s">
        <v>644</v>
      </c>
      <c r="I90" s="313" t="s">
        <v>645</v>
      </c>
      <c r="J90" s="313" t="s">
        <v>646</v>
      </c>
      <c r="K90" s="313" t="s">
        <v>647</v>
      </c>
      <c r="L90" s="614"/>
    </row>
    <row r="91" spans="1:12" ht="36.950000000000003" customHeight="1">
      <c r="A91" s="615"/>
      <c r="B91" s="615"/>
      <c r="C91" s="615"/>
      <c r="D91" s="313" t="s">
        <v>633</v>
      </c>
      <c r="E91" s="313" t="s">
        <v>633</v>
      </c>
      <c r="F91" s="313" t="s">
        <v>633</v>
      </c>
      <c r="G91" s="313" t="s">
        <v>633</v>
      </c>
      <c r="H91" s="313" t="s">
        <v>633</v>
      </c>
      <c r="I91" s="313" t="s">
        <v>633</v>
      </c>
      <c r="J91" s="313" t="s">
        <v>633</v>
      </c>
      <c r="K91" s="313" t="s">
        <v>633</v>
      </c>
      <c r="L91" s="313" t="s">
        <v>633</v>
      </c>
    </row>
    <row r="92" spans="1:12" ht="22.5">
      <c r="A92" s="614"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3.75">
      <c r="A93" s="614"/>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4" t="s">
        <v>632</v>
      </c>
      <c r="B94" s="614"/>
      <c r="C94" s="614"/>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5" t="s">
        <v>649</v>
      </c>
      <c r="B101" s="615"/>
      <c r="C101" s="615"/>
      <c r="D101" s="614" t="s">
        <v>638</v>
      </c>
      <c r="E101" s="614"/>
      <c r="F101" s="614"/>
      <c r="G101" s="614"/>
      <c r="H101" s="614"/>
      <c r="I101" s="614"/>
      <c r="J101" s="614"/>
      <c r="K101" s="614"/>
      <c r="L101" s="614" t="s">
        <v>632</v>
      </c>
    </row>
    <row r="102" spans="1:12">
      <c r="A102" s="615"/>
      <c r="B102" s="615"/>
      <c r="C102" s="615"/>
      <c r="D102" s="614" t="s">
        <v>639</v>
      </c>
      <c r="E102" s="614"/>
      <c r="F102" s="614"/>
      <c r="G102" s="614"/>
      <c r="H102" s="614"/>
      <c r="I102" s="614"/>
      <c r="J102" s="614"/>
      <c r="K102" s="614"/>
      <c r="L102" s="614"/>
    </row>
    <row r="103" spans="1:12" ht="22.5">
      <c r="A103" s="615"/>
      <c r="B103" s="615"/>
      <c r="C103" s="615"/>
      <c r="D103" s="313" t="s">
        <v>640</v>
      </c>
      <c r="E103" s="313" t="s">
        <v>641</v>
      </c>
      <c r="F103" s="313" t="s">
        <v>642</v>
      </c>
      <c r="G103" s="313" t="s">
        <v>643</v>
      </c>
      <c r="H103" s="313" t="s">
        <v>644</v>
      </c>
      <c r="I103" s="313" t="s">
        <v>645</v>
      </c>
      <c r="J103" s="313" t="s">
        <v>646</v>
      </c>
      <c r="K103" s="313" t="s">
        <v>647</v>
      </c>
      <c r="L103" s="614"/>
    </row>
    <row r="104" spans="1:12" ht="33.950000000000003" customHeight="1">
      <c r="A104" s="615"/>
      <c r="B104" s="615"/>
      <c r="C104" s="615"/>
      <c r="D104" s="313" t="s">
        <v>650</v>
      </c>
      <c r="E104" s="313" t="s">
        <v>650</v>
      </c>
      <c r="F104" s="313" t="s">
        <v>650</v>
      </c>
      <c r="G104" s="313" t="s">
        <v>650</v>
      </c>
      <c r="H104" s="313" t="s">
        <v>650</v>
      </c>
      <c r="I104" s="313" t="s">
        <v>650</v>
      </c>
      <c r="J104" s="313" t="s">
        <v>650</v>
      </c>
      <c r="K104" s="313" t="s">
        <v>650</v>
      </c>
      <c r="L104" s="313" t="s">
        <v>650</v>
      </c>
    </row>
    <row r="105" spans="1:12" ht="22.5">
      <c r="A105" s="614"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14"/>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4" t="s">
        <v>632</v>
      </c>
      <c r="B107" s="614"/>
      <c r="C107" s="614"/>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3" t="s">
        <v>712</v>
      </c>
      <c r="B119" s="613"/>
      <c r="C119" s="613"/>
      <c r="D119" s="613"/>
      <c r="E119" s="613"/>
      <c r="F119" s="613"/>
      <c r="G119" s="613"/>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17">
        <v>2017</v>
      </c>
      <c r="H6" s="617"/>
      <c r="I6" s="617"/>
      <c r="J6" s="33" t="str">
        <f>IF(F6="","",INDEX(#REF!,MATCH(F6,#REF!,0),0))</f>
        <v/>
      </c>
      <c r="K6" s="33" t="str">
        <f>IF(I6=""," ",G6&amp;INDEX(#REF!,MATCH(I6,#REF!,0),0))</f>
        <v xml:space="preserve"> </v>
      </c>
      <c r="L6" s="132"/>
      <c r="M6" s="618">
        <v>2012</v>
      </c>
      <c r="N6" s="619"/>
      <c r="O6" s="620"/>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6" t="s">
        <v>213</v>
      </c>
      <c r="C13" s="627"/>
      <c r="D13" s="373"/>
      <c r="E13" s="373"/>
      <c r="F13" s="373"/>
      <c r="G13" s="374">
        <v>6</v>
      </c>
      <c r="H13" s="374">
        <v>6</v>
      </c>
      <c r="I13" s="374">
        <v>6</v>
      </c>
      <c r="J13" s="374"/>
      <c r="K13" s="374"/>
      <c r="L13">
        <v>0</v>
      </c>
      <c r="M13" s="427">
        <v>2.8</v>
      </c>
    </row>
    <row r="14" spans="1:52">
      <c r="B14" s="626" t="s">
        <v>234</v>
      </c>
      <c r="C14" s="627"/>
      <c r="D14" s="373"/>
      <c r="E14" s="373"/>
      <c r="F14" s="373"/>
      <c r="G14" s="374">
        <v>1</v>
      </c>
      <c r="H14" s="374">
        <v>1</v>
      </c>
      <c r="I14" s="374">
        <v>1</v>
      </c>
      <c r="J14" s="374">
        <v>3</v>
      </c>
      <c r="K14" s="374">
        <v>4</v>
      </c>
      <c r="L14" s="374"/>
      <c r="M14" s="428">
        <v>3</v>
      </c>
    </row>
    <row r="15" spans="1:52" ht="13.5" customHeight="1">
      <c r="B15" s="622" t="s">
        <v>269</v>
      </c>
      <c r="C15" s="623"/>
      <c r="D15" s="373"/>
      <c r="E15" s="373"/>
      <c r="F15" s="373"/>
      <c r="G15" s="374">
        <v>4.5339999999999998</v>
      </c>
      <c r="H15" s="374">
        <v>5.6760000000000002</v>
      </c>
      <c r="I15" s="374">
        <v>8.6690000000000005</v>
      </c>
      <c r="J15" s="374"/>
      <c r="K15" s="374"/>
      <c r="L15" s="374"/>
      <c r="M15">
        <v>2</v>
      </c>
    </row>
    <row r="16" spans="1:52" ht="15">
      <c r="B16" s="624" t="s">
        <v>270</v>
      </c>
      <c r="C16" s="625"/>
      <c r="D16" s="373"/>
      <c r="E16" s="373"/>
      <c r="F16" s="373"/>
      <c r="G16" s="374">
        <f>G15*G14</f>
        <v>4.5339999999999998</v>
      </c>
      <c r="H16" s="374">
        <f t="shared" ref="H16:I16" si="2">H15*H14</f>
        <v>5.6760000000000002</v>
      </c>
      <c r="I16" s="374">
        <f t="shared" si="2"/>
        <v>8.6690000000000005</v>
      </c>
      <c r="J16" s="374"/>
      <c r="K16" s="374"/>
      <c r="L16" s="374"/>
    </row>
    <row r="17" spans="1:111" ht="15">
      <c r="B17" s="624" t="s">
        <v>215</v>
      </c>
      <c r="C17" s="625"/>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5">
      <c r="B18" s="621" t="s">
        <v>775</v>
      </c>
      <c r="C18" s="621"/>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5" thickBot="1">
      <c r="A6" s="433"/>
      <c r="B6" s="434">
        <v>2020</v>
      </c>
      <c r="C6" s="434">
        <v>2030</v>
      </c>
      <c r="D6" s="434">
        <v>2040</v>
      </c>
      <c r="E6" s="1" t="s">
        <v>854</v>
      </c>
      <c r="L6" s="1" t="s">
        <v>855</v>
      </c>
      <c r="R6">
        <v>6</v>
      </c>
    </row>
    <row r="7" spans="1:18" ht="16.5" thickBot="1">
      <c r="A7" s="435" t="s">
        <v>846</v>
      </c>
      <c r="B7" s="436"/>
      <c r="C7" s="436"/>
      <c r="D7" s="436"/>
      <c r="L7">
        <v>2017</v>
      </c>
      <c r="M7">
        <v>2020</v>
      </c>
      <c r="N7">
        <v>2030</v>
      </c>
      <c r="O7">
        <v>2040</v>
      </c>
      <c r="P7">
        <v>2050</v>
      </c>
      <c r="R7">
        <v>7</v>
      </c>
    </row>
    <row r="8" spans="1:18" ht="1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5" thickBot="1">
      <c r="A12" s="435" t="s">
        <v>851</v>
      </c>
      <c r="B12" s="436"/>
      <c r="C12" s="436"/>
      <c r="D12" s="436"/>
      <c r="I12" s="1"/>
      <c r="R12">
        <v>12</v>
      </c>
    </row>
    <row r="13" spans="1:18" ht="1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5" thickBot="1">
      <c r="A18" s="439" t="s">
        <v>853</v>
      </c>
      <c r="B18" s="440"/>
      <c r="C18" s="440"/>
      <c r="D18" s="440"/>
      <c r="I18" s="1"/>
      <c r="R18">
        <v>18</v>
      </c>
    </row>
    <row r="19" spans="1:18" ht="1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7" t="s">
        <v>884</v>
      </c>
      <c r="R25">
        <v>25</v>
      </c>
    </row>
    <row r="26" spans="1:18" ht="16.5" thickBot="1">
      <c r="A26" s="433"/>
      <c r="B26" s="434">
        <v>2020</v>
      </c>
      <c r="C26" s="434">
        <v>2030</v>
      </c>
      <c r="D26" s="434">
        <v>2040</v>
      </c>
      <c r="E26" s="1" t="s">
        <v>854</v>
      </c>
      <c r="L26" s="1" t="s">
        <v>855</v>
      </c>
      <c r="R26">
        <v>26</v>
      </c>
    </row>
    <row r="27" spans="1:18" ht="16.5" thickBot="1">
      <c r="A27" s="435" t="s">
        <v>846</v>
      </c>
      <c r="B27" s="436"/>
      <c r="C27" s="436"/>
      <c r="D27" s="436"/>
      <c r="L27">
        <v>2017</v>
      </c>
      <c r="M27">
        <v>2020</v>
      </c>
      <c r="N27">
        <v>2030</v>
      </c>
      <c r="O27">
        <v>2040</v>
      </c>
      <c r="P27">
        <v>2050</v>
      </c>
      <c r="R27">
        <v>27</v>
      </c>
    </row>
    <row r="28" spans="1:18" ht="1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5" thickBot="1">
      <c r="A32" s="435" t="s">
        <v>851</v>
      </c>
      <c r="B32" s="436"/>
      <c r="C32" s="436"/>
      <c r="D32" s="436"/>
      <c r="I32" s="1"/>
      <c r="R32">
        <v>32</v>
      </c>
    </row>
    <row r="33" spans="1:18" ht="1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5" thickBot="1">
      <c r="A38" s="439" t="s">
        <v>853</v>
      </c>
      <c r="B38" s="440"/>
      <c r="C38" s="440"/>
      <c r="D38" s="440"/>
      <c r="I38" s="1"/>
      <c r="R38">
        <v>38</v>
      </c>
    </row>
    <row r="39" spans="1:18" ht="1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7" t="s">
        <v>885</v>
      </c>
      <c r="R45">
        <v>45</v>
      </c>
    </row>
    <row r="46" spans="1:18" ht="16.5" thickBot="1">
      <c r="A46" s="433"/>
      <c r="B46" s="434">
        <v>2020</v>
      </c>
      <c r="C46" s="434">
        <v>2030</v>
      </c>
      <c r="D46" s="434">
        <v>2040</v>
      </c>
      <c r="E46" s="1" t="s">
        <v>854</v>
      </c>
      <c r="L46" s="1" t="s">
        <v>855</v>
      </c>
      <c r="R46">
        <v>46</v>
      </c>
    </row>
    <row r="47" spans="1:18" ht="16.5" thickBot="1">
      <c r="A47" s="435" t="s">
        <v>846</v>
      </c>
      <c r="B47" s="436"/>
      <c r="C47" s="436"/>
      <c r="D47" s="436"/>
      <c r="L47">
        <v>2017</v>
      </c>
      <c r="M47">
        <v>2020</v>
      </c>
      <c r="N47">
        <v>2030</v>
      </c>
      <c r="O47">
        <v>2040</v>
      </c>
      <c r="P47">
        <v>2050</v>
      </c>
      <c r="R47">
        <v>47</v>
      </c>
    </row>
    <row r="48" spans="1:18" ht="1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5" thickBot="1">
      <c r="A52" s="435" t="s">
        <v>851</v>
      </c>
      <c r="B52" s="436"/>
      <c r="C52" s="436"/>
      <c r="D52" s="436"/>
      <c r="I52" s="1"/>
      <c r="R52">
        <v>52</v>
      </c>
    </row>
    <row r="53" spans="1:18" ht="1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5" thickBot="1">
      <c r="A58" s="439" t="s">
        <v>853</v>
      </c>
      <c r="B58" s="440"/>
      <c r="C58" s="440"/>
      <c r="D58" s="440"/>
      <c r="I58" s="1"/>
      <c r="R58">
        <v>58</v>
      </c>
    </row>
    <row r="59" spans="1:18" ht="1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7" t="s">
        <v>886</v>
      </c>
      <c r="R65">
        <v>65</v>
      </c>
    </row>
    <row r="66" spans="1:18" ht="16.5" thickBot="1">
      <c r="A66" s="433"/>
      <c r="B66" s="434">
        <v>2020</v>
      </c>
      <c r="C66" s="434">
        <v>2030</v>
      </c>
      <c r="D66" s="434">
        <v>2040</v>
      </c>
      <c r="E66" s="1" t="s">
        <v>854</v>
      </c>
      <c r="L66" s="1" t="s">
        <v>855</v>
      </c>
      <c r="R66">
        <v>66</v>
      </c>
    </row>
    <row r="67" spans="1:18" ht="16.5" thickBot="1">
      <c r="A67" s="435" t="s">
        <v>846</v>
      </c>
      <c r="B67" s="436"/>
      <c r="C67" s="436"/>
      <c r="D67" s="436"/>
      <c r="L67">
        <v>2017</v>
      </c>
      <c r="M67">
        <v>2020</v>
      </c>
      <c r="N67">
        <v>2030</v>
      </c>
      <c r="O67">
        <v>2040</v>
      </c>
      <c r="P67">
        <v>2050</v>
      </c>
      <c r="R67">
        <v>67</v>
      </c>
    </row>
    <row r="68" spans="1:18" ht="1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5" thickBot="1">
      <c r="A72" s="435" t="s">
        <v>851</v>
      </c>
      <c r="B72" s="436"/>
      <c r="C72" s="436"/>
      <c r="D72" s="436"/>
      <c r="I72" s="1"/>
      <c r="R72">
        <v>72</v>
      </c>
    </row>
    <row r="73" spans="1:18" ht="1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5" thickBot="1">
      <c r="A78" s="439" t="s">
        <v>853</v>
      </c>
      <c r="B78" s="440"/>
      <c r="C78" s="440"/>
      <c r="D78" s="440"/>
      <c r="I78" s="1"/>
      <c r="R78">
        <v>78</v>
      </c>
    </row>
    <row r="79" spans="1:18" ht="1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7" t="s">
        <v>887</v>
      </c>
      <c r="R85">
        <v>85</v>
      </c>
    </row>
    <row r="86" spans="1:18" ht="16.5" thickBot="1">
      <c r="A86" s="433"/>
      <c r="B86" s="434">
        <v>2020</v>
      </c>
      <c r="C86" s="434">
        <v>2030</v>
      </c>
      <c r="D86" s="434">
        <v>2040</v>
      </c>
      <c r="E86" s="1" t="s">
        <v>854</v>
      </c>
      <c r="L86" s="1" t="s">
        <v>855</v>
      </c>
      <c r="R86">
        <v>86</v>
      </c>
    </row>
    <row r="87" spans="1:18" ht="16.5" thickBot="1">
      <c r="A87" s="435" t="s">
        <v>846</v>
      </c>
      <c r="B87" s="436"/>
      <c r="C87" s="436"/>
      <c r="D87" s="436"/>
      <c r="L87">
        <v>2017</v>
      </c>
      <c r="M87">
        <v>2020</v>
      </c>
      <c r="N87">
        <v>2030</v>
      </c>
      <c r="O87">
        <v>2040</v>
      </c>
      <c r="P87">
        <v>2050</v>
      </c>
      <c r="R87">
        <v>87</v>
      </c>
    </row>
    <row r="88" spans="1:18" ht="1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5" thickBot="1">
      <c r="A92" s="435" t="s">
        <v>851</v>
      </c>
      <c r="B92" s="436"/>
      <c r="C92" s="436"/>
      <c r="D92" s="436"/>
      <c r="I92" s="1"/>
      <c r="R92">
        <v>92</v>
      </c>
    </row>
    <row r="93" spans="1:18" ht="1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5" thickBot="1">
      <c r="A98" s="439" t="s">
        <v>853</v>
      </c>
      <c r="B98" s="440"/>
      <c r="C98" s="440"/>
      <c r="D98" s="440"/>
      <c r="I98" s="1"/>
      <c r="R98">
        <v>98</v>
      </c>
    </row>
    <row r="99" spans="1:18" ht="1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865</v>
      </c>
      <c r="O1" s="85"/>
    </row>
    <row r="2" spans="1:15" s="397" customFormat="1" ht="39" thickBot="1">
      <c r="D2" s="429" t="s">
        <v>826</v>
      </c>
      <c r="E2" s="429" t="s">
        <v>825</v>
      </c>
      <c r="F2" s="429" t="s">
        <v>859</v>
      </c>
      <c r="G2" s="429" t="s">
        <v>861</v>
      </c>
      <c r="H2" s="429" t="s">
        <v>860</v>
      </c>
      <c r="I2" s="429"/>
      <c r="J2" s="429" t="s">
        <v>902</v>
      </c>
      <c r="K2" s="85"/>
    </row>
    <row r="3" spans="1:15" ht="76.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3.5"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5">
      <c r="A15" s="474" t="s">
        <v>868</v>
      </c>
    </row>
    <row r="16" spans="1:15" ht="22.5">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1026</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1027</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3.5" thickBot="1">
      <c r="B109" s="212" t="s">
        <v>38</v>
      </c>
      <c r="C109" s="213"/>
      <c r="D109" s="213"/>
      <c r="E109" s="213"/>
      <c r="F109" s="213"/>
      <c r="G109" s="213"/>
      <c r="H109" s="214" t="s">
        <v>281</v>
      </c>
      <c r="I109" s="215"/>
      <c r="J109" s="215"/>
    </row>
    <row r="110" spans="1:19" s="397" customFormat="1" ht="26.2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283</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284</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310</v>
      </c>
      <c r="B140" s="99" t="s">
        <v>40</v>
      </c>
      <c r="C140" s="100"/>
      <c r="D140" s="101"/>
      <c r="E140" s="101"/>
      <c r="F140" s="103"/>
      <c r="G140" s="387"/>
      <c r="H140" s="101"/>
      <c r="I140" s="102"/>
      <c r="J140" s="103"/>
      <c r="L140"/>
    </row>
    <row r="141" spans="1:19" ht="13.5"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283</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284</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414</v>
      </c>
      <c r="D172" s="219">
        <f>D150+D160+D170</f>
        <v>10895201.751889</v>
      </c>
      <c r="E172" s="219">
        <f>E150+E160+E170</f>
        <v>1733660.4583000005</v>
      </c>
    </row>
    <row r="173" spans="1:19" ht="13.5" thickBot="1">
      <c r="A173" s="85" t="s">
        <v>14</v>
      </c>
      <c r="B173" s="99" t="s">
        <v>856</v>
      </c>
      <c r="C173" s="100"/>
      <c r="D173" s="101"/>
      <c r="E173" s="101"/>
      <c r="F173" s="103"/>
    </row>
    <row r="174" spans="1:19" ht="13.5"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283</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284</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28" t="s">
        <v>788</v>
      </c>
      <c r="B256" s="629"/>
      <c r="C256" s="629"/>
      <c r="D256" s="629"/>
      <c r="E256" s="629"/>
      <c r="F256" s="629"/>
      <c r="G256" s="629"/>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42" zoomScale="90" zoomScaleNormal="90" workbookViewId="0">
      <selection activeCell="G63" sqref="G63:G150"/>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0" t="s">
        <v>436</v>
      </c>
      <c r="C1" s="245"/>
      <c r="D1" s="245" t="s">
        <v>416</v>
      </c>
      <c r="E1" s="288" t="s">
        <v>17</v>
      </c>
      <c r="F1" s="289">
        <v>0.67856555411775232</v>
      </c>
      <c r="G1" s="1" t="s">
        <v>539</v>
      </c>
    </row>
    <row r="2" spans="2:41">
      <c r="B2" s="630"/>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1029</v>
      </c>
      <c r="S3" s="1" t="s">
        <v>1050</v>
      </c>
      <c r="T3" s="1" t="s">
        <v>1051</v>
      </c>
      <c r="U3" s="1" t="s">
        <v>1052</v>
      </c>
      <c r="V3" s="1" t="s">
        <v>1030</v>
      </c>
      <c r="W3" s="1" t="s">
        <v>1056</v>
      </c>
      <c r="X3" s="1" t="s">
        <v>1053</v>
      </c>
      <c r="Y3" s="1" t="s">
        <v>1054</v>
      </c>
      <c r="Z3" s="1" t="s">
        <v>1055</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75">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1059</v>
      </c>
      <c r="T14" s="512" t="s">
        <v>1049</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1057</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5">
      <c r="G52" s="13" t="s">
        <v>214</v>
      </c>
      <c r="H52" s="5" t="s">
        <v>432</v>
      </c>
      <c r="I52" s="312" t="s">
        <v>813</v>
      </c>
      <c r="J52" s="5"/>
      <c r="Q52" s="417"/>
      <c r="R52" s="417"/>
      <c r="S52" s="417"/>
      <c r="T52" s="417"/>
      <c r="U52" s="417"/>
      <c r="V52" s="417"/>
      <c r="W52" s="417"/>
      <c r="X52" s="5"/>
    </row>
    <row r="53" spans="1:48" s="15" customFormat="1" ht="76.5">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1033</v>
      </c>
      <c r="C54" s="68"/>
      <c r="D54" s="68"/>
      <c r="E54" s="68"/>
      <c r="F54" s="68"/>
      <c r="G54" s="3"/>
      <c r="I54" s="191"/>
      <c r="J54" s="191"/>
      <c r="K54" s="191"/>
    </row>
    <row r="55" spans="1:48" hidden="1"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ollapsed="1">
      <c r="A58" s="70" t="str">
        <f t="shared" si="16"/>
        <v>*</v>
      </c>
      <c r="B58" s="261" t="s">
        <v>1031</v>
      </c>
      <c r="C58" s="68"/>
      <c r="D58" s="68"/>
      <c r="E58" s="1"/>
      <c r="F58" s="68"/>
      <c r="G58" s="478" t="s">
        <v>57</v>
      </c>
      <c r="H58" s="115"/>
      <c r="I58" s="431"/>
      <c r="J58" s="431"/>
      <c r="K58" s="431"/>
      <c r="L58" s="115"/>
    </row>
    <row r="59" spans="1:48" hidden="1"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1032</v>
      </c>
      <c r="C66" s="68"/>
      <c r="D66" s="68"/>
      <c r="E66" s="1"/>
      <c r="F66" s="68"/>
      <c r="G66" s="478" t="s">
        <v>57</v>
      </c>
      <c r="H66" s="115"/>
      <c r="I66" s="431"/>
      <c r="J66" s="431"/>
      <c r="K66" s="431"/>
      <c r="L66" s="115"/>
    </row>
    <row r="67" spans="1:30" hidden="1"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1048</v>
      </c>
      <c r="C74" s="69"/>
      <c r="D74" s="69"/>
      <c r="E74" s="1"/>
      <c r="F74" s="69"/>
      <c r="G74" s="478" t="s">
        <v>57</v>
      </c>
      <c r="H74" s="115"/>
      <c r="I74" s="431"/>
      <c r="J74" s="431"/>
      <c r="K74" s="431"/>
      <c r="L74" s="115"/>
    </row>
    <row r="75" spans="1:30" hidden="1"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1047</v>
      </c>
      <c r="C82" s="69"/>
      <c r="G82" s="478" t="s">
        <v>57</v>
      </c>
      <c r="H82" s="115"/>
      <c r="I82" s="431"/>
      <c r="J82" s="431"/>
      <c r="K82" s="431"/>
      <c r="L82" s="115"/>
    </row>
    <row r="83" spans="1:33" hidden="1"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ollapsed="1">
      <c r="A86" s="70" t="str">
        <f t="shared" si="16"/>
        <v>*</v>
      </c>
      <c r="B86" s="263" t="s">
        <v>1046</v>
      </c>
      <c r="C86" s="69"/>
      <c r="D86" s="69"/>
      <c r="E86" s="1"/>
      <c r="F86" s="69"/>
      <c r="G86" s="478" t="s">
        <v>57</v>
      </c>
      <c r="H86" s="115"/>
      <c r="I86" s="431"/>
      <c r="J86" s="431"/>
      <c r="K86" s="431"/>
      <c r="L86" s="115"/>
    </row>
    <row r="87" spans="1:33" hidden="1"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ollapsed="1">
      <c r="A90" s="70" t="str">
        <f t="shared" si="19"/>
        <v>*</v>
      </c>
      <c r="B90" s="69" t="s">
        <v>1045</v>
      </c>
      <c r="C90" s="69"/>
      <c r="D90" s="69"/>
      <c r="E90" s="69"/>
      <c r="F90" s="69"/>
      <c r="G90" s="479" t="s">
        <v>57</v>
      </c>
      <c r="H90" s="271"/>
      <c r="I90" s="430"/>
      <c r="J90" s="430"/>
      <c r="K90" s="430"/>
      <c r="L90" s="271"/>
    </row>
    <row r="91" spans="1:33" hidden="1"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ollapsed="1">
      <c r="A94" s="70" t="str">
        <f t="shared" si="19"/>
        <v>*</v>
      </c>
      <c r="B94" s="69" t="s">
        <v>1044</v>
      </c>
      <c r="C94" s="69"/>
      <c r="D94" s="69"/>
      <c r="E94" s="1"/>
      <c r="F94" s="69"/>
      <c r="G94" s="478" t="s">
        <v>57</v>
      </c>
      <c r="H94" s="115"/>
      <c r="I94" s="431"/>
      <c r="J94" s="431"/>
      <c r="K94" s="431"/>
      <c r="L94" s="115"/>
    </row>
    <row r="95" spans="1:33" hidden="1"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1043</v>
      </c>
      <c r="C102" s="69"/>
      <c r="D102" s="69"/>
      <c r="G102" s="478" t="s">
        <v>57</v>
      </c>
      <c r="H102" s="115"/>
      <c r="I102" s="431"/>
      <c r="J102" s="431"/>
      <c r="K102" s="431"/>
      <c r="L102" s="115"/>
    </row>
    <row r="103" spans="1:23" hidden="1"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1042</v>
      </c>
      <c r="C110" s="69"/>
      <c r="D110" s="69"/>
      <c r="G110" s="478" t="s">
        <v>57</v>
      </c>
      <c r="H110" s="115"/>
      <c r="I110" s="431"/>
      <c r="J110" s="431"/>
      <c r="K110" s="431"/>
      <c r="L110" s="115"/>
    </row>
    <row r="111" spans="1:23" hidden="1"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hidden="1"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1058</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1041</v>
      </c>
      <c r="C119" s="69"/>
      <c r="D119" s="69"/>
      <c r="G119" s="478" t="s">
        <v>57</v>
      </c>
      <c r="H119" s="115"/>
      <c r="I119" s="431"/>
      <c r="J119" s="431"/>
      <c r="K119" s="431"/>
      <c r="L119" s="115"/>
      <c r="AH119" s="3"/>
      <c r="AI119" s="3"/>
      <c r="AJ119" s="3"/>
      <c r="AK119" s="3"/>
      <c r="AL119" s="3"/>
      <c r="AM119" s="3"/>
      <c r="AN119" s="3"/>
    </row>
    <row r="120" spans="1:40" hidden="1"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ollapsed="1">
      <c r="A122" s="70" t="str">
        <f t="shared" ref="A122:A153" si="22">IF(LEFT(B122,1)="\","*","")</f>
        <v>*</v>
      </c>
      <c r="B122" s="69" t="s">
        <v>1040</v>
      </c>
      <c r="C122" s="69"/>
      <c r="D122" s="69"/>
      <c r="E122" s="1"/>
      <c r="F122" s="69"/>
      <c r="G122" s="478" t="s">
        <v>57</v>
      </c>
      <c r="H122" s="115"/>
      <c r="I122" s="431"/>
      <c r="J122" s="431"/>
      <c r="K122" s="431"/>
      <c r="L122" s="115"/>
      <c r="AH122" s="3"/>
      <c r="AI122" s="3"/>
      <c r="AJ122" s="3"/>
      <c r="AK122" s="3"/>
      <c r="AL122" s="3"/>
      <c r="AM122" s="3"/>
      <c r="AN122" s="3"/>
    </row>
    <row r="123" spans="1:40" hidden="1"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ollapsed="1">
      <c r="A126" s="70" t="str">
        <f t="shared" si="22"/>
        <v>*</v>
      </c>
      <c r="B126" s="257" t="s">
        <v>1039</v>
      </c>
      <c r="C126" s="69"/>
      <c r="D126" s="69"/>
      <c r="G126" s="478" t="s">
        <v>57</v>
      </c>
      <c r="H126" s="115"/>
      <c r="I126" s="431"/>
      <c r="J126" s="431"/>
      <c r="K126" s="431"/>
      <c r="L126" s="115"/>
    </row>
    <row r="127" spans="1:40" hidden="1"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ollapsed="1">
      <c r="A129" s="70" t="str">
        <f t="shared" si="22"/>
        <v>*</v>
      </c>
      <c r="B129" s="257" t="s">
        <v>1038</v>
      </c>
      <c r="C129" s="69"/>
      <c r="D129" s="69"/>
      <c r="E129" s="1"/>
      <c r="F129" s="69"/>
      <c r="G129" s="478" t="s">
        <v>57</v>
      </c>
      <c r="H129" s="115"/>
      <c r="I129" s="431"/>
      <c r="J129" s="431"/>
      <c r="K129" s="431"/>
      <c r="L129" s="115"/>
    </row>
    <row r="130" spans="1:12" hidden="1"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1037</v>
      </c>
      <c r="C137" s="69"/>
      <c r="D137" s="69"/>
      <c r="G137" s="478" t="s">
        <v>57</v>
      </c>
      <c r="H137" s="115"/>
      <c r="I137" s="431"/>
      <c r="J137" s="431"/>
      <c r="K137" s="431"/>
      <c r="L137" s="115"/>
    </row>
    <row r="138" spans="1:12" hidden="1"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1036</v>
      </c>
      <c r="C145" s="69"/>
      <c r="D145" s="69"/>
      <c r="G145" s="478" t="s">
        <v>57</v>
      </c>
      <c r="H145" s="115"/>
      <c r="I145" s="431"/>
      <c r="J145" s="431"/>
      <c r="K145" s="431"/>
      <c r="L145" s="115"/>
    </row>
    <row r="146" spans="1:30" hidden="1"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1035</v>
      </c>
      <c r="C153" s="69"/>
      <c r="D153" s="69"/>
      <c r="G153" s="478" t="s">
        <v>57</v>
      </c>
      <c r="H153" s="115"/>
      <c r="I153" s="431"/>
      <c r="J153" s="431"/>
      <c r="K153" s="431"/>
      <c r="L153" s="115"/>
    </row>
    <row r="154" spans="1:30" hidden="1"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ollapsed="1">
      <c r="A156" s="70" t="str">
        <f t="shared" si="26"/>
        <v>*</v>
      </c>
      <c r="B156" s="257" t="s">
        <v>1034</v>
      </c>
      <c r="C156" s="69"/>
      <c r="D156" s="69"/>
      <c r="E156" s="1"/>
      <c r="F156" s="69"/>
      <c r="G156" s="478" t="s">
        <v>57</v>
      </c>
      <c r="H156" s="115"/>
      <c r="I156" s="431"/>
      <c r="J156" s="431"/>
      <c r="K156" s="431"/>
      <c r="L156" s="115"/>
    </row>
    <row r="157" spans="1:30" hidden="1"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60" spans="1:30" collapsed="1"/>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COA"/>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zoomScale="90" zoomScaleNormal="90" workbookViewId="0">
      <pane xSplit="4" ySplit="38" topLeftCell="L95" activePane="bottomRight" state="frozen"/>
      <selection pane="topRight" activeCell="E1" sqref="E1"/>
      <selection pane="bottomLeft" activeCell="A39" sqref="A39"/>
      <selection pane="bottomRight" activeCell="AG131" sqref="AG131"/>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173.7915174430257</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1025</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173.7915174430257</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82</v>
      </c>
      <c r="C33" s="27" t="s">
        <v>83</v>
      </c>
      <c r="D33" s="27" t="s">
        <v>1016</v>
      </c>
      <c r="E33" s="209" t="s">
        <v>1015</v>
      </c>
      <c r="F33" s="27" t="s">
        <v>1023</v>
      </c>
      <c r="G33" s="27" t="s">
        <v>1023</v>
      </c>
      <c r="H33" s="27" t="s">
        <v>88</v>
      </c>
      <c r="I33" s="27" t="s">
        <v>1024</v>
      </c>
      <c r="J33" s="27" t="s">
        <v>1028</v>
      </c>
      <c r="K33" s="27" t="s">
        <v>1023</v>
      </c>
      <c r="L33" s="27" t="s">
        <v>1023</v>
      </c>
      <c r="M33" s="27" t="s">
        <v>1023</v>
      </c>
      <c r="N33" s="27" t="s">
        <v>1023</v>
      </c>
      <c r="O33" s="27" t="s">
        <v>1023</v>
      </c>
      <c r="P33" s="27" t="str">
        <f>"EFF~"&amp;P36</f>
        <v>EFF~2020</v>
      </c>
      <c r="Q33" s="27" t="str">
        <f t="shared" ref="Q33:S33" si="1">"EFF~"&amp;Q36</f>
        <v>EFF~2030</v>
      </c>
      <c r="R33" s="27" t="str">
        <f t="shared" si="1"/>
        <v>EFF~2040</v>
      </c>
      <c r="S33" s="27" t="str">
        <f t="shared" si="1"/>
        <v>EFF~2050</v>
      </c>
      <c r="T33" s="27" t="s">
        <v>1023</v>
      </c>
      <c r="U33" s="27" t="s">
        <v>1023</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1023</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1014</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1019</v>
      </c>
      <c r="B40" s="30" t="s">
        <v>1018</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484</v>
      </c>
      <c r="AP75" s="496">
        <f>E75</f>
        <v>3.5618185364705877</v>
      </c>
      <c r="AQ75"/>
      <c r="AR75"/>
      <c r="AS75"/>
      <c r="AT75"/>
      <c r="AU75"/>
      <c r="AV75"/>
      <c r="AW75"/>
      <c r="AX75"/>
      <c r="AY75"/>
      <c r="AZ75"/>
      <c r="BA75"/>
      <c r="BB75"/>
      <c r="BC75"/>
      <c r="BD75"/>
    </row>
    <row r="76" spans="1:3695" s="165" customFormat="1" ht="15" outlineLevel="2">
      <c r="A76" s="108" t="s">
        <v>959</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960</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961</v>
      </c>
      <c r="B79" s="30" t="s">
        <v>342</v>
      </c>
      <c r="C79" s="43" t="s">
        <v>229</v>
      </c>
      <c r="D79" s="43" t="s">
        <v>249</v>
      </c>
      <c r="E79" s="494">
        <f>INDEX('Electrical efficiency'!$L$8:$L$23,MATCH(RES!D79,'Electrical efficiency'!$K$8:$K$23,0))</f>
        <v>0.65</v>
      </c>
      <c r="F79" s="557">
        <v>1</v>
      </c>
      <c r="G79" s="557">
        <v>1</v>
      </c>
      <c r="H79" s="557">
        <f t="shared" ref="H79:H84" si="58">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59">E79</f>
        <v>0.65</v>
      </c>
    </row>
    <row r="80" spans="1:3695" s="35" customFormat="1" ht="15" outlineLevel="1">
      <c r="A80" s="108" t="s">
        <v>962</v>
      </c>
      <c r="B80" s="30" t="s">
        <v>343</v>
      </c>
      <c r="C80" s="43" t="s">
        <v>230</v>
      </c>
      <c r="D80" s="43" t="s">
        <v>249</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09">
        <f>AI80*0.5</f>
        <v>1.1262789477575041E-2</v>
      </c>
      <c r="AK80" s="609">
        <f>AJ80*0.5</f>
        <v>5.6313947387875204E-3</v>
      </c>
      <c r="AL80" s="609">
        <v>0</v>
      </c>
      <c r="AM80"/>
      <c r="AN80"/>
      <c r="AO80" s="21" t="s">
        <v>484</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963</v>
      </c>
      <c r="B81" s="30" t="s">
        <v>344</v>
      </c>
      <c r="C81" s="43" t="s">
        <v>232</v>
      </c>
      <c r="D81" s="43" t="s">
        <v>249</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ref="AJ81:AJ83" si="64">IF(AA81-AJ$29&lt;0,0,AA81-AJ$29)</f>
        <v>0.34053790230044068</v>
      </c>
      <c r="AK81" s="63">
        <f t="shared" ref="AK81:AK83" si="65">IF(AB81-AK$29&lt;0,0,AB81-AK$29)</f>
        <v>0.33903790230044067</v>
      </c>
      <c r="AL81" s="63">
        <f t="shared" ref="AL81:AL83" si="66">IF(AC81-AL$29&lt;0,0,AC81-AL$29)</f>
        <v>0.33653790230044067</v>
      </c>
      <c r="AO81" s="249" t="s">
        <v>110</v>
      </c>
      <c r="AP81" s="496">
        <f t="shared" si="59"/>
        <v>0.26</v>
      </c>
    </row>
    <row r="82" spans="1:56" ht="15" outlineLevel="1">
      <c r="A82" s="108" t="s">
        <v>964</v>
      </c>
      <c r="B82" s="30" t="s">
        <v>383</v>
      </c>
      <c r="C82" s="43" t="s">
        <v>233</v>
      </c>
      <c r="D82" s="43" t="s">
        <v>249</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09">
        <f>AI82*0.5</f>
        <v>4.2317876014337204E-3</v>
      </c>
      <c r="AK82" s="609">
        <f>AJ82*0.5</f>
        <v>2.1158938007168602E-3</v>
      </c>
      <c r="AL82" s="609">
        <v>0</v>
      </c>
      <c r="AO82" s="249" t="s">
        <v>110</v>
      </c>
      <c r="AP82" s="496">
        <f t="shared" si="59"/>
        <v>0.11</v>
      </c>
    </row>
    <row r="83" spans="1:56" s="165" customFormat="1" ht="15" outlineLevel="1">
      <c r="A83" s="108" t="s">
        <v>965</v>
      </c>
      <c r="B83" s="30" t="s">
        <v>345</v>
      </c>
      <c r="C83" s="43" t="s">
        <v>231</v>
      </c>
      <c r="D83" s="43" t="s">
        <v>249</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484</v>
      </c>
      <c r="AP83" s="496">
        <f t="shared" si="59"/>
        <v>0.44</v>
      </c>
      <c r="AQ83"/>
      <c r="AR83"/>
      <c r="AS83"/>
      <c r="AT83"/>
      <c r="AU83"/>
      <c r="AV83"/>
      <c r="AW83"/>
      <c r="AX83"/>
      <c r="AY83"/>
      <c r="AZ83"/>
      <c r="BA83"/>
      <c r="BB83"/>
      <c r="BC83"/>
      <c r="BD83"/>
    </row>
    <row r="84" spans="1:56" ht="15" outlineLevel="1">
      <c r="A84" s="108" t="s">
        <v>966</v>
      </c>
      <c r="B84" s="30" t="s">
        <v>346</v>
      </c>
      <c r="C84" s="43" t="s">
        <v>161</v>
      </c>
      <c r="D84" s="43" t="s">
        <v>249</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59"/>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0.95260734456142837</v>
      </c>
      <c r="AK85" s="533">
        <f t="shared" si="68"/>
        <v>0.94336005602192397</v>
      </c>
      <c r="AL85" s="533">
        <f t="shared" si="68"/>
        <v>0.93311276748241956</v>
      </c>
      <c r="AO85" s="534"/>
    </row>
    <row r="86" spans="1:56" s="232" customFormat="1" ht="15">
      <c r="A86" s="537" t="s">
        <v>967</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968</v>
      </c>
      <c r="B87" s="30" t="s">
        <v>347</v>
      </c>
      <c r="C87" s="43" t="s">
        <v>229</v>
      </c>
      <c r="D87" s="43" t="s">
        <v>250</v>
      </c>
      <c r="E87" s="494">
        <f>INDEX('Electrical efficiency'!$L$8:$L$23,MATCH(RES!D87,'Electrical efficiency'!$K$8:$K$23,0))</f>
        <v>0.94750000000000012</v>
      </c>
      <c r="F87" s="557">
        <v>1</v>
      </c>
      <c r="G87" s="557">
        <v>1</v>
      </c>
      <c r="H87" s="557">
        <f t="shared" ref="H87:H92" si="6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0">E87</f>
        <v>0.94750000000000012</v>
      </c>
      <c r="AQ87"/>
      <c r="AR87"/>
      <c r="AS87"/>
      <c r="AT87"/>
      <c r="AU87"/>
      <c r="AV87"/>
      <c r="AW87"/>
      <c r="AX87"/>
      <c r="AY87"/>
      <c r="AZ87"/>
      <c r="BA87"/>
      <c r="BB87"/>
      <c r="BC87"/>
      <c r="BD87"/>
    </row>
    <row r="88" spans="1:56" ht="15" outlineLevel="1">
      <c r="A88" s="108" t="s">
        <v>969</v>
      </c>
      <c r="B88" s="30" t="s">
        <v>348</v>
      </c>
      <c r="C88" s="43" t="s">
        <v>231</v>
      </c>
      <c r="D88" s="43" t="s">
        <v>250</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1">IF(W88-AF$29&lt;0,0,W88-AF$29)</f>
        <v>4.6160972192142415E-2</v>
      </c>
      <c r="AG88" s="63">
        <f t="shared" ref="AG88:AG89" si="72">IF(X88-AG$29&lt;0,0,X88-AG$29)</f>
        <v>4.540001607311199E-2</v>
      </c>
      <c r="AH88" s="63">
        <f t="shared" ref="AH88:AH89" si="73">IF(Y88-AH$29&lt;0,0,Y88-AH$29)</f>
        <v>3.8639059954081567E-2</v>
      </c>
      <c r="AI88" s="63">
        <f t="shared" ref="AI88:AI89" si="74">IF(Z88-AI$29&lt;0,0,Z88-AI$29)</f>
        <v>3.7878103835051143E-2</v>
      </c>
      <c r="AJ88" s="609">
        <f>AI88*0.5</f>
        <v>1.8939051917525571E-2</v>
      </c>
      <c r="AK88" s="609">
        <f>AJ88*0.5</f>
        <v>9.4695259587627856E-3</v>
      </c>
      <c r="AL88" s="609">
        <v>0</v>
      </c>
      <c r="AO88" s="179" t="s">
        <v>484</v>
      </c>
      <c r="AP88" s="496">
        <f t="shared" si="70"/>
        <v>0.73</v>
      </c>
      <c r="AR88" s="1" t="s">
        <v>1063</v>
      </c>
    </row>
    <row r="89" spans="1:56" ht="15" outlineLevel="1">
      <c r="A89" s="108" t="s">
        <v>970</v>
      </c>
      <c r="B89" s="30" t="s">
        <v>349</v>
      </c>
      <c r="C89" s="43" t="s">
        <v>232</v>
      </c>
      <c r="D89" s="43" t="s">
        <v>250</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ref="AJ89" si="75">IF(AA89-AJ$29&lt;0,0,AA89-AJ$29)</f>
        <v>0.29444741348032555</v>
      </c>
      <c r="AK89" s="63">
        <f t="shared" ref="AK89" si="76">IF(AB89-AK$29&lt;0,0,AB89-AK$29)</f>
        <v>0.29294741348032555</v>
      </c>
      <c r="AL89" s="63">
        <f>IF(AC89-AL$29&lt;0,0,AC89-AL$29)</f>
        <v>0.29044741348032554</v>
      </c>
      <c r="AO89" s="179" t="s">
        <v>484</v>
      </c>
      <c r="AP89" s="496">
        <f t="shared" si="70"/>
        <v>0.59</v>
      </c>
    </row>
    <row r="90" spans="1:56" ht="15" outlineLevel="1">
      <c r="A90" s="108" t="s">
        <v>971</v>
      </c>
      <c r="B90" s="30" t="s">
        <v>350</v>
      </c>
      <c r="C90" s="43" t="s">
        <v>233</v>
      </c>
      <c r="D90" s="43" t="s">
        <v>250</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0"/>
        <v>0.59</v>
      </c>
      <c r="AR90" s="1" t="s">
        <v>1062</v>
      </c>
    </row>
    <row r="91" spans="1:56" ht="15" outlineLevel="1">
      <c r="A91" s="108" t="s">
        <v>972</v>
      </c>
      <c r="B91" s="30" t="s">
        <v>351</v>
      </c>
      <c r="C91" s="43" t="s">
        <v>230</v>
      </c>
      <c r="D91" s="43" t="s">
        <v>250</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0"/>
        <v>0.79</v>
      </c>
    </row>
    <row r="92" spans="1:56" ht="15" outlineLevel="1">
      <c r="A92" s="108" t="s">
        <v>973</v>
      </c>
      <c r="B92" s="30" t="s">
        <v>352</v>
      </c>
      <c r="C92" s="43" t="s">
        <v>161</v>
      </c>
      <c r="D92" s="43" t="s">
        <v>250</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0"/>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7">SUM(W87:W92)</f>
        <v>1.025731603384495</v>
      </c>
      <c r="X93" s="532">
        <f t="shared" si="77"/>
        <v>1.0254957540396763</v>
      </c>
      <c r="Y93" s="532">
        <f t="shared" si="77"/>
        <v>1.0292599046948576</v>
      </c>
      <c r="Z93" s="532">
        <f t="shared" si="77"/>
        <v>1.064524055350039</v>
      </c>
      <c r="AA93" s="532">
        <f t="shared" si="77"/>
        <v>1.0997882060052202</v>
      </c>
      <c r="AB93" s="532">
        <f t="shared" si="77"/>
        <v>1.1797882060052203</v>
      </c>
      <c r="AC93" s="532">
        <f t="shared" si="77"/>
        <v>1.3397882060052202</v>
      </c>
      <c r="AD93" s="532"/>
      <c r="AE93" s="533">
        <f>SUM(AE87:AE92)</f>
        <v>0.99950000000000006</v>
      </c>
      <c r="AF93" s="533">
        <f t="shared" ref="AF93:AL93" si="78">SUM(AF87:AF92)</f>
        <v>0.99643470289509839</v>
      </c>
      <c r="AG93" s="533">
        <f t="shared" si="78"/>
        <v>0.99912707540998624</v>
      </c>
      <c r="AH93" s="533">
        <f t="shared" si="78"/>
        <v>0.98881944792487386</v>
      </c>
      <c r="AI93" s="533">
        <f t="shared" si="78"/>
        <v>0.99201182043976155</v>
      </c>
      <c r="AJ93" s="533">
        <f t="shared" si="78"/>
        <v>0.72724495706545333</v>
      </c>
      <c r="AK93" s="533">
        <f t="shared" si="78"/>
        <v>0.5936192340993639</v>
      </c>
      <c r="AL93" s="533">
        <f t="shared" si="78"/>
        <v>0.45899351113327458</v>
      </c>
      <c r="AO93" s="534"/>
    </row>
    <row r="94" spans="1:56" s="232" customFormat="1" ht="15">
      <c r="A94" s="555" t="s">
        <v>974</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975</v>
      </c>
      <c r="B95" s="30" t="s">
        <v>353</v>
      </c>
      <c r="C95" s="43" t="s">
        <v>229</v>
      </c>
      <c r="D95" s="43" t="s">
        <v>558</v>
      </c>
      <c r="E95" s="486">
        <f>'Electrical efficiency'!M13</f>
        <v>0.73684210526315785</v>
      </c>
      <c r="F95" s="557">
        <v>1</v>
      </c>
      <c r="G95" s="557">
        <v>1</v>
      </c>
      <c r="H95" s="557">
        <f>N95/F95*(1+$D$31)</f>
        <v>6.5390715339597021</v>
      </c>
      <c r="I95" s="576">
        <v>1E-3</v>
      </c>
      <c r="J95" s="486">
        <v>0</v>
      </c>
      <c r="K95" s="48"/>
      <c r="L95" s="485">
        <v>0.93</v>
      </c>
      <c r="M95" s="485">
        <f>IF(C95="","",SUMIFS(Energy_Balance!I$55:I$159,Energy_Balance!$C$55:$C$159,C95,Energy_Balance!$D$55:$D$159,D95)*L95)</f>
        <v>8.8744542246595959</v>
      </c>
      <c r="N95" s="485">
        <f>M95*E95</f>
        <v>6.5390715339597021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0.93099999999999994</v>
      </c>
      <c r="W95" s="63">
        <f>V95</f>
        <v>0.93099999999999994</v>
      </c>
      <c r="X95" s="63">
        <f t="shared" ref="X95:AC95" si="79">W95</f>
        <v>0.93099999999999994</v>
      </c>
      <c r="Y95" s="63">
        <f t="shared" si="79"/>
        <v>0.93099999999999994</v>
      </c>
      <c r="Z95" s="63">
        <f t="shared" si="79"/>
        <v>0.93099999999999994</v>
      </c>
      <c r="AA95" s="63">
        <f t="shared" si="79"/>
        <v>0.93099999999999994</v>
      </c>
      <c r="AB95" s="63">
        <f t="shared" si="79"/>
        <v>0.93099999999999994</v>
      </c>
      <c r="AC95" s="63">
        <f t="shared" si="79"/>
        <v>0.93099999999999994</v>
      </c>
      <c r="AD95" s="272"/>
      <c r="AE95" s="63">
        <f>(IFERROR(IF($N95/(SUMIF(RES!$D$39:$D$145,$D95,$N$39:$N$145))=1,1,($N95/(SUMIF(RES!$D$39:$D$145,$D95,$N$39:$N$145))-$AE$28)),0))</f>
        <v>0.92989999999999995</v>
      </c>
      <c r="AF95" s="63">
        <f>AE95</f>
        <v>0.92989999999999995</v>
      </c>
      <c r="AG95" s="63">
        <f t="shared" ref="AG95:AL97" si="80">AF95</f>
        <v>0.92989999999999995</v>
      </c>
      <c r="AH95" s="63">
        <f t="shared" si="80"/>
        <v>0.92989999999999995</v>
      </c>
      <c r="AI95" s="63">
        <f t="shared" si="80"/>
        <v>0.92989999999999995</v>
      </c>
      <c r="AJ95" s="63">
        <f t="shared" si="80"/>
        <v>0.92989999999999995</v>
      </c>
      <c r="AK95" s="63">
        <f t="shared" si="80"/>
        <v>0.92989999999999995</v>
      </c>
      <c r="AL95" s="63">
        <f t="shared" si="80"/>
        <v>0.92989999999999995</v>
      </c>
      <c r="AM95"/>
      <c r="AN95"/>
      <c r="AO95" s="249" t="s">
        <v>110</v>
      </c>
      <c r="AP95" s="496">
        <f>E95</f>
        <v>0.73684210526315785</v>
      </c>
      <c r="AQ95"/>
      <c r="AR95"/>
      <c r="AS95"/>
      <c r="AT95"/>
      <c r="AU95"/>
      <c r="AV95"/>
      <c r="AW95"/>
      <c r="AX95"/>
      <c r="AY95"/>
      <c r="AZ95"/>
      <c r="BA95"/>
      <c r="BB95"/>
      <c r="BC95"/>
      <c r="BD95"/>
    </row>
    <row r="96" spans="1:56" ht="15" outlineLevel="2">
      <c r="A96" s="556" t="s">
        <v>976</v>
      </c>
      <c r="B96" s="30" t="s">
        <v>354</v>
      </c>
      <c r="C96" s="43" t="s">
        <v>229</v>
      </c>
      <c r="D96" s="43" t="s">
        <v>558</v>
      </c>
      <c r="E96" s="486">
        <v>2.15</v>
      </c>
      <c r="F96" s="557">
        <v>1</v>
      </c>
      <c r="G96" s="557">
        <v>1</v>
      </c>
      <c r="H96" s="557">
        <f>N96/F96*(1+$D$31)</f>
        <v>0.49218817997546149</v>
      </c>
      <c r="I96" s="576">
        <v>1E-3</v>
      </c>
      <c r="J96" s="486">
        <v>0</v>
      </c>
      <c r="K96" s="48"/>
      <c r="L96" s="485">
        <v>7.0000000000000007E-2</v>
      </c>
      <c r="M96" s="485">
        <f>IF(C96="","",SUMIFS(Energy_Balance!I$55:I$159,Energy_Balance!$C$55:$C$159,C96,Energy_Balance!$D$55:$D$159,D96)*L96)</f>
        <v>0.66796967282384057</v>
      </c>
      <c r="N96" s="485">
        <f>N95*L96/L95</f>
        <v>0.49218817997546149</v>
      </c>
      <c r="O96" s="25"/>
      <c r="P96" s="603">
        <f>E96</f>
        <v>2.15</v>
      </c>
      <c r="Q96" s="360">
        <f>IF($AO96="","",($S96-$P96)*1/3+$P96)</f>
        <v>2.15</v>
      </c>
      <c r="R96" s="360">
        <f>IF($AO96="","",($S96-$P96)*2/3+$P96)</f>
        <v>2.15</v>
      </c>
      <c r="S96" s="360">
        <f>IF($AO96="","",IF($AO96="*",$AP96*(1+$P$29),E96))</f>
        <v>2.15</v>
      </c>
      <c r="T96" s="203"/>
      <c r="U96" s="272"/>
      <c r="V96" s="63">
        <f>(IFERROR(IF(N96/(SUMIF(RES!$D$39:$D$145,D96,$N$39:$N$145))=1,1,(N96/(SUMIF(RES!$D$39:$D$145,D96,$N$39:$N$145)))),0))</f>
        <v>7.0000000000000007E-2</v>
      </c>
      <c r="W96" s="63">
        <f>V96</f>
        <v>7.0000000000000007E-2</v>
      </c>
      <c r="X96" s="63">
        <f t="shared" ref="X96:AC96" si="81">W96</f>
        <v>7.0000000000000007E-2</v>
      </c>
      <c r="Y96" s="63">
        <f t="shared" si="81"/>
        <v>7.0000000000000007E-2</v>
      </c>
      <c r="Z96" s="63">
        <f t="shared" si="81"/>
        <v>7.0000000000000007E-2</v>
      </c>
      <c r="AA96" s="63">
        <f t="shared" si="81"/>
        <v>7.0000000000000007E-2</v>
      </c>
      <c r="AB96" s="63">
        <f t="shared" si="81"/>
        <v>7.0000000000000007E-2</v>
      </c>
      <c r="AC96" s="63">
        <f t="shared" si="81"/>
        <v>7.0000000000000007E-2</v>
      </c>
      <c r="AD96" s="272"/>
      <c r="AE96" s="63">
        <f>(IFERROR(IF($N96/(SUMIF(RES!$D$39:$D$145,$D96,$N$39:$N$145))=1,1,($N96/(SUMIF(RES!$D$39:$D$145,$D96,$N$39:$N$145))-$AE$28)),0))</f>
        <v>6.9900000000000004E-2</v>
      </c>
      <c r="AF96" s="63">
        <f>AE96</f>
        <v>6.9900000000000004E-2</v>
      </c>
      <c r="AG96" s="63">
        <f t="shared" si="80"/>
        <v>6.9900000000000004E-2</v>
      </c>
      <c r="AH96" s="63">
        <f t="shared" si="80"/>
        <v>6.9900000000000004E-2</v>
      </c>
      <c r="AI96" s="63">
        <f t="shared" si="80"/>
        <v>6.9900000000000004E-2</v>
      </c>
      <c r="AJ96" s="63">
        <f t="shared" si="80"/>
        <v>6.9900000000000004E-2</v>
      </c>
      <c r="AK96" s="63">
        <f t="shared" si="80"/>
        <v>6.9900000000000004E-2</v>
      </c>
      <c r="AL96" s="63">
        <f t="shared" si="80"/>
        <v>6.9900000000000004E-2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7.0312597139351638</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0.99979999999999991</v>
      </c>
      <c r="AF97" s="63">
        <f>AE97</f>
        <v>0.99979999999999991</v>
      </c>
      <c r="AG97" s="63">
        <f t="shared" si="80"/>
        <v>0.99979999999999991</v>
      </c>
      <c r="AH97" s="63">
        <f t="shared" si="80"/>
        <v>0.99979999999999991</v>
      </c>
      <c r="AI97" s="63">
        <f t="shared" si="80"/>
        <v>0.99979999999999991</v>
      </c>
      <c r="AJ97" s="63">
        <f t="shared" si="80"/>
        <v>0.99979999999999991</v>
      </c>
      <c r="AK97" s="63">
        <f t="shared" si="80"/>
        <v>0.99979999999999991</v>
      </c>
      <c r="AL97" s="63">
        <f t="shared" si="80"/>
        <v>0.99979999999999991</v>
      </c>
      <c r="AO97" s="534"/>
    </row>
    <row r="98" spans="1:56" s="232" customFormat="1" ht="15">
      <c r="A98" s="555" t="s">
        <v>977</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978</v>
      </c>
      <c r="B99" s="30" t="s">
        <v>433</v>
      </c>
      <c r="C99" s="43" t="s">
        <v>229</v>
      </c>
      <c r="D99" s="43" t="s">
        <v>251</v>
      </c>
      <c r="E99" s="486">
        <v>0.95</v>
      </c>
      <c r="F99" s="557">
        <v>1</v>
      </c>
      <c r="G99" s="557">
        <v>1</v>
      </c>
      <c r="H99" s="557">
        <f t="shared" ref="H99:H104" si="82">N99/F99*(1+$D$31)</f>
        <v>0</v>
      </c>
      <c r="I99" s="576">
        <v>1E-3</v>
      </c>
      <c r="J99" s="486">
        <v>0</v>
      </c>
      <c r="K99" s="48"/>
      <c r="L99" s="485">
        <v>1</v>
      </c>
      <c r="M99" s="485">
        <f>IF(C99="","",SUMIFS(Energy_Balance!I$55:I$159,Energy_Balance!$C$55:$C$159,C99,Energy_Balance!$D$55:$D$159,D99)*L99)</f>
        <v>0</v>
      </c>
      <c r="N99" s="485">
        <f>E99*M99</f>
        <v>0</v>
      </c>
      <c r="O99" s="25"/>
      <c r="P99" s="603">
        <f t="shared" ref="P99:P104" si="83">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84">E99</f>
        <v>0.95</v>
      </c>
      <c r="AQ99"/>
      <c r="AR99"/>
      <c r="AS99"/>
      <c r="AT99"/>
      <c r="AU99"/>
      <c r="AV99"/>
      <c r="AW99"/>
      <c r="AX99"/>
      <c r="AY99"/>
      <c r="AZ99"/>
      <c r="BA99"/>
      <c r="BB99"/>
      <c r="BC99"/>
      <c r="BD99"/>
    </row>
    <row r="100" spans="1:56" ht="15" outlineLevel="1">
      <c r="A100" s="108" t="s">
        <v>979</v>
      </c>
      <c r="B100" s="30" t="s">
        <v>355</v>
      </c>
      <c r="C100" s="43" t="s">
        <v>231</v>
      </c>
      <c r="D100" s="43" t="s">
        <v>251</v>
      </c>
      <c r="E100" s="486">
        <v>0.56999999999999995</v>
      </c>
      <c r="F100" s="557">
        <v>1</v>
      </c>
      <c r="G100" s="557">
        <v>1</v>
      </c>
      <c r="H100" s="557">
        <f t="shared" si="82"/>
        <v>1.195937030490883</v>
      </c>
      <c r="I100" s="576">
        <v>1E-3</v>
      </c>
      <c r="J100" s="486">
        <v>0</v>
      </c>
      <c r="K100" s="48"/>
      <c r="L100" s="485">
        <v>1</v>
      </c>
      <c r="M100" s="485">
        <f>IF(C100="","",SUMIFS(Energy_Balance!I$55:I$159,Energy_Balance!$C$55:$C$159,C100,Energy_Balance!$D$55:$D$159,D100)*L100)</f>
        <v>2.0981351412120754</v>
      </c>
      <c r="N100" s="485">
        <f t="shared" ref="N100:N134" si="85">E100*M100</f>
        <v>1.195937030490883</v>
      </c>
      <c r="O100" s="25"/>
      <c r="P100" s="603">
        <f t="shared" si="83"/>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86">IF(X100-AG$29&lt;0,0,X100-AG$29*2)</f>
        <v>0.27078249559468381</v>
      </c>
      <c r="AH100" s="63">
        <f t="shared" si="86"/>
        <v>0.25777352076058524</v>
      </c>
      <c r="AI100" s="63">
        <f t="shared" si="86"/>
        <v>0.25726454592648673</v>
      </c>
      <c r="AJ100" s="609">
        <f>AI100*0.5</f>
        <v>0.12863227296324337</v>
      </c>
      <c r="AK100" s="609">
        <f>AJ100*0.5</f>
        <v>6.4316136481621683E-2</v>
      </c>
      <c r="AL100" s="609">
        <v>0</v>
      </c>
      <c r="AO100" s="179" t="s">
        <v>484</v>
      </c>
      <c r="AP100" s="496">
        <f t="shared" si="84"/>
        <v>0.56999999999999995</v>
      </c>
    </row>
    <row r="101" spans="1:56" ht="15" outlineLevel="1">
      <c r="A101" s="108" t="s">
        <v>980</v>
      </c>
      <c r="B101" s="30" t="s">
        <v>356</v>
      </c>
      <c r="C101" s="43" t="s">
        <v>232</v>
      </c>
      <c r="D101" s="43" t="s">
        <v>251</v>
      </c>
      <c r="E101" s="486">
        <v>0.25</v>
      </c>
      <c r="F101" s="557">
        <v>1</v>
      </c>
      <c r="G101" s="557">
        <v>1</v>
      </c>
      <c r="H101" s="557">
        <f t="shared" si="82"/>
        <v>1.5288042050703874</v>
      </c>
      <c r="I101" s="576">
        <v>1E-3</v>
      </c>
      <c r="J101" s="486">
        <v>0</v>
      </c>
      <c r="K101" s="48"/>
      <c r="L101" s="485">
        <v>1</v>
      </c>
      <c r="M101" s="485">
        <f>IF(C101="","",SUMIFS(Energy_Balance!I$55:I$159,Energy_Balance!$C$55:$C$159,C101,Energy_Balance!$D$55:$D$159,D101)*L101)</f>
        <v>6.1152168202815496</v>
      </c>
      <c r="N101" s="485">
        <f t="shared" si="85"/>
        <v>1.5288042050703874</v>
      </c>
      <c r="O101" s="25"/>
      <c r="P101" s="603">
        <f t="shared" si="83"/>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87">IF(X101-AG$29&lt;0,0,X101-AG$29*2)</f>
        <v>0.3469848615902375</v>
      </c>
      <c r="AH101" s="63">
        <f t="shared" ref="AH101:AH102" si="88">IF(Y101-AH$29&lt;0,0,Y101-AH$29*2)</f>
        <v>0.33397339786545749</v>
      </c>
      <c r="AI101" s="63">
        <f t="shared" ref="AI101:AI102" si="89">IF(Z101-AI$29&lt;0,0,Z101-AI$29*2)</f>
        <v>0.33346193414067743</v>
      </c>
      <c r="AJ101" s="63">
        <f t="shared" ref="AJ101:AJ102" si="90">IF(AA101-AJ$29&lt;0,0,AA101-AJ$29*2)</f>
        <v>0.32895047041589742</v>
      </c>
      <c r="AK101" s="63">
        <f t="shared" ref="AK101:AK102" si="91">IF(AB101-AK$29&lt;0,0,AB101-AK$29*2)</f>
        <v>0.32595047041589742</v>
      </c>
      <c r="AL101" s="63">
        <f t="shared" ref="AL101" si="92">IF(AC101-AL$29&lt;0,0,AC101-AL$29*2)</f>
        <v>0.32095047041589742</v>
      </c>
      <c r="AO101" s="179" t="s">
        <v>484</v>
      </c>
      <c r="AP101" s="496">
        <f t="shared" si="84"/>
        <v>0.25</v>
      </c>
    </row>
    <row r="102" spans="1:56" s="14" customFormat="1" ht="15" outlineLevel="1">
      <c r="A102" s="246" t="s">
        <v>981</v>
      </c>
      <c r="B102" s="246" t="s">
        <v>384</v>
      </c>
      <c r="C102" s="247" t="s">
        <v>233</v>
      </c>
      <c r="D102" s="247" t="s">
        <v>251</v>
      </c>
      <c r="E102" s="486">
        <v>0.25</v>
      </c>
      <c r="F102" s="557">
        <v>1</v>
      </c>
      <c r="G102" s="557">
        <v>1</v>
      </c>
      <c r="H102" s="557">
        <f t="shared" si="82"/>
        <v>0.24320202488889708</v>
      </c>
      <c r="I102" s="576">
        <v>1E-3</v>
      </c>
      <c r="J102" s="486">
        <v>0</v>
      </c>
      <c r="K102" s="48"/>
      <c r="L102" s="485">
        <v>1</v>
      </c>
      <c r="M102" s="485">
        <f>IF(C102="","",SUMIFS(Energy_Balance!I$55:I$159,Energy_Balance!$C$55:$C$159,C102,Energy_Balance!$D$55:$D$159,D102)*L102)</f>
        <v>0.97280809955558833</v>
      </c>
      <c r="N102" s="485">
        <f t="shared" ref="N102" si="93">E102*M102</f>
        <v>0.24320202488889708</v>
      </c>
      <c r="O102" s="25"/>
      <c r="P102" s="603">
        <f t="shared" si="83"/>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87"/>
        <v>5.2675493348603282E-2</v>
      </c>
      <c r="AH102" s="63">
        <f t="shared" si="88"/>
        <v>3.9673642236693271E-2</v>
      </c>
      <c r="AI102" s="63">
        <f t="shared" si="89"/>
        <v>3.9171791124783265E-2</v>
      </c>
      <c r="AJ102" s="63">
        <f t="shared" si="90"/>
        <v>3.4669940012873261E-2</v>
      </c>
      <c r="AK102" s="63">
        <f t="shared" si="91"/>
        <v>3.1669940012873259E-2</v>
      </c>
      <c r="AL102" s="609">
        <v>0</v>
      </c>
      <c r="AM102"/>
      <c r="AN102"/>
      <c r="AO102" s="179" t="s">
        <v>484</v>
      </c>
      <c r="AP102" s="496">
        <f t="shared" si="84"/>
        <v>0.25</v>
      </c>
      <c r="AQ102"/>
      <c r="AS102"/>
      <c r="AT102"/>
      <c r="AU102"/>
      <c r="AV102"/>
      <c r="AW102"/>
      <c r="AX102"/>
      <c r="AY102"/>
      <c r="AZ102"/>
      <c r="BA102"/>
      <c r="BB102"/>
      <c r="BC102"/>
      <c r="BD102"/>
    </row>
    <row r="103" spans="1:56" ht="15" outlineLevel="1">
      <c r="A103" s="108" t="s">
        <v>982</v>
      </c>
      <c r="B103" s="30" t="s">
        <v>357</v>
      </c>
      <c r="C103" s="43" t="s">
        <v>230</v>
      </c>
      <c r="D103" s="43" t="s">
        <v>251</v>
      </c>
      <c r="E103" s="486">
        <v>0.61</v>
      </c>
      <c r="F103" s="557">
        <v>1</v>
      </c>
      <c r="G103" s="557">
        <v>1</v>
      </c>
      <c r="H103" s="557">
        <f t="shared" si="82"/>
        <v>1.3999214778309128</v>
      </c>
      <c r="I103" s="576">
        <v>1E-3</v>
      </c>
      <c r="J103" s="486">
        <v>0</v>
      </c>
      <c r="K103" s="48"/>
      <c r="L103" s="485">
        <v>1</v>
      </c>
      <c r="M103" s="485">
        <f>IF(C103="","",SUMIFS(Energy_Balance!I$55:I$159,Energy_Balance!$C$55:$C$159,C103,Energy_Balance!$D$55:$D$159,D103)*L103)</f>
        <v>2.2949532423457586</v>
      </c>
      <c r="N103" s="485">
        <f t="shared" si="85"/>
        <v>1.3999214778309128</v>
      </c>
      <c r="O103" s="25"/>
      <c r="P103" s="603">
        <f t="shared" si="83"/>
        <v>0.61</v>
      </c>
      <c r="Q103" s="360">
        <f>IF($AO103="","",($R103-$AP103)*15/25+$AP103)</f>
        <v>0.61</v>
      </c>
      <c r="R103" s="360">
        <f>IF($AO103="","",IF($AO103="*",$AP103*(1+$P$29),E103))</f>
        <v>0.61</v>
      </c>
      <c r="S103" s="360">
        <f t="shared" ref="S103:S104" si="9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84"/>
        <v>0.61</v>
      </c>
      <c r="AR103" s="1" t="s">
        <v>1062</v>
      </c>
    </row>
    <row r="104" spans="1:56" s="157" customFormat="1" ht="17.100000000000001" customHeight="1" outlineLevel="1">
      <c r="A104" s="108" t="s">
        <v>983</v>
      </c>
      <c r="B104" s="30" t="s">
        <v>358</v>
      </c>
      <c r="C104" s="43" t="s">
        <v>161</v>
      </c>
      <c r="D104" s="43" t="s">
        <v>251</v>
      </c>
      <c r="E104" s="486">
        <v>0.86</v>
      </c>
      <c r="F104" s="557">
        <v>1</v>
      </c>
      <c r="G104" s="557">
        <v>1</v>
      </c>
      <c r="H104" s="557">
        <f t="shared" si="82"/>
        <v>0</v>
      </c>
      <c r="I104" s="576">
        <v>1E-3</v>
      </c>
      <c r="J104" s="486">
        <v>0</v>
      </c>
      <c r="K104" s="48"/>
      <c r="L104" s="485">
        <v>0</v>
      </c>
      <c r="M104" s="485">
        <f>IF(C104="","",SUMIFS(Energy_Balance!I$55:I$159,Energy_Balance!$C$55:$C$159,C104,Energy_Balance!$D$55:$D$159,D104)*L104)</f>
        <v>0</v>
      </c>
      <c r="N104" s="485">
        <f t="shared" si="85"/>
        <v>0</v>
      </c>
      <c r="O104" s="25"/>
      <c r="P104" s="603">
        <f t="shared" si="83"/>
        <v>0.86</v>
      </c>
      <c r="Q104" s="360">
        <f>IF($AO104="","",($R104-$AP104)*15/25+$AP104)</f>
        <v>0.86</v>
      </c>
      <c r="R104" s="360">
        <f>IF($AO104="","",IF($AO104="*",$AP104*(1+$P$29),E104))</f>
        <v>0.86</v>
      </c>
      <c r="S104" s="360">
        <f t="shared" si="9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95">AI104</f>
        <v>0</v>
      </c>
      <c r="AK104" s="50">
        <f t="shared" si="95"/>
        <v>0</v>
      </c>
      <c r="AL104" s="50">
        <f t="shared" si="95"/>
        <v>0</v>
      </c>
      <c r="AM104"/>
      <c r="AN104"/>
      <c r="AO104" s="179" t="s">
        <v>484</v>
      </c>
      <c r="AP104" s="496">
        <f t="shared" si="84"/>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96">SUM(W99:W104)</f>
        <v>1.0280438252281647</v>
      </c>
      <c r="X105" s="533">
        <f t="shared" si="96"/>
        <v>1.0230762883601385</v>
      </c>
      <c r="Y105" s="533">
        <f t="shared" si="96"/>
        <v>1.0241087514921121</v>
      </c>
      <c r="Z105" s="533">
        <f t="shared" si="96"/>
        <v>1.0561412146240861</v>
      </c>
      <c r="AA105" s="533">
        <f t="shared" si="96"/>
        <v>1.0861736777560596</v>
      </c>
      <c r="AB105" s="533">
        <f t="shared" si="96"/>
        <v>1.1661736777560596</v>
      </c>
      <c r="AC105" s="533">
        <f t="shared" si="96"/>
        <v>1.3261736777560595</v>
      </c>
      <c r="AD105" s="533"/>
      <c r="AE105" s="533">
        <f>SUM(AE99:AE104)</f>
        <v>0.99960000000000004</v>
      </c>
      <c r="AF105" s="533">
        <f t="shared" ref="AF105:AL105" si="97">SUM(AF99:AF104)</f>
        <v>0.98895573387416791</v>
      </c>
      <c r="AG105" s="533">
        <f t="shared" si="97"/>
        <v>0.98992294415132931</v>
      </c>
      <c r="AH105" s="533">
        <f t="shared" si="97"/>
        <v>0.95089015442849045</v>
      </c>
      <c r="AI105" s="533">
        <f t="shared" si="97"/>
        <v>0.94885736470565196</v>
      </c>
      <c r="AJ105" s="533">
        <f t="shared" si="97"/>
        <v>0.65173223014886628</v>
      </c>
      <c r="AK105" s="533">
        <f t="shared" si="97"/>
        <v>0.50167632028881848</v>
      </c>
      <c r="AL105" s="533">
        <f t="shared" si="97"/>
        <v>0.32095047041589742</v>
      </c>
    </row>
    <row r="106" spans="1:56" s="232" customFormat="1" ht="15">
      <c r="A106" s="537" t="s">
        <v>984</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985</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85"/>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98">W107</f>
        <v>1</v>
      </c>
      <c r="Y107" s="50">
        <f t="shared" si="98"/>
        <v>1</v>
      </c>
      <c r="Z107" s="50">
        <f t="shared" si="98"/>
        <v>1</v>
      </c>
      <c r="AA107" s="50">
        <f t="shared" si="98"/>
        <v>1</v>
      </c>
      <c r="AB107" s="50">
        <f t="shared" si="98"/>
        <v>1</v>
      </c>
      <c r="AC107" s="50">
        <f t="shared" si="98"/>
        <v>1</v>
      </c>
      <c r="AD107" s="50"/>
      <c r="AE107" s="272">
        <f>(IFERROR(IF($N107/(SUMIF(RES!$D$39:$D$145,$D107,$N$39:$N$145))=1,1,($N107/(SUMIF(RES!$D$39:$D$145,$D107,$N$39:$N$145))-$AE$28)),0))</f>
        <v>1</v>
      </c>
      <c r="AF107" s="50">
        <f>AE107</f>
        <v>1</v>
      </c>
      <c r="AG107" s="50">
        <f t="shared" ref="AG107:AL107" si="99">AF107</f>
        <v>1</v>
      </c>
      <c r="AH107" s="50">
        <f t="shared" si="99"/>
        <v>1</v>
      </c>
      <c r="AI107" s="50">
        <f t="shared" si="99"/>
        <v>1</v>
      </c>
      <c r="AJ107" s="50">
        <f t="shared" si="99"/>
        <v>1</v>
      </c>
      <c r="AK107" s="50">
        <f t="shared" si="99"/>
        <v>1</v>
      </c>
      <c r="AL107" s="50">
        <f t="shared" si="99"/>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986</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987</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85"/>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00">W110</f>
        <v>1</v>
      </c>
      <c r="Y110" s="50">
        <f t="shared" si="100"/>
        <v>1</v>
      </c>
      <c r="Z110" s="50">
        <f t="shared" si="100"/>
        <v>1</v>
      </c>
      <c r="AA110" s="50">
        <f t="shared" si="100"/>
        <v>1</v>
      </c>
      <c r="AB110" s="50">
        <f t="shared" si="100"/>
        <v>1</v>
      </c>
      <c r="AC110" s="50">
        <f t="shared" si="100"/>
        <v>1</v>
      </c>
      <c r="AD110" s="50"/>
      <c r="AE110" s="272">
        <f>(IFERROR(IF($N110/(SUMIF(RES!$D$39:$D$145,$D110,$N$39:$N$145))=1,1,($N110/(SUMIF(RES!$D$39:$D$145,$D110,$N$39:$N$145))-$AE$28)),0))</f>
        <v>1</v>
      </c>
      <c r="AF110" s="50">
        <f>AE110</f>
        <v>1</v>
      </c>
      <c r="AG110" s="50">
        <f t="shared" ref="AG110:AL111" si="101">AF110</f>
        <v>1</v>
      </c>
      <c r="AH110" s="50">
        <f t="shared" si="101"/>
        <v>1</v>
      </c>
      <c r="AI110" s="50">
        <f t="shared" si="101"/>
        <v>1</v>
      </c>
      <c r="AJ110" s="50">
        <f t="shared" si="101"/>
        <v>1</v>
      </c>
      <c r="AK110" s="50">
        <f t="shared" si="101"/>
        <v>1</v>
      </c>
      <c r="AL110" s="50">
        <f t="shared" si="101"/>
        <v>1</v>
      </c>
      <c r="AM110"/>
      <c r="AN110"/>
      <c r="AO110" s="249" t="s">
        <v>110</v>
      </c>
      <c r="AP110" s="496">
        <f>E110</f>
        <v>0.8</v>
      </c>
      <c r="AQ110"/>
      <c r="AR110"/>
      <c r="AS110"/>
      <c r="AT110"/>
      <c r="AU110"/>
      <c r="AV110"/>
      <c r="AW110"/>
      <c r="AX110"/>
      <c r="AY110"/>
      <c r="AZ110"/>
      <c r="BA110"/>
      <c r="BB110"/>
      <c r="BC110"/>
      <c r="BD110"/>
    </row>
    <row r="111" spans="1:56" ht="15" outlineLevel="1">
      <c r="A111" s="108" t="s">
        <v>988</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85"/>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1"/>
        <v>0</v>
      </c>
      <c r="AK111" s="50">
        <f t="shared" si="101"/>
        <v>0</v>
      </c>
      <c r="AL111" s="50">
        <f t="shared" si="101"/>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989</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990</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85"/>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2">W114</f>
        <v>1</v>
      </c>
      <c r="Y114" s="50">
        <f t="shared" si="102"/>
        <v>1</v>
      </c>
      <c r="Z114" s="50">
        <f t="shared" si="102"/>
        <v>1</v>
      </c>
      <c r="AA114" s="50">
        <f t="shared" si="102"/>
        <v>1</v>
      </c>
      <c r="AB114" s="50">
        <f t="shared" si="102"/>
        <v>1</v>
      </c>
      <c r="AC114" s="50">
        <f t="shared" si="102"/>
        <v>1</v>
      </c>
      <c r="AD114" s="50"/>
      <c r="AE114" s="272">
        <f>(IFERROR(IF($N114/(SUMIF(RES!$D$39:$D$145,$D114,$N$39:$N$145))=1,1,($N114/(SUMIF(RES!$D$39:$D$145,$D114,$N$39:$N$145))-$AE$28)),0))</f>
        <v>1</v>
      </c>
      <c r="AF114" s="50">
        <f>AE114</f>
        <v>1</v>
      </c>
      <c r="AG114" s="50">
        <f t="shared" ref="AG114:AL114" si="103">AF114</f>
        <v>1</v>
      </c>
      <c r="AH114" s="50">
        <f t="shared" si="103"/>
        <v>1</v>
      </c>
      <c r="AI114" s="50">
        <f t="shared" si="103"/>
        <v>1</v>
      </c>
      <c r="AJ114" s="50">
        <f t="shared" si="103"/>
        <v>1</v>
      </c>
      <c r="AK114" s="50">
        <f t="shared" si="103"/>
        <v>1</v>
      </c>
      <c r="AL114" s="50">
        <f t="shared" si="103"/>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991</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992</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85"/>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04">AF117</f>
        <v>0.76842326723832044</v>
      </c>
      <c r="AH117" s="63">
        <f t="shared" si="104"/>
        <v>0.76842326723832044</v>
      </c>
      <c r="AI117" s="63">
        <f t="shared" si="104"/>
        <v>0.76842326723832044</v>
      </c>
      <c r="AJ117" s="63">
        <f t="shared" si="104"/>
        <v>0.76842326723832044</v>
      </c>
      <c r="AK117" s="63">
        <f t="shared" si="104"/>
        <v>0.76842326723832044</v>
      </c>
      <c r="AL117" s="63">
        <f t="shared" si="104"/>
        <v>0.76842326723832044</v>
      </c>
      <c r="AO117" s="249" t="s">
        <v>110</v>
      </c>
      <c r="AP117" s="496">
        <f>E117</f>
        <v>0.65</v>
      </c>
    </row>
    <row r="118" spans="1:56" ht="15" outlineLevel="1">
      <c r="A118" s="108" t="s">
        <v>993</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85"/>
        <v>1.4637478554990577</v>
      </c>
      <c r="O118" s="25"/>
      <c r="P118" s="603">
        <f>E118</f>
        <v>0.61</v>
      </c>
      <c r="Q118" s="360">
        <f t="shared" ref="Q118:Q123" si="105">IF($AO118="","",($R118-$AP118)*15/25+$AP118)</f>
        <v>0.61</v>
      </c>
      <c r="R118" s="360">
        <f t="shared" ref="R118:R123" si="106">IF($AO118="","",IF($AO118="*",$AP118*(1+$P$29),E118))</f>
        <v>0.61</v>
      </c>
      <c r="S118" s="360">
        <f t="shared" ref="S118:S121" si="10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04"/>
        <v>0.19170697152543015</v>
      </c>
      <c r="AH118" s="63">
        <f t="shared" si="104"/>
        <v>0.19170697152543015</v>
      </c>
      <c r="AI118" s="63">
        <f t="shared" si="104"/>
        <v>0.19170697152543015</v>
      </c>
      <c r="AJ118" s="609">
        <f>AI118*0.5</f>
        <v>9.5853485762715074E-2</v>
      </c>
      <c r="AK118" s="609">
        <f>AJ118*0.5</f>
        <v>4.7926742881357537E-2</v>
      </c>
      <c r="AL118" s="609">
        <v>0</v>
      </c>
      <c r="AO118" s="21" t="s">
        <v>484</v>
      </c>
      <c r="AP118" s="496">
        <f>E118</f>
        <v>0.61</v>
      </c>
    </row>
    <row r="119" spans="1:56" ht="15" outlineLevel="1">
      <c r="A119" s="108" t="s">
        <v>994</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85"/>
        <v>0.25832187230590387</v>
      </c>
      <c r="O119" s="25"/>
      <c r="P119" s="603">
        <f>E119</f>
        <v>0.26</v>
      </c>
      <c r="Q119" s="360">
        <f t="shared" si="105"/>
        <v>0.26</v>
      </c>
      <c r="R119" s="360">
        <f t="shared" si="106"/>
        <v>0.26</v>
      </c>
      <c r="S119" s="360">
        <f t="shared" si="10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08">W119*0.9</f>
        <v>2.8271423925326739E-2</v>
      </c>
      <c r="Y119" s="63">
        <f t="shared" si="108"/>
        <v>2.5444281532794065E-2</v>
      </c>
      <c r="Z119" s="63">
        <f t="shared" si="108"/>
        <v>2.2899853379514661E-2</v>
      </c>
      <c r="AA119" s="63">
        <f t="shared" si="108"/>
        <v>2.0609868041563194E-2</v>
      </c>
      <c r="AB119" s="63">
        <f t="shared" si="108"/>
        <v>1.8548881237406875E-2</v>
      </c>
      <c r="AC119" s="63">
        <f t="shared" si="108"/>
        <v>1.6693993113666188E-2</v>
      </c>
      <c r="AD119" s="63"/>
      <c r="AE119" s="63">
        <f>(IFERROR(IF($N119/(SUMIF(RES!$D$39:$D$145,$D119,$N$39:$N$145))=1,1,($N119/(SUMIF(RES!$D$39:$D$145,$D119,$N$39:$N$145)))),0))-AE$29</f>
        <v>3.3802992500403375E-2</v>
      </c>
      <c r="AF119" s="63">
        <f>AE119*0.7</f>
        <v>2.3662094750282362E-2</v>
      </c>
      <c r="AG119" s="63">
        <f t="shared" ref="AG119:AL120" si="109">AF119*0.7</f>
        <v>1.6563466325197652E-2</v>
      </c>
      <c r="AH119" s="63">
        <f t="shared" si="109"/>
        <v>1.1594426427638357E-2</v>
      </c>
      <c r="AI119" s="63">
        <f t="shared" si="109"/>
        <v>8.116098499346849E-3</v>
      </c>
      <c r="AJ119" s="63">
        <f t="shared" si="109"/>
        <v>5.681268949542794E-3</v>
      </c>
      <c r="AK119" s="63">
        <f t="shared" si="109"/>
        <v>3.9768882646799555E-3</v>
      </c>
      <c r="AL119" s="63">
        <f t="shared" si="109"/>
        <v>2.7838217852759685E-3</v>
      </c>
      <c r="AO119" s="249" t="s">
        <v>110</v>
      </c>
      <c r="AP119" s="496">
        <f>E119</f>
        <v>0.26</v>
      </c>
    </row>
    <row r="120" spans="1:56" s="165" customFormat="1" ht="15" outlineLevel="1">
      <c r="A120" s="108" t="s">
        <v>995</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85"/>
        <v>4.1653725266001668E-2</v>
      </c>
      <c r="O120" s="25"/>
      <c r="P120" s="603">
        <f>E120</f>
        <v>0.45</v>
      </c>
      <c r="Q120" s="360">
        <f t="shared" si="105"/>
        <v>0.45</v>
      </c>
      <c r="R120" s="360">
        <f t="shared" si="106"/>
        <v>0.45</v>
      </c>
      <c r="S120" s="360">
        <f t="shared" si="10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0">W120*0.9</f>
        <v>5.238082676035258E-3</v>
      </c>
      <c r="Y120" s="63">
        <f t="shared" si="110"/>
        <v>4.7142744084317321E-3</v>
      </c>
      <c r="Z120" s="63">
        <f t="shared" si="110"/>
        <v>4.2428469675885594E-3</v>
      </c>
      <c r="AA120" s="63">
        <f t="shared" si="110"/>
        <v>3.8185622708297035E-3</v>
      </c>
      <c r="AB120" s="63">
        <f t="shared" si="110"/>
        <v>3.4367060437467331E-3</v>
      </c>
      <c r="AC120" s="63">
        <f t="shared" si="110"/>
        <v>3.0930354393720601E-3</v>
      </c>
      <c r="AD120" s="63"/>
      <c r="AE120" s="63">
        <f>(IFERROR(IF($N120/(SUMIF(RES!$D$39:$D$145,$D120,$N$39:$N$145))=1,1,($N120/(SUMIF(RES!$D$39:$D$145,$D120,$N$39:$N$145)))),0))-AE$29</f>
        <v>5.366768735845997E-3</v>
      </c>
      <c r="AF120" s="63">
        <f>AE120*0.7</f>
        <v>3.7567381150921978E-3</v>
      </c>
      <c r="AG120" s="63">
        <f t="shared" si="109"/>
        <v>2.6297166805645381E-3</v>
      </c>
      <c r="AH120" s="63">
        <f t="shared" si="109"/>
        <v>1.8408016763951766E-3</v>
      </c>
      <c r="AI120" s="63">
        <f t="shared" si="109"/>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996</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85"/>
        <v>0</v>
      </c>
      <c r="O121" s="25"/>
      <c r="P121" s="603">
        <f>E121</f>
        <v>0.9</v>
      </c>
      <c r="Q121" s="360">
        <f t="shared" si="105"/>
        <v>0.9</v>
      </c>
      <c r="R121" s="360">
        <f t="shared" si="106"/>
        <v>0.9</v>
      </c>
      <c r="S121" s="360">
        <f t="shared" si="10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05"/>
        <v/>
      </c>
      <c r="R122" s="530" t="str">
        <f t="shared" si="106"/>
        <v/>
      </c>
      <c r="S122" s="530" t="str">
        <f>IF(G122="","",IF(COUNTIF(#REF!,$B122)=1,SUMIF(#REF!,RES!$B122,#REF!),SUMIF(#REF!,RES!$B122,#REF!)))</f>
        <v/>
      </c>
      <c r="T122" s="531"/>
      <c r="U122" s="532"/>
      <c r="V122" s="533">
        <f t="shared" ref="V122:AC122" si="111">SUM(V117:V121)</f>
        <v>1.004</v>
      </c>
      <c r="W122" s="533">
        <f t="shared" si="111"/>
        <v>1.0437627244418257</v>
      </c>
      <c r="X122" s="533">
        <f t="shared" si="111"/>
        <v>1.0736966315346008</v>
      </c>
      <c r="Y122" s="533">
        <f t="shared" si="111"/>
        <v>1.1025028664785019</v>
      </c>
      <c r="Z122" s="533">
        <f t="shared" si="111"/>
        <v>1.1563941964884172</v>
      </c>
      <c r="AA122" s="533">
        <f t="shared" si="111"/>
        <v>1.2150871120577444</v>
      </c>
      <c r="AB122" s="533">
        <f t="shared" si="111"/>
        <v>1.272644269026505</v>
      </c>
      <c r="AC122" s="533">
        <f t="shared" si="111"/>
        <v>1.3266010897248324</v>
      </c>
      <c r="AD122" s="532"/>
      <c r="AE122" s="533">
        <f>SUM(AE117:AE121)</f>
        <v>0.99929999999999997</v>
      </c>
      <c r="AF122" s="533">
        <f t="shared" ref="AF122:AL122" si="112">SUM(AF117:AF121)</f>
        <v>0.9875490716291252</v>
      </c>
      <c r="AG122" s="533">
        <f t="shared" si="112"/>
        <v>0.97932342176951281</v>
      </c>
      <c r="AH122" s="533">
        <f t="shared" si="112"/>
        <v>0.97356546686778411</v>
      </c>
      <c r="AI122" s="533">
        <f t="shared" si="112"/>
        <v>0.96953489843657403</v>
      </c>
      <c r="AJ122" s="533">
        <f t="shared" si="112"/>
        <v>0.87060230253731663</v>
      </c>
      <c r="AK122" s="533">
        <f t="shared" si="112"/>
        <v>0.82064903867772709</v>
      </c>
      <c r="AL122" s="533">
        <f t="shared" si="112"/>
        <v>0.77120708902359636</v>
      </c>
      <c r="AO122" s="534"/>
    </row>
    <row r="123" spans="1:56" s="232" customFormat="1" ht="15">
      <c r="A123" s="537" t="s">
        <v>997</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05"/>
        <v/>
      </c>
      <c r="R123" s="552" t="str">
        <f t="shared" si="10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998</v>
      </c>
      <c r="B124" s="30" t="s">
        <v>368</v>
      </c>
      <c r="C124" s="43" t="s">
        <v>229</v>
      </c>
      <c r="D124" s="43" t="s">
        <v>239</v>
      </c>
      <c r="E124" s="494">
        <f>INDEX('Electrical efficiency'!$L$8:$L$23,MATCH(RES!D124,'Electrical efficiency'!$K$8:$K$23,0))</f>
        <v>0.97249999999999992</v>
      </c>
      <c r="F124" s="557">
        <v>1</v>
      </c>
      <c r="G124" s="557">
        <v>1</v>
      </c>
      <c r="H124" s="557">
        <f t="shared" ref="H124:H129" si="113">N124/F124*(1+$D$31)</f>
        <v>2.5361920228237675</v>
      </c>
      <c r="I124" s="576">
        <v>1E-3</v>
      </c>
      <c r="J124" s="486">
        <v>0</v>
      </c>
      <c r="K124" s="48" t="s">
        <v>889</v>
      </c>
      <c r="L124" s="485">
        <v>1</v>
      </c>
      <c r="M124" s="485">
        <f>IF(C124="","",SUMIFS(Energy_Balance!I$55:I$159,Energy_Balance!$C$55:$C$159,C124,Energy_Balance!$D$55:$D$159,D124)*L124)</f>
        <v>2.6079095350372934</v>
      </c>
      <c r="N124" s="485">
        <f t="shared" si="85"/>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14">H124/SUM($H$124:$H$129)</f>
        <v>0.49024842226363902</v>
      </c>
      <c r="AO124" s="249" t="s">
        <v>110</v>
      </c>
      <c r="AP124" s="496">
        <f t="shared" ref="AP124:AP129" si="115">E124</f>
        <v>0.97249999999999992</v>
      </c>
      <c r="AQ124"/>
      <c r="AR124"/>
      <c r="AS124"/>
      <c r="AT124"/>
      <c r="AU124"/>
      <c r="AV124"/>
      <c r="AW124"/>
      <c r="AX124"/>
      <c r="AY124"/>
      <c r="AZ124"/>
      <c r="BA124"/>
      <c r="BB124"/>
      <c r="BC124"/>
      <c r="BD124"/>
    </row>
    <row r="125" spans="1:56" ht="15" outlineLevel="1">
      <c r="A125" s="108" t="s">
        <v>999</v>
      </c>
      <c r="B125" s="30" t="s">
        <v>369</v>
      </c>
      <c r="C125" s="43" t="s">
        <v>231</v>
      </c>
      <c r="D125" s="43" t="s">
        <v>239</v>
      </c>
      <c r="E125" s="486">
        <v>0.73</v>
      </c>
      <c r="F125" s="557">
        <v>1</v>
      </c>
      <c r="G125" s="557">
        <v>1</v>
      </c>
      <c r="H125" s="557">
        <f t="shared" si="113"/>
        <v>1.8604840393153063E-2</v>
      </c>
      <c r="I125" s="576">
        <v>1E-3</v>
      </c>
      <c r="J125" s="486">
        <v>0</v>
      </c>
      <c r="K125" s="48"/>
      <c r="L125" s="485">
        <v>1</v>
      </c>
      <c r="M125" s="485">
        <f>IF(C125="","",SUMIFS(Energy_Balance!I$55:I$159,Energy_Balance!$C$55:$C$159,C125,Energy_Balance!$D$55:$D$159,D125)*L125)</f>
        <v>2.5486082730346662E-2</v>
      </c>
      <c r="N125" s="485">
        <f t="shared" si="85"/>
        <v>1.8604840393153063E-2</v>
      </c>
      <c r="O125" s="25"/>
      <c r="P125" s="603">
        <f>E125</f>
        <v>0.73</v>
      </c>
      <c r="Q125" s="360">
        <f t="shared" ref="Q125:Q139" si="116">IF($AO125="","",($R125-$AP125)*15/25+$AP125)</f>
        <v>0.73</v>
      </c>
      <c r="R125" s="360">
        <f t="shared" ref="R125:R139" si="117">IF($AO125="","",IF($AO125="*",$AP125*(1+$P$29),E125))</f>
        <v>0.73</v>
      </c>
      <c r="S125" s="360">
        <f t="shared" ref="S125:S129" si="11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19">W125</f>
        <v>4.5963340185318068E-3</v>
      </c>
      <c r="Y125" s="63">
        <f t="shared" si="119"/>
        <v>4.5963340185318068E-3</v>
      </c>
      <c r="Z125" s="63">
        <f t="shared" si="119"/>
        <v>4.5963340185318068E-3</v>
      </c>
      <c r="AA125" s="63">
        <f t="shared" si="119"/>
        <v>4.5963340185318068E-3</v>
      </c>
      <c r="AB125" s="63">
        <f t="shared" si="119"/>
        <v>4.5963340185318068E-3</v>
      </c>
      <c r="AC125" s="63">
        <f t="shared" si="11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14"/>
        <v>3.5963340185318064E-3</v>
      </c>
      <c r="AO125" s="21" t="s">
        <v>484</v>
      </c>
      <c r="AP125" s="496">
        <f t="shared" si="115"/>
        <v>0.73</v>
      </c>
    </row>
    <row r="126" spans="1:56" ht="15" outlineLevel="1">
      <c r="A126" s="108" t="s">
        <v>1000</v>
      </c>
      <c r="B126" s="30" t="s">
        <v>370</v>
      </c>
      <c r="C126" s="43" t="s">
        <v>232</v>
      </c>
      <c r="D126" s="43" t="s">
        <v>239</v>
      </c>
      <c r="E126" s="486">
        <v>0.59</v>
      </c>
      <c r="F126" s="557">
        <v>1</v>
      </c>
      <c r="G126" s="557">
        <v>1</v>
      </c>
      <c r="H126" s="557">
        <f t="shared" si="113"/>
        <v>0.14468092216517153</v>
      </c>
      <c r="I126" s="576">
        <v>1E-3</v>
      </c>
      <c r="J126" s="486">
        <v>0</v>
      </c>
      <c r="K126" s="48"/>
      <c r="L126" s="485">
        <v>1</v>
      </c>
      <c r="M126" s="485">
        <f>IF(C126="","",SUMIFS(Energy_Balance!I$55:I$159,Energy_Balance!$C$55:$C$159,C126,Energy_Balance!$D$55:$D$159,D126)*L126)</f>
        <v>0.24522190197486701</v>
      </c>
      <c r="N126" s="485">
        <f t="shared" si="85"/>
        <v>0.14468092216517153</v>
      </c>
      <c r="O126" s="25"/>
      <c r="P126" s="603">
        <f>E126</f>
        <v>0.59</v>
      </c>
      <c r="Q126" s="360">
        <f t="shared" si="116"/>
        <v>0.59</v>
      </c>
      <c r="R126" s="360">
        <f t="shared" si="117"/>
        <v>0.59</v>
      </c>
      <c r="S126" s="360">
        <f t="shared" si="11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19"/>
        <v>2.8966965113371618E-2</v>
      </c>
      <c r="Y126" s="63">
        <f t="shared" si="119"/>
        <v>2.8966965113371618E-2</v>
      </c>
      <c r="Z126" s="63">
        <f t="shared" si="119"/>
        <v>2.8966965113371618E-2</v>
      </c>
      <c r="AA126" s="63">
        <f t="shared" si="119"/>
        <v>2.8966965113371618E-2</v>
      </c>
      <c r="AB126" s="63">
        <f t="shared" si="119"/>
        <v>2.8966965113371618E-2</v>
      </c>
      <c r="AC126" s="63">
        <f t="shared" si="119"/>
        <v>2.8966965113371618E-2</v>
      </c>
      <c r="AD126" s="50"/>
      <c r="AE126" s="63">
        <f>(IFERROR(IF($N126/(SUMIF(RES!$D$39:$D$145,$D126,$N$39:$N$145))=1,1,($N126/(SUMIF(RES!$D$39:$D$145,$D126,$N$39:$N$145)))),0))-AE$29</f>
        <v>2.7866965113371618E-2</v>
      </c>
      <c r="AF126" s="63">
        <f>IF(W126-AF$29&lt;0,0,W126-AF$29*2)</f>
        <v>1.896696511337162E-2</v>
      </c>
      <c r="AG126" s="63">
        <f t="shared" ref="AG126" si="120">IF(X126-AG$29&lt;0,0,X126-AG$29*2)</f>
        <v>2.1966965113371619E-2</v>
      </c>
      <c r="AH126" s="63">
        <f t="shared" ref="AH126" si="121">IF(Y126-AH$29&lt;0,0,Y126-AH$29*2)</f>
        <v>8.966965113371618E-3</v>
      </c>
      <c r="AI126" s="63">
        <v>0</v>
      </c>
      <c r="AJ126" s="63">
        <v>0</v>
      </c>
      <c r="AK126" s="63">
        <v>0</v>
      </c>
      <c r="AL126" s="63">
        <v>0</v>
      </c>
      <c r="AN126" s="125">
        <f t="shared" si="114"/>
        <v>2.7966965113371618E-2</v>
      </c>
      <c r="AO126" s="21" t="s">
        <v>484</v>
      </c>
      <c r="AP126" s="496">
        <f t="shared" si="115"/>
        <v>0.59</v>
      </c>
    </row>
    <row r="127" spans="1:56" ht="15" outlineLevel="1">
      <c r="A127" s="108" t="s">
        <v>1001</v>
      </c>
      <c r="B127" s="30" t="s">
        <v>371</v>
      </c>
      <c r="C127" s="43" t="s">
        <v>233</v>
      </c>
      <c r="D127" s="43" t="s">
        <v>239</v>
      </c>
      <c r="E127" s="486">
        <v>0.59</v>
      </c>
      <c r="F127" s="557">
        <v>1</v>
      </c>
      <c r="G127" s="557">
        <v>1</v>
      </c>
      <c r="H127" s="557">
        <f t="shared" si="113"/>
        <v>0.73037386932638193</v>
      </c>
      <c r="I127" s="576">
        <v>1E-3</v>
      </c>
      <c r="J127" s="486">
        <v>0</v>
      </c>
      <c r="K127" s="48"/>
      <c r="L127" s="485">
        <v>1</v>
      </c>
      <c r="M127" s="485">
        <f>IF(C127="","",SUMIFS(Energy_Balance!I$55:I$159,Energy_Balance!$C$55:$C$159,C127,Energy_Balance!$D$55:$D$159,D127)*L127)</f>
        <v>1.2379218124175966</v>
      </c>
      <c r="N127" s="485">
        <f t="shared" si="85"/>
        <v>0.73037386932638193</v>
      </c>
      <c r="O127" s="25"/>
      <c r="P127" s="603">
        <f>E127</f>
        <v>0.59</v>
      </c>
      <c r="Q127" s="360">
        <f t="shared" si="116"/>
        <v>0.59</v>
      </c>
      <c r="R127" s="360">
        <f t="shared" si="117"/>
        <v>0.59</v>
      </c>
      <c r="S127" s="360">
        <f t="shared" si="11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19"/>
        <v>0.14218199011649871</v>
      </c>
      <c r="Y127" s="63">
        <f t="shared" si="119"/>
        <v>0.14218199011649871</v>
      </c>
      <c r="Z127" s="63">
        <f t="shared" si="119"/>
        <v>0.14218199011649871</v>
      </c>
      <c r="AA127" s="63">
        <f t="shared" si="119"/>
        <v>0.14218199011649871</v>
      </c>
      <c r="AB127" s="63">
        <f t="shared" si="119"/>
        <v>0.14218199011649871</v>
      </c>
      <c r="AC127" s="63">
        <f t="shared" si="119"/>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22">IF(AA127-AJ$29&lt;0,0,AA127-AJ$29*10)</f>
        <v>3.2181990116498721E-2</v>
      </c>
      <c r="AK127" s="63">
        <f t="shared" si="122"/>
        <v>1.7181990116498708E-2</v>
      </c>
      <c r="AL127" s="63">
        <v>0</v>
      </c>
      <c r="AN127" s="125">
        <f t="shared" si="114"/>
        <v>0.14118199011649871</v>
      </c>
      <c r="AO127" s="21" t="s">
        <v>484</v>
      </c>
      <c r="AP127" s="496">
        <f t="shared" si="115"/>
        <v>0.59</v>
      </c>
    </row>
    <row r="128" spans="1:56" ht="15" outlineLevel="1">
      <c r="A128" s="108" t="s">
        <v>1002</v>
      </c>
      <c r="B128" s="30" t="s">
        <v>372</v>
      </c>
      <c r="C128" s="43" t="s">
        <v>230</v>
      </c>
      <c r="D128" s="43" t="s">
        <v>239</v>
      </c>
      <c r="E128" s="486">
        <v>0.79</v>
      </c>
      <c r="F128" s="557">
        <v>1</v>
      </c>
      <c r="G128" s="557">
        <v>1</v>
      </c>
      <c r="H128" s="557">
        <f t="shared" si="113"/>
        <v>1.7434276617518025</v>
      </c>
      <c r="I128" s="576">
        <v>1E-3</v>
      </c>
      <c r="J128" s="486">
        <v>0</v>
      </c>
      <c r="K128" s="48"/>
      <c r="L128" s="485">
        <v>1</v>
      </c>
      <c r="M128" s="485">
        <f>IF(C128="","",SUMIFS(Energy_Balance!I$55:I$159,Energy_Balance!$C$55:$C$159,C128,Energy_Balance!$D$55:$D$159,D128)*L128)</f>
        <v>2.206870457913674</v>
      </c>
      <c r="N128" s="485">
        <f t="shared" si="85"/>
        <v>1.7434276617518025</v>
      </c>
      <c r="O128" s="25"/>
      <c r="P128" s="603">
        <f>E128</f>
        <v>0.79</v>
      </c>
      <c r="Q128" s="360">
        <f t="shared" si="116"/>
        <v>0.79</v>
      </c>
      <c r="R128" s="360">
        <f t="shared" si="117"/>
        <v>0.79</v>
      </c>
      <c r="S128" s="360">
        <f t="shared" si="11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14"/>
        <v>0.33700628848795883</v>
      </c>
      <c r="AO128" s="21" t="s">
        <v>484</v>
      </c>
      <c r="AP128" s="496">
        <f t="shared" si="115"/>
        <v>0.79</v>
      </c>
    </row>
    <row r="129" spans="1:56" s="157" customFormat="1" ht="15" outlineLevel="1">
      <c r="A129" s="108" t="s">
        <v>1003</v>
      </c>
      <c r="B129" s="30" t="s">
        <v>373</v>
      </c>
      <c r="C129" s="43" t="s">
        <v>161</v>
      </c>
      <c r="D129" s="43" t="s">
        <v>239</v>
      </c>
      <c r="E129" s="486">
        <v>0.96</v>
      </c>
      <c r="F129" s="557">
        <v>1</v>
      </c>
      <c r="G129" s="557">
        <v>1</v>
      </c>
      <c r="H129" s="557">
        <f t="shared" si="113"/>
        <v>0</v>
      </c>
      <c r="I129" s="576">
        <v>1E-3</v>
      </c>
      <c r="J129" s="486">
        <v>0</v>
      </c>
      <c r="K129" s="48"/>
      <c r="L129" s="485">
        <v>1</v>
      </c>
      <c r="M129" s="485">
        <f>IF(C129="","",SUMIFS(Energy_Balance!I$55:I$159,Energy_Balance!$C$55:$C$159,C129,Energy_Balance!$D$55:$D$159,D129)*L129)</f>
        <v>0</v>
      </c>
      <c r="N129" s="485">
        <f t="shared" si="85"/>
        <v>0</v>
      </c>
      <c r="O129" s="25"/>
      <c r="P129" s="603">
        <f>E129</f>
        <v>0.96</v>
      </c>
      <c r="Q129" s="360">
        <f t="shared" si="116"/>
        <v>0.96</v>
      </c>
      <c r="R129" s="360">
        <f t="shared" si="117"/>
        <v>0.96</v>
      </c>
      <c r="S129" s="360">
        <f t="shared" si="118"/>
        <v>0.96</v>
      </c>
      <c r="T129" s="203"/>
      <c r="U129" s="50"/>
      <c r="V129" s="63">
        <f>IF((IFERROR(IF(N129/(SUMIF(RES!$D$39:$D$145,D129,$N$39:$N$145))=1,1,(N129/(SUMIF(RES!$D$39:$D$145,D129,$N$39:$N$145))+$V$29)),0))&lt;1,(IFERROR(IF(N129/(SUMIF(RES!$D$39:$D$145,D129,$N$39:$N$145))=1,1,(N129/(SUMIF(RES!$D$39:$D$145,D129,$N$39:$N$145))+$V$29)),0)),1)</f>
        <v>1E-3</v>
      </c>
      <c r="W129" s="50">
        <f>V129</f>
        <v>1E-3</v>
      </c>
      <c r="X129" s="50">
        <f t="shared" si="119"/>
        <v>1E-3</v>
      </c>
      <c r="Y129" s="50">
        <f t="shared" si="119"/>
        <v>1E-3</v>
      </c>
      <c r="Z129" s="50">
        <f t="shared" si="119"/>
        <v>1E-3</v>
      </c>
      <c r="AA129" s="50">
        <f t="shared" si="119"/>
        <v>1E-3</v>
      </c>
      <c r="AB129" s="50">
        <f t="shared" si="119"/>
        <v>1E-3</v>
      </c>
      <c r="AC129" s="50">
        <f t="shared" si="119"/>
        <v>1E-3</v>
      </c>
      <c r="AD129" s="50"/>
      <c r="AE129" s="63">
        <v>0</v>
      </c>
      <c r="AF129" s="50">
        <f>AE129</f>
        <v>0</v>
      </c>
      <c r="AG129" s="50">
        <f t="shared" ref="AG129:AL129" si="123">AF129</f>
        <v>0</v>
      </c>
      <c r="AH129" s="50">
        <f t="shared" si="123"/>
        <v>0</v>
      </c>
      <c r="AI129" s="50">
        <f t="shared" si="123"/>
        <v>0</v>
      </c>
      <c r="AJ129" s="50">
        <f t="shared" si="123"/>
        <v>0</v>
      </c>
      <c r="AK129" s="50">
        <f t="shared" si="123"/>
        <v>0</v>
      </c>
      <c r="AL129" s="50">
        <f t="shared" si="123"/>
        <v>0</v>
      </c>
      <c r="AM129"/>
      <c r="AN129" s="125">
        <f t="shared" si="114"/>
        <v>0</v>
      </c>
      <c r="AO129" s="158" t="s">
        <v>484</v>
      </c>
      <c r="AP129" s="496">
        <f t="shared" si="115"/>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16"/>
        <v/>
      </c>
      <c r="R130" s="530" t="str">
        <f t="shared" si="117"/>
        <v/>
      </c>
      <c r="S130" s="530" t="str">
        <f>IF(G130="","",IF(COUNTIF(#REF!,$B130)=1,SUMIF(#REF!,RES!$B130,#REF!),SUMIF(#REF!,RES!$B130,#REF!)))</f>
        <v/>
      </c>
      <c r="T130" s="531"/>
      <c r="U130" s="532"/>
      <c r="V130" s="533">
        <f>SUM(V124:V129)</f>
        <v>1.0059999999999998</v>
      </c>
      <c r="W130" s="533">
        <f t="shared" ref="W130:AC130" si="124">SUM(W124:W129)</f>
        <v>1.0440250851391404</v>
      </c>
      <c r="X130" s="533">
        <f t="shared" si="124"/>
        <v>1.0733307037607258</v>
      </c>
      <c r="Y130" s="533">
        <f t="shared" si="124"/>
        <v>1.1011363223823114</v>
      </c>
      <c r="Z130" s="533">
        <f t="shared" si="124"/>
        <v>1.153691941003897</v>
      </c>
      <c r="AA130" s="533">
        <f t="shared" si="124"/>
        <v>1.2107475596254826</v>
      </c>
      <c r="AB130" s="533">
        <f t="shared" si="124"/>
        <v>1.2707475596254825</v>
      </c>
      <c r="AC130" s="533">
        <f t="shared" si="124"/>
        <v>1.3907475596254826</v>
      </c>
      <c r="AD130" s="532"/>
      <c r="AE130" s="533">
        <f>SUM(AE124:AE129)</f>
        <v>0.99940000000000007</v>
      </c>
      <c r="AF130" s="533">
        <f t="shared" ref="AF130:AL130" si="125">SUM(AF124:AF129)</f>
        <v>0.98328891908828431</v>
      </c>
      <c r="AG130" s="533">
        <f t="shared" si="125"/>
        <v>0.99728437698700012</v>
      </c>
      <c r="AH130" s="533">
        <f t="shared" si="125"/>
        <v>0.99188133258214628</v>
      </c>
      <c r="AI130" s="533">
        <f t="shared" si="125"/>
        <v>0.97411640696171653</v>
      </c>
      <c r="AJ130" s="533">
        <f t="shared" si="125"/>
        <v>0.9911002474430084</v>
      </c>
      <c r="AK130" s="533">
        <f t="shared" si="125"/>
        <v>0.97610024744300827</v>
      </c>
      <c r="AL130" s="533">
        <f t="shared" si="125"/>
        <v>0.95891825732650959</v>
      </c>
      <c r="AO130" s="534"/>
    </row>
    <row r="131" spans="1:56" s="232" customFormat="1" ht="15">
      <c r="A131" s="537" t="s">
        <v>1004</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16"/>
        <v/>
      </c>
      <c r="R131" s="552" t="str">
        <f t="shared" si="11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1005</v>
      </c>
      <c r="B132" s="30" t="s">
        <v>374</v>
      </c>
      <c r="C132" s="43" t="s">
        <v>229</v>
      </c>
      <c r="D132" s="43" t="s">
        <v>561</v>
      </c>
      <c r="E132" s="486">
        <v>0.75</v>
      </c>
      <c r="F132" s="557">
        <v>1</v>
      </c>
      <c r="G132" s="557">
        <v>1</v>
      </c>
      <c r="H132" s="557">
        <f t="shared" ref="H132:H137" si="126">N132/F132*(1+$D$31)</f>
        <v>31.226866791274468</v>
      </c>
      <c r="I132" s="576">
        <v>1E-3</v>
      </c>
      <c r="J132" s="486">
        <v>0</v>
      </c>
      <c r="K132" s="48"/>
      <c r="L132" s="485">
        <v>0.94</v>
      </c>
      <c r="M132" s="485">
        <f>SUMIFS(Energy_Balance!I$55:I$159,Energy_Balance!$C$55:$C$159,C132,Energy_Balance!$D$55:$D$159,D132)*L132</f>
        <v>41.635822388365959</v>
      </c>
      <c r="N132" s="485">
        <f t="shared" si="85"/>
        <v>31.226866791274468</v>
      </c>
      <c r="O132" s="25"/>
      <c r="P132" s="603">
        <f t="shared" ref="P132:P137" si="127">E132</f>
        <v>0.75</v>
      </c>
      <c r="Q132" s="360">
        <f t="shared" si="116"/>
        <v>0.75</v>
      </c>
      <c r="R132" s="360">
        <f t="shared" si="117"/>
        <v>0.75</v>
      </c>
      <c r="S132" s="360">
        <f t="shared" ref="S132:S137" si="128">R132</f>
        <v>0.75</v>
      </c>
      <c r="T132" s="203"/>
      <c r="U132" s="272"/>
      <c r="V132" s="63">
        <f>(IFERROR(IF(N132/(SUMIF(RES!$D$39:$D$145,D132,$N$39:$N$145))=1,1,(N132/(SUMIF(RES!$D$39:$D$145,D132,$N$39:$N$145)))),0))+0.01</f>
        <v>0.69759289818943615</v>
      </c>
      <c r="W132" s="63">
        <f>V132*0.99</f>
        <v>0.69061696920754179</v>
      </c>
      <c r="X132" s="63">
        <f t="shared" ref="X132:AC132" si="129">W132*0.99</f>
        <v>0.68371079951546632</v>
      </c>
      <c r="Y132" s="63">
        <f t="shared" si="129"/>
        <v>0.67687369152031163</v>
      </c>
      <c r="Z132" s="63">
        <f t="shared" si="129"/>
        <v>0.67010495460510855</v>
      </c>
      <c r="AA132" s="63">
        <f t="shared" si="129"/>
        <v>0.66340390505905744</v>
      </c>
      <c r="AB132" s="63">
        <f t="shared" si="129"/>
        <v>0.65676986600846687</v>
      </c>
      <c r="AC132" s="63">
        <f t="shared" si="129"/>
        <v>0.65020216734838221</v>
      </c>
      <c r="AD132" s="63"/>
      <c r="AE132" s="609">
        <f>V132-0.008</f>
        <v>0.68959289818943614</v>
      </c>
      <c r="AF132" s="609">
        <f>MIN(W132-0.5%,$AE132*(1+'Census 2011_17'!B$20)-AF$28)</f>
        <v>0.68561696920754178</v>
      </c>
      <c r="AG132" s="609">
        <f>MIN(X132-0.5%,$AE132*(1+'Census 2011_17'!C$20)-AG$28)</f>
        <v>0.67871079951546631</v>
      </c>
      <c r="AH132" s="609">
        <f>MIN(Y132-0.5%,$AE132*(1+'Census 2011_17'!D$20)-AH$28)</f>
        <v>0.67187369152031162</v>
      </c>
      <c r="AI132" s="609">
        <f>MIN(Z132-0.5%,$AE132*(1+'Census 2011_17'!E$20)-AI$28)</f>
        <v>0.66510495460510854</v>
      </c>
      <c r="AJ132" s="609">
        <f>MIN(AA132-0.5%,$AE132*(1+'Census 2011_17'!F$20)-AJ$28)</f>
        <v>0.65840390505905744</v>
      </c>
      <c r="AK132" s="609">
        <f>MIN(AB132-0.5%,$AE132*(1+'Census 2011_17'!G$20)-AK$28)</f>
        <v>0.65176986600846687</v>
      </c>
      <c r="AL132" s="609">
        <f>MIN(AC132-0.5%,$AE132*(1+'Census 2011_17'!H$20)-AL$28)</f>
        <v>0.64520216734838221</v>
      </c>
      <c r="AM132"/>
      <c r="AN132"/>
      <c r="AO132" s="249" t="s">
        <v>110</v>
      </c>
      <c r="AP132" s="496">
        <f t="shared" ref="AP132:AP137" si="130">E132</f>
        <v>0.75</v>
      </c>
      <c r="AQ132"/>
      <c r="AR132" s="1" t="s">
        <v>1062</v>
      </c>
      <c r="AS132"/>
      <c r="AT132"/>
      <c r="AU132"/>
      <c r="AV132"/>
      <c r="AW132"/>
      <c r="AX132"/>
      <c r="AY132"/>
      <c r="AZ132"/>
      <c r="BA132"/>
      <c r="BB132"/>
      <c r="BC132"/>
      <c r="BD132"/>
    </row>
    <row r="133" spans="1:56" ht="15" outlineLevel="2">
      <c r="A133" s="556" t="s">
        <v>1006</v>
      </c>
      <c r="B133" s="30" t="s">
        <v>378</v>
      </c>
      <c r="C133" s="43" t="s">
        <v>229</v>
      </c>
      <c r="D133" s="43" t="s">
        <v>561</v>
      </c>
      <c r="E133" s="486">
        <v>2.3199999999999998</v>
      </c>
      <c r="F133" s="557">
        <v>1</v>
      </c>
      <c r="G133" s="557">
        <v>1</v>
      </c>
      <c r="H133" s="557">
        <f t="shared" si="126"/>
        <v>4.3981602339097723</v>
      </c>
      <c r="I133" s="576">
        <v>1E-3</v>
      </c>
      <c r="J133" s="486">
        <v>0</v>
      </c>
      <c r="K133" s="48"/>
      <c r="L133" s="485">
        <v>4.2799999999999998E-2</v>
      </c>
      <c r="M133" s="485">
        <f>SUMIFS(Energy_Balance!I$55:I$159,Energy_Balance!$C$55:$C$159,C133,Energy_Balance!$D$55:$D$159,D133)*L133</f>
        <v>1.8957587215128331</v>
      </c>
      <c r="N133" s="485">
        <f>E133*M133</f>
        <v>4.3981602339097723</v>
      </c>
      <c r="O133" s="25"/>
      <c r="P133" s="603">
        <f t="shared" si="127"/>
        <v>2.3199999999999998</v>
      </c>
      <c r="Q133" s="360">
        <f t="shared" si="116"/>
        <v>2.3199999999999998</v>
      </c>
      <c r="R133" s="360">
        <f t="shared" si="117"/>
        <v>2.3199999999999998</v>
      </c>
      <c r="S133" s="360">
        <f t="shared" si="128"/>
        <v>2.3199999999999998</v>
      </c>
      <c r="T133" s="203"/>
      <c r="U133" s="272"/>
      <c r="V133" s="63">
        <f>IF((IFERROR(IF(N133/(SUMIF(RES!$D$39:$D$145,D133,$N$39:$N$145))=1,1,(N133/(SUMIF(RES!$D$39:$D$145,D133,$N$39:$N$145)))),0))&lt;1,(IFERROR(IF(N133/(SUMIF(RES!$D$39:$D$145,D133,$N$39:$N$145))=1,1,(N133/(SUMIF(RES!$D$39:$D$145,D133,$N$39:$N$145)))),0)),1)</f>
        <v>9.684428995548687E-2</v>
      </c>
      <c r="W133" s="63">
        <f>V133*1.02</f>
        <v>9.8781175754596606E-2</v>
      </c>
      <c r="X133" s="63">
        <f t="shared" ref="X133:AC133" si="131">W133*1.02</f>
        <v>0.10075679926968854</v>
      </c>
      <c r="Y133" s="63">
        <f t="shared" si="131"/>
        <v>0.10277193525508231</v>
      </c>
      <c r="Z133" s="63">
        <f t="shared" si="131"/>
        <v>0.10482737396018396</v>
      </c>
      <c r="AA133" s="63">
        <f t="shared" si="131"/>
        <v>0.10692392143938764</v>
      </c>
      <c r="AB133" s="63">
        <f t="shared" si="131"/>
        <v>0.1090623998681754</v>
      </c>
      <c r="AC133" s="63">
        <f t="shared" si="131"/>
        <v>0.11124364786553891</v>
      </c>
      <c r="AD133" s="63"/>
      <c r="AE133" s="63">
        <f t="shared" ref="AE133:AE134" si="132">V133-0.005</f>
        <v>9.1844289955486866E-2</v>
      </c>
      <c r="AF133" s="63">
        <f t="shared" ref="AF133:AF134" si="133">W133-0.005</f>
        <v>9.3781175754596602E-2</v>
      </c>
      <c r="AG133" s="63">
        <f t="shared" ref="AG133:AG134" si="134">X133-0.005</f>
        <v>9.5756799269688539E-2</v>
      </c>
      <c r="AH133" s="63">
        <f t="shared" ref="AH133:AH134" si="135">Y133-0.005</f>
        <v>9.7771935255082307E-2</v>
      </c>
      <c r="AI133" s="63">
        <f t="shared" ref="AI133:AI134" si="136">Z133-0.005</f>
        <v>9.9827373960183957E-2</v>
      </c>
      <c r="AJ133" s="63">
        <f t="shared" ref="AJ133:AJ134" si="137">AA133-0.005</f>
        <v>0.10192392143938764</v>
      </c>
      <c r="AK133" s="63">
        <f t="shared" ref="AK133:AK134" si="138">AB133-0.005</f>
        <v>0.10406239986817539</v>
      </c>
      <c r="AL133" s="63">
        <f t="shared" ref="AL133:AL134" si="139">AC133-0.005</f>
        <v>0.1062436478655389</v>
      </c>
      <c r="AO133" s="249" t="s">
        <v>110</v>
      </c>
      <c r="AP133" s="496">
        <f t="shared" si="130"/>
        <v>2.3199999999999998</v>
      </c>
    </row>
    <row r="134" spans="1:56" ht="15" outlineLevel="2">
      <c r="A134" s="108" t="s">
        <v>1007</v>
      </c>
      <c r="B134" s="30" t="s">
        <v>375</v>
      </c>
      <c r="C134" s="43" t="s">
        <v>229</v>
      </c>
      <c r="D134" s="43" t="s">
        <v>561</v>
      </c>
      <c r="E134" s="486">
        <v>2.15</v>
      </c>
      <c r="F134" s="557">
        <v>1</v>
      </c>
      <c r="G134" s="557">
        <v>1</v>
      </c>
      <c r="H134" s="557">
        <f t="shared" si="126"/>
        <v>9.7897334726347331</v>
      </c>
      <c r="I134" s="576">
        <v>1E-3</v>
      </c>
      <c r="J134" s="486">
        <v>0</v>
      </c>
      <c r="K134" s="48"/>
      <c r="L134" s="485">
        <f>1-L132+L133</f>
        <v>0.10280000000000006</v>
      </c>
      <c r="M134" s="485">
        <f>SUMIFS(Energy_Balance!I$55:I$159,Energy_Balance!$C$55:$C$159,C134,Energy_Balance!$D$55:$D$159,D134)*L134</f>
        <v>4.5533644058766205</v>
      </c>
      <c r="N134" s="485">
        <f t="shared" si="85"/>
        <v>9.7897334726347331</v>
      </c>
      <c r="O134" s="25"/>
      <c r="P134" s="603">
        <f t="shared" si="127"/>
        <v>2.15</v>
      </c>
      <c r="Q134" s="360">
        <f t="shared" si="116"/>
        <v>2.15</v>
      </c>
      <c r="R134" s="360">
        <f t="shared" si="117"/>
        <v>2.15</v>
      </c>
      <c r="S134" s="360">
        <f t="shared" si="128"/>
        <v>2.15</v>
      </c>
      <c r="T134" s="203"/>
      <c r="U134" s="272"/>
      <c r="V134" s="63">
        <f>IF((IFERROR(IF(N134/(SUMIF(RES!$D$39:$D$145,D134,$N$39:$N$145))=1,1,(N134/(SUMIF(RES!$D$39:$D$145,D134,$N$39:$N$145))+$V$28)),0))&lt;1,(IFERROR(IF(N134/(SUMIF(RES!$D$39:$D$145,D134,$N$39:$N$145))=1,1,(N134/(SUMIF(RES!$D$39:$D$145,D134,$N$39:$N$145))+$V$28)),0)),1)</f>
        <v>0.21656281185507698</v>
      </c>
      <c r="W134" s="63">
        <f>V134*1.02</f>
        <v>0.22089406809217851</v>
      </c>
      <c r="X134" s="63">
        <f t="shared" ref="X134:AC134" si="140">W134*1.02</f>
        <v>0.22531194945402208</v>
      </c>
      <c r="Y134" s="63">
        <f t="shared" si="140"/>
        <v>0.22981818844310253</v>
      </c>
      <c r="Z134" s="63">
        <f t="shared" si="140"/>
        <v>0.23441455221196458</v>
      </c>
      <c r="AA134" s="63">
        <f t="shared" si="140"/>
        <v>0.23910284325620387</v>
      </c>
      <c r="AB134" s="63">
        <f t="shared" si="140"/>
        <v>0.24388490012132796</v>
      </c>
      <c r="AC134" s="63">
        <f t="shared" si="140"/>
        <v>0.24876259812375454</v>
      </c>
      <c r="AD134" s="63"/>
      <c r="AE134" s="63">
        <f t="shared" si="132"/>
        <v>0.21156281185507697</v>
      </c>
      <c r="AF134" s="63">
        <f t="shared" si="133"/>
        <v>0.21589406809217851</v>
      </c>
      <c r="AG134" s="63">
        <f t="shared" si="134"/>
        <v>0.22031194945402208</v>
      </c>
      <c r="AH134" s="63">
        <f t="shared" si="135"/>
        <v>0.22481818844310253</v>
      </c>
      <c r="AI134" s="63">
        <f t="shared" si="136"/>
        <v>0.22941455221196458</v>
      </c>
      <c r="AJ134" s="63">
        <f t="shared" si="137"/>
        <v>0.23410284325620387</v>
      </c>
      <c r="AK134" s="63">
        <f t="shared" si="138"/>
        <v>0.23888490012132796</v>
      </c>
      <c r="AL134" s="63">
        <f t="shared" si="139"/>
        <v>0.24376259812375453</v>
      </c>
      <c r="AO134" s="249" t="s">
        <v>110</v>
      </c>
      <c r="AP134" s="496">
        <f t="shared" si="130"/>
        <v>2.15</v>
      </c>
    </row>
    <row r="135" spans="1:56" ht="15" outlineLevel="2">
      <c r="A135" s="246" t="s">
        <v>1008</v>
      </c>
      <c r="B135" s="30" t="s">
        <v>376</v>
      </c>
      <c r="C135" s="43" t="s">
        <v>231</v>
      </c>
      <c r="D135" s="43" t="s">
        <v>256</v>
      </c>
      <c r="E135" s="486">
        <v>0.56999999999999995</v>
      </c>
      <c r="F135" s="557">
        <v>1</v>
      </c>
      <c r="G135" s="557">
        <v>1</v>
      </c>
      <c r="H135" s="557">
        <f t="shared" si="126"/>
        <v>0</v>
      </c>
      <c r="I135" s="576">
        <v>1E-3</v>
      </c>
      <c r="J135" s="486">
        <v>0</v>
      </c>
      <c r="K135" s="48"/>
      <c r="L135" s="485">
        <v>1</v>
      </c>
      <c r="M135" s="485">
        <v>0</v>
      </c>
      <c r="N135" s="485">
        <f t="shared" ref="N135:N143" si="141">E135*M135</f>
        <v>0</v>
      </c>
      <c r="O135" s="25"/>
      <c r="P135" s="603">
        <f t="shared" si="127"/>
        <v>0.56999999999999995</v>
      </c>
      <c r="Q135" s="360">
        <f t="shared" si="116"/>
        <v>0.56999999999999995</v>
      </c>
      <c r="R135" s="360">
        <f t="shared" si="117"/>
        <v>0.56999999999999995</v>
      </c>
      <c r="S135" s="360">
        <f t="shared" si="12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30"/>
        <v>0.56999999999999995</v>
      </c>
    </row>
    <row r="136" spans="1:56" ht="15" outlineLevel="2">
      <c r="A136" s="108" t="s">
        <v>1009</v>
      </c>
      <c r="B136" s="30" t="s">
        <v>377</v>
      </c>
      <c r="C136" s="43" t="s">
        <v>230</v>
      </c>
      <c r="D136" s="43" t="s">
        <v>256</v>
      </c>
      <c r="E136" s="486">
        <v>0.65</v>
      </c>
      <c r="F136" s="557">
        <v>1</v>
      </c>
      <c r="G136" s="557">
        <v>1</v>
      </c>
      <c r="H136" s="557">
        <f t="shared" si="126"/>
        <v>0</v>
      </c>
      <c r="I136" s="576">
        <v>1E-3</v>
      </c>
      <c r="J136" s="486">
        <v>0</v>
      </c>
      <c r="K136" s="48"/>
      <c r="L136" s="485">
        <v>1</v>
      </c>
      <c r="M136" s="485">
        <v>0</v>
      </c>
      <c r="N136" s="485">
        <f t="shared" si="141"/>
        <v>0</v>
      </c>
      <c r="O136" s="25"/>
      <c r="P136" s="603">
        <f t="shared" si="127"/>
        <v>0.65</v>
      </c>
      <c r="Q136" s="360">
        <f t="shared" si="116"/>
        <v>0.65</v>
      </c>
      <c r="R136" s="360">
        <f t="shared" si="117"/>
        <v>0.65</v>
      </c>
      <c r="S136" s="360">
        <f t="shared" si="12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30"/>
        <v>0.65</v>
      </c>
    </row>
    <row r="137" spans="1:56" s="165" customFormat="1" ht="15" outlineLevel="2">
      <c r="A137" s="108" t="s">
        <v>1010</v>
      </c>
      <c r="B137" s="30" t="s">
        <v>379</v>
      </c>
      <c r="C137" s="43" t="s">
        <v>161</v>
      </c>
      <c r="D137" s="43" t="s">
        <v>256</v>
      </c>
      <c r="E137" s="486">
        <v>0.86</v>
      </c>
      <c r="F137" s="557">
        <v>1</v>
      </c>
      <c r="G137" s="557">
        <v>1</v>
      </c>
      <c r="H137" s="557">
        <f t="shared" si="126"/>
        <v>0</v>
      </c>
      <c r="I137" s="576">
        <v>1E-3</v>
      </c>
      <c r="J137" s="486">
        <v>0</v>
      </c>
      <c r="K137" s="48"/>
      <c r="L137" s="485">
        <v>1</v>
      </c>
      <c r="M137" s="485">
        <v>0</v>
      </c>
      <c r="N137" s="485">
        <f t="shared" si="141"/>
        <v>0</v>
      </c>
      <c r="O137" s="25"/>
      <c r="P137" s="603">
        <f t="shared" si="127"/>
        <v>0.86</v>
      </c>
      <c r="Q137" s="360">
        <f t="shared" si="116"/>
        <v>0.86</v>
      </c>
      <c r="R137" s="360">
        <f t="shared" si="117"/>
        <v>0.86</v>
      </c>
      <c r="S137" s="360">
        <f t="shared" si="12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30"/>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48.084945515755415</v>
      </c>
      <c r="N138" s="529">
        <f>SUM(N135:N137)</f>
        <v>0</v>
      </c>
      <c r="O138" s="192"/>
      <c r="P138" s="530"/>
      <c r="Q138" s="530" t="str">
        <f t="shared" si="116"/>
        <v/>
      </c>
      <c r="R138" s="530" t="str">
        <f t="shared" si="117"/>
        <v/>
      </c>
      <c r="S138" s="530" t="str">
        <f>IF(G138="","",IF(COUNTIF(#REF!,$B138)=1,SUMIF(#REF!,RES!$B138,#REF!),SUMIF(#REF!,RES!$B138,#REF!)))</f>
        <v/>
      </c>
      <c r="T138" s="531"/>
      <c r="U138" s="532"/>
      <c r="V138" s="533">
        <f>SUM(V132:V137)</f>
        <v>1.0110000000000001</v>
      </c>
      <c r="W138" s="533">
        <f t="shared" ref="W138:AC138" si="142">SUM(W132:W137)</f>
        <v>1.0102922130543168</v>
      </c>
      <c r="X138" s="533">
        <f t="shared" si="142"/>
        <v>1.0097795482391769</v>
      </c>
      <c r="Y138" s="533">
        <f t="shared" si="142"/>
        <v>1.0094638152184965</v>
      </c>
      <c r="Z138" s="533">
        <f t="shared" si="142"/>
        <v>1.009346880777257</v>
      </c>
      <c r="AA138" s="533">
        <f t="shared" si="142"/>
        <v>1.0094306697546489</v>
      </c>
      <c r="AB138" s="533">
        <f t="shared" si="142"/>
        <v>1.0097171659979702</v>
      </c>
      <c r="AC138" s="533">
        <f t="shared" si="142"/>
        <v>1.0102084133376756</v>
      </c>
      <c r="AD138" s="532"/>
      <c r="AE138" s="602">
        <f>SUM(AE132:AE137)</f>
        <v>0.99299999999999999</v>
      </c>
      <c r="AF138" s="533">
        <f t="shared" ref="AF138:AL138" si="143">SUM(AF132:AF137)</f>
        <v>0.99529221305431681</v>
      </c>
      <c r="AG138" s="533">
        <f t="shared" si="143"/>
        <v>0.99477954823917691</v>
      </c>
      <c r="AH138" s="533">
        <f t="shared" si="143"/>
        <v>0.99446381521849647</v>
      </c>
      <c r="AI138" s="533">
        <f t="shared" si="143"/>
        <v>0.99434688077725708</v>
      </c>
      <c r="AJ138" s="533">
        <f t="shared" si="143"/>
        <v>0.994430669754649</v>
      </c>
      <c r="AK138" s="533">
        <f t="shared" si="143"/>
        <v>0.99471716599797033</v>
      </c>
      <c r="AL138" s="533">
        <f t="shared" si="143"/>
        <v>0.99520841333767562</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16"/>
        <v/>
      </c>
      <c r="R139" s="552" t="str">
        <f t="shared" si="11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1011</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86"/>
      <c r="K140" s="48" t="s">
        <v>889</v>
      </c>
      <c r="L140" s="485">
        <v>1</v>
      </c>
      <c r="M140" s="485">
        <f>IF(C140="","",SUMIFS(Energy_Balance!I$55:I$159,Energy_Balance!$C$55:$C$159,C140,Energy_Balance!$D$55:$D$159,D140)*L140)</f>
        <v>12.524672448938746</v>
      </c>
      <c r="N140" s="485">
        <f t="shared" si="141"/>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44">W140</f>
        <v>1</v>
      </c>
      <c r="Y140" s="50">
        <f t="shared" si="144"/>
        <v>1</v>
      </c>
      <c r="Z140" s="50">
        <f t="shared" si="144"/>
        <v>1</v>
      </c>
      <c r="AA140" s="50">
        <f t="shared" si="144"/>
        <v>1</v>
      </c>
      <c r="AB140" s="50">
        <f t="shared" si="144"/>
        <v>1</v>
      </c>
      <c r="AC140" s="50">
        <f t="shared" si="144"/>
        <v>1</v>
      </c>
      <c r="AD140" s="50"/>
      <c r="AE140" s="272">
        <f>(IFERROR(IF($N140/(SUMIF(RES!$D$39:$D$145,$D140,$N$39:$N$145))=1,1,($N140/(SUMIF(RES!$D$39:$D$145,$D140,$N$39:$N$145))-$AE$28)),0))</f>
        <v>1</v>
      </c>
      <c r="AF140" s="50">
        <f>AE140</f>
        <v>1</v>
      </c>
      <c r="AG140" s="50">
        <f t="shared" ref="AG140:AL140" si="145">AF140</f>
        <v>1</v>
      </c>
      <c r="AH140" s="50">
        <f t="shared" si="145"/>
        <v>1</v>
      </c>
      <c r="AI140" s="50">
        <f t="shared" si="145"/>
        <v>1</v>
      </c>
      <c r="AJ140" s="50">
        <f t="shared" si="145"/>
        <v>1</v>
      </c>
      <c r="AK140" s="50">
        <f t="shared" si="145"/>
        <v>1</v>
      </c>
      <c r="AL140" s="50">
        <f t="shared" si="145"/>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1012</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1013</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1"/>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46">W143</f>
        <v>1</v>
      </c>
      <c r="Y143" s="50">
        <f t="shared" si="146"/>
        <v>1</v>
      </c>
      <c r="Z143" s="50">
        <f t="shared" si="146"/>
        <v>1</v>
      </c>
      <c r="AA143" s="50">
        <f t="shared" si="146"/>
        <v>1</v>
      </c>
      <c r="AB143" s="50">
        <f t="shared" si="146"/>
        <v>1</v>
      </c>
      <c r="AC143" s="50">
        <f t="shared" si="146"/>
        <v>1</v>
      </c>
      <c r="AD143" s="50"/>
      <c r="AE143" s="272">
        <f>(IFERROR(IF($N143/(SUMIF(RES!$D$39:$D$145,$D143,$N$39:$N$145))=1,1,($N143/(SUMIF(RES!$D$39:$D$145,$D143,$N$39:$N$145))-$AE$28)),0))</f>
        <v>1</v>
      </c>
      <c r="AF143" s="50">
        <f>AE143</f>
        <v>1</v>
      </c>
      <c r="AG143" s="50">
        <f t="shared" ref="AG143:AL143" si="147">AF143</f>
        <v>1</v>
      </c>
      <c r="AH143" s="50">
        <f t="shared" si="147"/>
        <v>1</v>
      </c>
      <c r="AI143" s="50">
        <f t="shared" si="147"/>
        <v>1</v>
      </c>
      <c r="AJ143" s="50">
        <f t="shared" si="147"/>
        <v>1</v>
      </c>
      <c r="AK143" s="50">
        <f t="shared" si="147"/>
        <v>1</v>
      </c>
      <c r="AL143" s="50">
        <f t="shared" si="147"/>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09" operator="equal">
      <formula>"RESCOA"</formula>
    </cfRule>
    <cfRule type="cellIs" dxfId="52" priority="1211" operator="equal">
      <formula>"RESBIW"</formula>
    </cfRule>
    <cfRule type="cellIs" dxfId="51" priority="1210" operator="equal">
      <formula>"RESOKE"</formula>
    </cfRule>
  </conditionalFormatting>
  <conditionalFormatting sqref="C41:C145">
    <cfRule type="cellIs" dxfId="50" priority="821" operator="equal">
      <formula>"RESOKE"</formula>
    </cfRule>
    <cfRule type="cellIs" dxfId="49" priority="822" operator="equal">
      <formula>"RESBIW"</formula>
    </cfRule>
    <cfRule type="cellIs" dxfId="48" priority="820" operator="equal">
      <formula>"RESCOA"</formula>
    </cfRule>
  </conditionalFormatting>
  <conditionalFormatting sqref="M41">
    <cfRule type="expression" dxfId="47" priority="1139">
      <formula>$M$48=#REF!</formula>
    </cfRule>
    <cfRule type="expression" dxfId="46" priority="1138">
      <formula>$M$48&lt;&gt;#REF!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9">
      <formula>$M$55=#REF!</formula>
    </cfRule>
    <cfRule type="expression" dxfId="42" priority="1218">
      <formula>$M$55&lt;&gt;#REF!</formula>
    </cfRule>
  </conditionalFormatting>
  <conditionalFormatting sqref="M59:N59">
    <cfRule type="expression" dxfId="41" priority="1133">
      <formula>$M$66=#REF!</formula>
    </cfRule>
    <cfRule type="expression" dxfId="40" priority="1132">
      <formula>$M$66&lt;&gt;#REF!</formula>
    </cfRule>
  </conditionalFormatting>
  <conditionalFormatting sqref="M66:N66">
    <cfRule type="expression" dxfId="39" priority="1131">
      <formula>$M$66=#REF!</formula>
    </cfRule>
    <cfRule type="expression" dxfId="38" priority="1130">
      <formula>$M$66&lt;&gt;#REF!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1">
      <formula>$M$77=#REF!</formula>
    </cfRule>
    <cfRule type="expression" dxfId="32" priority="1120">
      <formula>$M$77&lt;&gt;#REF!</formula>
    </cfRule>
  </conditionalFormatting>
  <conditionalFormatting sqref="M85:N85">
    <cfRule type="expression" dxfId="31" priority="1111">
      <formula>$M$85=#REF!</formula>
    </cfRule>
    <cfRule type="expression" dxfId="30" priority="1110">
      <formula>$M$85&lt;&gt;#REF!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1">
      <formula>$M$108=#REF!</formula>
    </cfRule>
    <cfRule type="expression" dxfId="23" priority="980">
      <formula>$M$108&lt;&gt;#REF!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6">
      <formula>$M$138=#REF!</formula>
    </cfRule>
    <cfRule type="expression" dxfId="11" priority="1175">
      <formula>$M$138&lt;&gt;#REF!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A6" sqref="A6:A23"/>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c r="A64" s="21" t="str">
        <f>IF(LEFT(RES!A76,1)="*","*","")</f>
        <v>*</v>
      </c>
      <c r="B64" s="509" t="str">
        <f>IF(A64="*","",RES!B76)</f>
        <v/>
      </c>
      <c r="C64" s="21" t="str">
        <f>IF(A64="*","",RES!A76)</f>
        <v/>
      </c>
      <c r="D64" s="32" t="s">
        <v>924</v>
      </c>
      <c r="E64" s="32" t="str">
        <f t="shared" si="3"/>
        <v/>
      </c>
      <c r="F64" s="32" t="str">
        <f t="shared" si="4"/>
        <v/>
      </c>
      <c r="G64" s="32" t="str">
        <f t="shared" si="5"/>
        <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c r="A128" s="21" t="str">
        <f>IF(LEFT(RES!A140,1)="*","*","")</f>
        <v>*</v>
      </c>
      <c r="B128" s="509" t="str">
        <f>IF(A128="*","",RES!B140)</f>
        <v/>
      </c>
      <c r="C128" s="21" t="str">
        <f>IF(A128="*","",RES!A140)</f>
        <v/>
      </c>
      <c r="D128" s="32" t="s">
        <v>924</v>
      </c>
      <c r="E128" s="32" t="str">
        <f t="shared" si="6"/>
        <v/>
      </c>
      <c r="F128" s="32" t="str">
        <f t="shared" si="7"/>
        <v/>
      </c>
      <c r="G128" s="32" t="str">
        <f t="shared" si="8"/>
        <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1017</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1021</v>
      </c>
      <c r="C7" s="586" t="s">
        <v>914</v>
      </c>
      <c r="D7" s="585" t="s">
        <v>1020</v>
      </c>
      <c r="E7" s="580">
        <v>2017</v>
      </c>
    </row>
    <row r="8" spans="1:5">
      <c r="A8" s="580" t="str">
        <f t="shared" ref="A8:A37" si="0">IF(C8=0,"*","")</f>
        <v/>
      </c>
      <c r="B8" s="583" t="s">
        <v>1022</v>
      </c>
      <c r="C8" s="581" t="str">
        <f>RES!D39</f>
        <v>RLEL</v>
      </c>
      <c r="D8" s="582" t="s">
        <v>49</v>
      </c>
      <c r="E8" s="584">
        <f>SUMIF(Lighting!$E$25:$E$35,C8,Lighting!$P$25:$P$35)</f>
        <v>15.542686039399339</v>
      </c>
    </row>
    <row r="9" spans="1:5">
      <c r="A9" s="580" t="str">
        <f t="shared" si="0"/>
        <v/>
      </c>
      <c r="B9" s="583" t="s">
        <v>1022</v>
      </c>
      <c r="C9" s="581" t="s">
        <v>259</v>
      </c>
      <c r="D9" s="582" t="s">
        <v>49</v>
      </c>
      <c r="E9" s="584">
        <f>SUMIF(RES!$D$39:$D$300,C9,RES!$N$39:$N$300)</f>
        <v>3.6541482196776116E-2</v>
      </c>
    </row>
    <row r="10" spans="1:5">
      <c r="A10" s="580" t="str">
        <f t="shared" si="0"/>
        <v/>
      </c>
      <c r="B10" s="583" t="s">
        <v>1022</v>
      </c>
      <c r="C10" s="581" t="s">
        <v>243</v>
      </c>
      <c r="D10" s="582" t="s">
        <v>49</v>
      </c>
      <c r="E10" s="584">
        <f>SUMIF(RES!$D$39:$D$300,C10,RES!$N$39:$N$300)</f>
        <v>11.428450394710401</v>
      </c>
    </row>
    <row r="11" spans="1:5">
      <c r="A11" s="580" t="str">
        <f t="shared" si="0"/>
        <v/>
      </c>
      <c r="B11" s="583" t="s">
        <v>1022</v>
      </c>
      <c r="C11" s="581" t="s">
        <v>244</v>
      </c>
      <c r="D11" s="582" t="s">
        <v>49</v>
      </c>
      <c r="E11" s="584">
        <f>SUMIF(RES!$D$39:$D$300,C11,RES!$N$39:$N$300)</f>
        <v>9.2994915751840512</v>
      </c>
    </row>
    <row r="12" spans="1:5">
      <c r="A12" s="580" t="str">
        <f t="shared" si="0"/>
        <v/>
      </c>
      <c r="B12" s="583" t="s">
        <v>1022</v>
      </c>
      <c r="C12" s="581" t="s">
        <v>557</v>
      </c>
      <c r="D12" s="582" t="s">
        <v>49</v>
      </c>
      <c r="E12" s="584">
        <f>SUMIF(RES!$D$39:$D$300,C12,RES!$N$39:$N$300)</f>
        <v>0</v>
      </c>
    </row>
    <row r="13" spans="1:5">
      <c r="A13" s="580" t="str">
        <f t="shared" si="0"/>
        <v/>
      </c>
      <c r="B13" s="583" t="s">
        <v>1022</v>
      </c>
      <c r="C13" s="581" t="s">
        <v>245</v>
      </c>
      <c r="D13" s="582" t="s">
        <v>49</v>
      </c>
      <c r="E13" s="584">
        <f>SUMIF(RES!$D$39:$D$300,C13,RES!$N$39:$N$300)</f>
        <v>4.5736255741133904</v>
      </c>
    </row>
    <row r="14" spans="1:5">
      <c r="A14" s="580" t="str">
        <f t="shared" si="0"/>
        <v/>
      </c>
      <c r="B14" s="583" t="s">
        <v>1022</v>
      </c>
      <c r="C14" s="581" t="s">
        <v>246</v>
      </c>
      <c r="D14" s="582" t="s">
        <v>49</v>
      </c>
      <c r="E14" s="584">
        <f>SUMIF(RES!$D$39:$D$300,C14,RES!$N$39:$N$300)</f>
        <v>4.2534030449104945</v>
      </c>
    </row>
    <row r="15" spans="1:5">
      <c r="A15" s="580" t="str">
        <f t="shared" si="0"/>
        <v/>
      </c>
      <c r="B15" s="583" t="s">
        <v>1022</v>
      </c>
      <c r="C15" s="581" t="s">
        <v>247</v>
      </c>
      <c r="D15" s="582" t="s">
        <v>49</v>
      </c>
      <c r="E15" s="584">
        <f>SUMIF(RES!$D$39:$D$300,C15,RES!$N$39:$N$300)</f>
        <v>5.7452488569507176</v>
      </c>
    </row>
    <row r="16" spans="1:5">
      <c r="A16" s="580" t="str">
        <f t="shared" si="0"/>
        <v>*</v>
      </c>
      <c r="B16" s="583" t="s">
        <v>1022</v>
      </c>
      <c r="C16" s="581"/>
      <c r="D16" s="582" t="s">
        <v>49</v>
      </c>
      <c r="E16" s="584">
        <f>SUMIF(RES!$D$39:$D$300,C16,RES!$N$39:$N$300)</f>
        <v>0</v>
      </c>
    </row>
    <row r="17" spans="1:5">
      <c r="A17" s="580" t="str">
        <f t="shared" si="0"/>
        <v>*</v>
      </c>
      <c r="B17" s="583" t="s">
        <v>1022</v>
      </c>
      <c r="C17" s="581"/>
      <c r="D17" s="582" t="s">
        <v>49</v>
      </c>
      <c r="E17" s="584">
        <f>SUMIF(RES!$D$39:$D$300,C17,RES!$N$39:$N$300)</f>
        <v>0</v>
      </c>
    </row>
    <row r="18" spans="1:5">
      <c r="A18" s="580" t="str">
        <f t="shared" si="0"/>
        <v>*</v>
      </c>
      <c r="B18" s="583" t="s">
        <v>1022</v>
      </c>
      <c r="C18" s="581"/>
      <c r="D18" s="582" t="s">
        <v>49</v>
      </c>
      <c r="E18" s="584">
        <f>SUMIF(RES!$D$39:$D$300,C18,RES!$N$39:$N$300)</f>
        <v>0</v>
      </c>
    </row>
    <row r="19" spans="1:5">
      <c r="A19" s="580" t="str">
        <f t="shared" si="0"/>
        <v/>
      </c>
      <c r="B19" s="583" t="s">
        <v>1022</v>
      </c>
      <c r="C19" s="581" t="str">
        <f>ITEMS_Comm!B14</f>
        <v>RMEL</v>
      </c>
      <c r="D19" s="582" t="s">
        <v>49</v>
      </c>
      <c r="E19" s="584">
        <f>SUMIF(Lighting!$E$25:$E$35,C19,Lighting!$P$25:$P$35)</f>
        <v>14.579147778971207</v>
      </c>
    </row>
    <row r="20" spans="1:5">
      <c r="A20" s="580" t="str">
        <f t="shared" si="0"/>
        <v/>
      </c>
      <c r="B20" s="583" t="s">
        <v>1022</v>
      </c>
      <c r="C20" s="581" t="str">
        <f>ITEMS_Comm!B15</f>
        <v>RMNL</v>
      </c>
      <c r="D20" s="582" t="s">
        <v>49</v>
      </c>
      <c r="E20" s="584">
        <f>SUMIF(RES!$D$39:$D$300,C20,RES!$N$39:$N$300)</f>
        <v>7.1482186957706251E-2</v>
      </c>
    </row>
    <row r="21" spans="1:5">
      <c r="A21" s="580" t="str">
        <f t="shared" si="0"/>
        <v/>
      </c>
      <c r="B21" s="583" t="s">
        <v>1022</v>
      </c>
      <c r="C21" s="581" t="str">
        <f>ITEMS_Comm!B16</f>
        <v>RMEK</v>
      </c>
      <c r="D21" s="582" t="s">
        <v>49</v>
      </c>
      <c r="E21" s="584">
        <f>SUMIF(RES!$D$39:$D$300,C21,RES!$N$39:$N$300)</f>
        <v>10.272875852822654</v>
      </c>
    </row>
    <row r="22" spans="1:5">
      <c r="A22" s="580" t="str">
        <f t="shared" si="0"/>
        <v/>
      </c>
      <c r="B22" s="583" t="s">
        <v>1022</v>
      </c>
      <c r="C22" s="581" t="str">
        <f>ITEMS_Comm!B17</f>
        <v>RMEH</v>
      </c>
      <c r="D22" s="582" t="s">
        <v>49</v>
      </c>
      <c r="E22" s="584">
        <f>SUMIF(RES!$D$39:$D$300,C22,RES!$N$39:$N$300)</f>
        <v>9.6822001330816203</v>
      </c>
    </row>
    <row r="23" spans="1:5">
      <c r="A23" s="580" t="str">
        <f t="shared" si="0"/>
        <v/>
      </c>
      <c r="B23" s="583" t="s">
        <v>1022</v>
      </c>
      <c r="C23" s="581" t="str">
        <f>ITEMS_Comm!B18</f>
        <v>RMEW</v>
      </c>
      <c r="D23" s="582" t="s">
        <v>49</v>
      </c>
      <c r="E23" s="584">
        <f>SUMIF(RES!$D$39:$D$300,C23,RES!$N$39:$N$300)</f>
        <v>4.3678647382810798</v>
      </c>
    </row>
    <row r="24" spans="1:5">
      <c r="A24" s="580" t="str">
        <f t="shared" si="0"/>
        <v/>
      </c>
      <c r="B24" s="583" t="s">
        <v>1022</v>
      </c>
      <c r="C24" s="581" t="str">
        <f>ITEMS_Comm!B19</f>
        <v>RMEWG</v>
      </c>
      <c r="D24" s="582" t="s">
        <v>49</v>
      </c>
      <c r="E24" s="584">
        <f>SUMIF(RES!$D$39:$D$300,C24,RES!$N$39:$N$300)</f>
        <v>7.0312597139351638</v>
      </c>
    </row>
    <row r="25" spans="1:5">
      <c r="A25" s="580" t="str">
        <f t="shared" si="0"/>
        <v/>
      </c>
      <c r="B25" s="583" t="s">
        <v>1022</v>
      </c>
      <c r="C25" s="581" t="str">
        <f>ITEMS_Comm!B20</f>
        <v>RMER</v>
      </c>
      <c r="D25" s="582" t="s">
        <v>49</v>
      </c>
      <c r="E25" s="584">
        <f>SUMIF(RES!$D$39:$D$300,C25,RES!$N$39:$N$300)</f>
        <v>6.4871161947221347</v>
      </c>
    </row>
    <row r="26" spans="1:5">
      <c r="A26" s="580" t="str">
        <f t="shared" si="0"/>
        <v/>
      </c>
      <c r="B26" s="583" t="s">
        <v>1022</v>
      </c>
      <c r="C26" s="581" t="str">
        <f>ITEMS_Comm!B21</f>
        <v>RMEO</v>
      </c>
      <c r="D26" s="582" t="s">
        <v>49</v>
      </c>
      <c r="E26" s="584">
        <f>SUMIF(RES!$D$39:$D$300,C26,RES!$N$39:$N$300)</f>
        <v>7.7618829459684937</v>
      </c>
    </row>
    <row r="27" spans="1:5">
      <c r="A27" s="580" t="str">
        <f t="shared" si="0"/>
        <v>*</v>
      </c>
      <c r="B27" s="583" t="s">
        <v>1022</v>
      </c>
      <c r="C27" s="581"/>
      <c r="D27" s="582" t="s">
        <v>49</v>
      </c>
      <c r="E27" s="584">
        <f>SUMIF(RES!$D$39:$D$300,C27,RES!$N$39:$N$300)</f>
        <v>0</v>
      </c>
    </row>
    <row r="28" spans="1:5">
      <c r="A28" s="580" t="str">
        <f t="shared" si="0"/>
        <v>*</v>
      </c>
      <c r="B28" s="583" t="s">
        <v>1022</v>
      </c>
      <c r="C28" s="581"/>
      <c r="D28" s="582" t="s">
        <v>49</v>
      </c>
      <c r="E28" s="584">
        <f>SUMIF(RES!$D$39:$D$300,C28,RES!$N$39:$N$300)</f>
        <v>0</v>
      </c>
    </row>
    <row r="29" spans="1:5">
      <c r="A29" s="580" t="str">
        <f t="shared" si="0"/>
        <v>*</v>
      </c>
      <c r="B29" s="583" t="s">
        <v>1022</v>
      </c>
      <c r="C29" s="581"/>
      <c r="D29" s="582" t="s">
        <v>49</v>
      </c>
      <c r="E29" s="584">
        <f>SUMIF(RES!$D$39:$D$300,C29,RES!$N$39:$N$300)</f>
        <v>0</v>
      </c>
    </row>
    <row r="30" spans="1:5">
      <c r="A30" s="580" t="str">
        <f t="shared" si="0"/>
        <v/>
      </c>
      <c r="B30" s="583" t="s">
        <v>1022</v>
      </c>
      <c r="C30" s="581" t="str">
        <f>ITEMS_Comm!B22</f>
        <v>RHEL</v>
      </c>
      <c r="D30" s="582" t="s">
        <v>49</v>
      </c>
      <c r="E30" s="584">
        <f>SUMIF(Lighting!$E$25:$E$35,C30,Lighting!$P$25:$P$35)</f>
        <v>18.753897980536514</v>
      </c>
    </row>
    <row r="31" spans="1:5">
      <c r="A31" s="580" t="str">
        <f t="shared" si="0"/>
        <v/>
      </c>
      <c r="B31" s="583" t="s">
        <v>1022</v>
      </c>
      <c r="C31" s="581" t="str">
        <f>ITEMS_Comm!B23</f>
        <v>RHEK</v>
      </c>
      <c r="D31" s="582" t="s">
        <v>49</v>
      </c>
      <c r="E31" s="584">
        <f>SUMIF(RES!$D$39:$D$300,C31,RES!$N$39:$N$300)</f>
        <v>7.6194416260697446</v>
      </c>
    </row>
    <row r="32" spans="1:5">
      <c r="A32" s="580" t="str">
        <f t="shared" si="0"/>
        <v/>
      </c>
      <c r="B32" s="583" t="s">
        <v>1022</v>
      </c>
      <c r="C32" s="581" t="str">
        <f>ITEMS_Comm!B24</f>
        <v>RHEH</v>
      </c>
      <c r="D32" s="582" t="s">
        <v>49</v>
      </c>
      <c r="E32" s="584">
        <f>SUMIF(RES!$D$39:$D$300,C32,RES!$N$39:$N$300)</f>
        <v>5.1732793164602766</v>
      </c>
    </row>
    <row r="33" spans="1:8">
      <c r="A33" s="580" t="str">
        <f t="shared" si="0"/>
        <v/>
      </c>
      <c r="B33" s="583" t="s">
        <v>1022</v>
      </c>
      <c r="C33" s="581" t="str">
        <f>ITEMS_Comm!B25</f>
        <v>RHEW</v>
      </c>
      <c r="D33" s="582" t="s">
        <v>49</v>
      </c>
      <c r="E33" s="584">
        <f>SUMIF(RES!$D$39:$D$300,C33,RES!$N$39:$N$300)</f>
        <v>0</v>
      </c>
    </row>
    <row r="34" spans="1:8">
      <c r="A34" s="580" t="str">
        <f t="shared" si="0"/>
        <v/>
      </c>
      <c r="B34" s="583" t="s">
        <v>1022</v>
      </c>
      <c r="C34" s="581" t="str">
        <f>ITEMS_Comm!B26</f>
        <v>RHEWG</v>
      </c>
      <c r="D34" s="582" t="s">
        <v>49</v>
      </c>
      <c r="E34" s="584">
        <f>SUMIF(RES!$D$39:$D$300,C34,RES!$N$39:$N$300)</f>
        <v>45.414760497818975</v>
      </c>
    </row>
    <row r="35" spans="1:8">
      <c r="A35" s="580" t="str">
        <f t="shared" si="0"/>
        <v/>
      </c>
      <c r="B35" s="583" t="s">
        <v>1022</v>
      </c>
      <c r="C35" s="581" t="str">
        <f>ITEMS_Comm!B27</f>
        <v>RHER</v>
      </c>
      <c r="D35" s="582" t="s">
        <v>49</v>
      </c>
      <c r="E35" s="584">
        <f>SUMIF(RES!$D$39:$D$300,C35,RES!$N$39:$N$300)</f>
        <v>8.0408397122186752</v>
      </c>
    </row>
    <row r="36" spans="1:8">
      <c r="A36" s="580" t="str">
        <f t="shared" si="0"/>
        <v/>
      </c>
      <c r="B36" s="583" t="s">
        <v>1022</v>
      </c>
      <c r="C36" s="581" t="str">
        <f>ITEMS_Comm!B28</f>
        <v>RHEO</v>
      </c>
      <c r="D36" s="582" t="s">
        <v>49</v>
      </c>
      <c r="E36" s="584">
        <f>SUMIF(RES!$D$39:$D$300,C36,RES!$N$39:$N$300)</f>
        <v>14.275027367959954</v>
      </c>
    </row>
    <row r="37" spans="1:8">
      <c r="A37" s="580" t="str">
        <f t="shared" si="0"/>
        <v>*</v>
      </c>
      <c r="B37" s="583" t="s">
        <v>1022</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7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1" t="s">
        <v>751</v>
      </c>
      <c r="C81" s="631"/>
      <c r="D81" s="631"/>
      <c r="E81" s="631"/>
      <c r="F81" s="631"/>
      <c r="G81" s="631"/>
      <c r="H81" s="368">
        <v>0.115</v>
      </c>
      <c r="I81" s="111">
        <f>H81*$D$16</f>
        <v>46.575000000000003</v>
      </c>
    </row>
    <row r="82" spans="1:9">
      <c r="B82" s="631" t="s">
        <v>752</v>
      </c>
      <c r="C82" s="631"/>
      <c r="D82" s="631"/>
      <c r="E82" s="631"/>
      <c r="F82" s="631"/>
      <c r="G82" s="631"/>
      <c r="H82" s="368">
        <v>4.5999999999999999E-2</v>
      </c>
      <c r="I82" s="111">
        <f t="shared" ref="I82:I85" si="0">H82*$D$16</f>
        <v>18.63</v>
      </c>
    </row>
    <row r="83" spans="1:9">
      <c r="B83" s="631" t="s">
        <v>753</v>
      </c>
      <c r="C83" s="631"/>
      <c r="D83" s="631"/>
      <c r="E83" s="631"/>
      <c r="F83" s="631"/>
      <c r="G83" s="631"/>
      <c r="H83" s="368">
        <v>0.03</v>
      </c>
      <c r="I83" s="111">
        <f t="shared" si="0"/>
        <v>12.15</v>
      </c>
    </row>
    <row r="84" spans="1:9">
      <c r="B84" s="631" t="s">
        <v>754</v>
      </c>
      <c r="C84" s="631"/>
      <c r="D84" s="631"/>
      <c r="E84" s="631"/>
      <c r="F84" s="631"/>
      <c r="G84" s="631"/>
      <c r="H84" s="368">
        <v>0.1</v>
      </c>
      <c r="I84" s="111">
        <f t="shared" si="0"/>
        <v>40.5</v>
      </c>
    </row>
    <row r="85" spans="1:9">
      <c r="B85" s="631" t="s">
        <v>755</v>
      </c>
      <c r="C85" s="631"/>
      <c r="D85" s="631"/>
      <c r="E85" s="631"/>
      <c r="F85" s="631"/>
      <c r="G85" s="631"/>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2023-09-18T08:58:11Z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