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dels\SATIMGE_Veda\suppxls\"/>
    </mc:Choice>
  </mc:AlternateContent>
  <xr:revisionPtr revIDLastSave="0" documentId="13_ncr:1_{28988AEB-ECF8-4D97-8279-C67A982281AB}" xr6:coauthVersionLast="47" xr6:coauthVersionMax="47" xr10:uidLastSave="{00000000-0000-0000-0000-000000000000}"/>
  <bookViews>
    <workbookView xWindow="1560" yWindow="1560" windowWidth="26610" windowHeight="13740" xr2:uid="{671607C8-68C0-4A87-A5B4-32E28DB1AABF}"/>
  </bookViews>
  <sheets>
    <sheet name="SUP" sheetId="1" r:id="rId1"/>
    <sheet name="Liq Fuel Prices" sheetId="2" r:id="rId2"/>
    <sheet name="IEA_WEO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_FDS_HYPERLINK_TOGGLE_STATE__" hidden="1">"ON"</definedName>
    <definedName name="_AMO_RefreshMultipleList" hidden="1">"'296899469 426988102 362274166 589584065 285770244'"</definedName>
    <definedName name="_AMO_SingleObject_296899469__A1" hidden="1">#REF!</definedName>
    <definedName name="_AMO_UniqueIdentifier" hidden="1">"'ee2dcedb-2b19-4872-8d76-977f9596c89e'"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GR">[1]Index!$C$7</definedName>
    <definedName name="COM">[1]Index!$C$8</definedName>
    <definedName name="CV_Coal">'[2]Calorific values'!$B$18</definedName>
    <definedName name="CV_GasSASOL">'[2]Calorific values'!$B$8</definedName>
    <definedName name="Demand.Sectors">[3]Index!$D$2:$J$2</definedName>
    <definedName name="diesel.cv">[4]units!$B$2</definedName>
    <definedName name="drate">'[5]TechWATv5 (supwat5)'!$E$3</definedName>
    <definedName name="emissions_start">[3]NameConv!$AY$4</definedName>
    <definedName name="emissions_types">[3]NameConv!$AX$3</definedName>
    <definedName name="FuelNames">[6]NameConv!$B$5:$C$46</definedName>
    <definedName name="FuelNamesLong">[6]NameConv!$B$5:$B$46</definedName>
    <definedName name="FuelNamesShort">[6]NameConv!$C$5:$C$46</definedName>
    <definedName name="gwpch4">'[2]SASOL CC 2019 report'!$E$98</definedName>
    <definedName name="gwpn2o">'[2]SASOL CC 2019 report'!$E$97</definedName>
    <definedName name="H2.LHV.MJ_kg">'[3]Hydrogen-ELT'!$D$39</definedName>
    <definedName name="inchtocentimetre">[6]FuelDistribution!$A$20</definedName>
    <definedName name="IND">[1]Index!$C$9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odel_RUN_code">[3]Index!$A$2</definedName>
    <definedName name="New_basic_data_start">'[7]New Capacity basic data'!$B$9</definedName>
    <definedName name="petrol.cv">[4]units!$B$3</definedName>
    <definedName name="REF.crude.CAP_rel.2020">'[3]Crude refineries'!$F$56</definedName>
    <definedName name="REF.crude.CAP_rel.2021">'[3]Crude refineries'!$G$56</definedName>
    <definedName name="REF.crude.CAP_rel.2022">'[3]Crude refineries'!$H$56</definedName>
    <definedName name="REF.crude.CAP_rel.2030">'[3]Crude refineries'!$J$56</definedName>
    <definedName name="REF.crude.CAP_rel.2040">'[3]Crude refineries'!$L$56</definedName>
    <definedName name="RES">[1]Index!$C$10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ector.Agriculture">[3]Index!$D$2</definedName>
    <definedName name="Sector.Commercial">[3]Index!$E$2</definedName>
    <definedName name="Sector.Industry">[3]Index!$F$2</definedName>
    <definedName name="Sector.Power">[3]Index!$I$2</definedName>
    <definedName name="Sector.Residential">[3]Index!$H$2</definedName>
    <definedName name="Sector.Supply">[3]Index!$J$2</definedName>
    <definedName name="Sector.Transport">[3]Index!$G$2</definedName>
    <definedName name="sector_prefix">[6]LNG!#REF!</definedName>
    <definedName name="SectorNamesLong">[6]NameConv!$C$51:$C$59</definedName>
    <definedName name="SectorNamesShort">[6]NameConv!$B$51:$B$59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SUP!$A$87</definedName>
    <definedName name="solver_typ" localSheetId="0" hidden="1">1</definedName>
    <definedName name="solver_val" localSheetId="0" hidden="1">0</definedName>
    <definedName name="solver_ver" localSheetId="0" hidden="1">3</definedName>
    <definedName name="TRA">[1]Index!$C$11</definedName>
    <definedName name="zar.2006">[8]Deflator!$L$4</definedName>
    <definedName name="zar.2009">[8]Deflator!$O$4</definedName>
    <definedName name="zar.2010">[8]Deflator!$P$4</definedName>
    <definedName name="zar.2012">[8]Deflator!$R$4</definedName>
    <definedName name="zar.2013">[8]Deflator!$S$4</definedName>
    <definedName name="zar.2014">[8]Deflator!$T$4</definedName>
    <definedName name="zar.2015">[8]Deflator!$U$4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9" i="1" l="1"/>
  <c r="J59" i="1"/>
  <c r="K59" i="1"/>
  <c r="H59" i="1" l="1"/>
  <c r="I70" i="1"/>
  <c r="J70" i="1" s="1"/>
  <c r="K70" i="1" s="1"/>
  <c r="I71" i="1"/>
  <c r="J71" i="1" s="1"/>
  <c r="K71" i="1" s="1"/>
  <c r="I72" i="1"/>
  <c r="J72" i="1" s="1"/>
  <c r="K72" i="1" s="1"/>
  <c r="AO14" i="3"/>
  <c r="AT14" i="3"/>
  <c r="AU20" i="3" s="1"/>
  <c r="AY14" i="3"/>
  <c r="AO16" i="3"/>
  <c r="AT16" i="3"/>
  <c r="AY16" i="3"/>
  <c r="AO17" i="3"/>
  <c r="AT17" i="3"/>
  <c r="AT21" i="3" s="1"/>
  <c r="AY17" i="3"/>
  <c r="AZ21" i="3" s="1"/>
  <c r="BK17" i="3"/>
  <c r="AO18" i="3"/>
  <c r="AT18" i="3"/>
  <c r="AY18" i="3"/>
  <c r="AO19" i="3"/>
  <c r="AP20" i="3" s="1"/>
  <c r="AT19" i="3"/>
  <c r="AY19" i="3"/>
  <c r="AY20" i="3" s="1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Q20" i="3"/>
  <c r="AR20" i="3"/>
  <c r="AS20" i="3"/>
  <c r="AT20" i="3"/>
  <c r="AV20" i="3"/>
  <c r="AW20" i="3"/>
  <c r="AX20" i="3"/>
  <c r="AZ20" i="3"/>
  <c r="BA20" i="3"/>
  <c r="BB20" i="3"/>
  <c r="BC20" i="3"/>
  <c r="AO21" i="3"/>
  <c r="AP21" i="3"/>
  <c r="AQ21" i="3"/>
  <c r="AR21" i="3"/>
  <c r="AS21" i="3"/>
  <c r="AV21" i="3"/>
  <c r="AW21" i="3"/>
  <c r="AX21" i="3"/>
  <c r="AY21" i="3"/>
  <c r="BA21" i="3"/>
  <c r="BB21" i="3"/>
  <c r="BC21" i="3"/>
  <c r="D23" i="3"/>
  <c r="E23" i="3"/>
  <c r="F23" i="3"/>
  <c r="G23" i="3"/>
  <c r="D24" i="3" s="1"/>
  <c r="H23" i="3"/>
  <c r="I23" i="3"/>
  <c r="J23" i="3"/>
  <c r="I24" i="3" s="1"/>
  <c r="I25" i="3" s="1"/>
  <c r="K23" i="3"/>
  <c r="L23" i="3"/>
  <c r="M23" i="3"/>
  <c r="N23" i="3"/>
  <c r="O23" i="3"/>
  <c r="N24" i="3" s="1"/>
  <c r="P23" i="3"/>
  <c r="Q23" i="3"/>
  <c r="R23" i="3"/>
  <c r="T23" i="3"/>
  <c r="V23" i="3"/>
  <c r="V24" i="3" s="1"/>
  <c r="W23" i="3"/>
  <c r="X23" i="3"/>
  <c r="Y23" i="3"/>
  <c r="Z23" i="3"/>
  <c r="AA23" i="3"/>
  <c r="AB23" i="3"/>
  <c r="AC23" i="3"/>
  <c r="AD23" i="3"/>
  <c r="AE23" i="3"/>
  <c r="AF23" i="3"/>
  <c r="AF24" i="3" s="1"/>
  <c r="AG23" i="3"/>
  <c r="AH23" i="3"/>
  <c r="AI23" i="3"/>
  <c r="AJ23" i="3"/>
  <c r="AM23" i="3"/>
  <c r="AO23" i="3"/>
  <c r="AP23" i="3"/>
  <c r="AQ23" i="3"/>
  <c r="AO24" i="3" s="1"/>
  <c r="AY25" i="3" s="1"/>
  <c r="AR23" i="3"/>
  <c r="AS23" i="3"/>
  <c r="AT23" i="3"/>
  <c r="AU23" i="3"/>
  <c r="AV23" i="3"/>
  <c r="AW23" i="3"/>
  <c r="AX23" i="3"/>
  <c r="AY23" i="3"/>
  <c r="AY24" i="3" s="1"/>
  <c r="AZ23" i="3"/>
  <c r="BA23" i="3"/>
  <c r="BB23" i="3"/>
  <c r="BC23" i="3"/>
  <c r="AA24" i="3"/>
  <c r="AA25" i="3" s="1"/>
  <c r="AT24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K28" i="3"/>
  <c r="BL28" i="3" s="1"/>
  <c r="BM28" i="3" s="1"/>
  <c r="BN28" i="3" s="1"/>
  <c r="BO28" i="3" s="1"/>
  <c r="BP28" i="3" s="1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T33" i="3"/>
  <c r="U33" i="3"/>
  <c r="V42" i="3" s="1"/>
  <c r="V33" i="3"/>
  <c r="W33" i="3"/>
  <c r="X33" i="3"/>
  <c r="Y33" i="3"/>
  <c r="Z33" i="3"/>
  <c r="AA33" i="3"/>
  <c r="AB33" i="3"/>
  <c r="AC33" i="3"/>
  <c r="AD33" i="3"/>
  <c r="AE33" i="3"/>
  <c r="AF33" i="3"/>
  <c r="AG33" i="3"/>
  <c r="AG42" i="3" s="1"/>
  <c r="AH33" i="3"/>
  <c r="AI33" i="3"/>
  <c r="AJ33" i="3"/>
  <c r="AM33" i="3"/>
  <c r="AN33" i="3"/>
  <c r="AO33" i="3"/>
  <c r="AP33" i="3"/>
  <c r="AQ42" i="3" s="1"/>
  <c r="AQ33" i="3"/>
  <c r="AR33" i="3"/>
  <c r="AS33" i="3"/>
  <c r="AT33" i="3"/>
  <c r="AU33" i="3"/>
  <c r="AU42" i="3" s="1"/>
  <c r="AV33" i="3"/>
  <c r="AW33" i="3"/>
  <c r="AW42" i="3" s="1"/>
  <c r="AX33" i="3"/>
  <c r="AY33" i="3"/>
  <c r="AZ33" i="3"/>
  <c r="BA33" i="3"/>
  <c r="BB33" i="3"/>
  <c r="BC42" i="3" s="1"/>
  <c r="BC33" i="3"/>
  <c r="T35" i="3"/>
  <c r="U35" i="3"/>
  <c r="V35" i="3"/>
  <c r="W35" i="3"/>
  <c r="W45" i="3" s="1"/>
  <c r="X35" i="3"/>
  <c r="Y35" i="3"/>
  <c r="Y45" i="3" s="1"/>
  <c r="Z35" i="3"/>
  <c r="AA35" i="3"/>
  <c r="AB35" i="3"/>
  <c r="AB45" i="3" s="1"/>
  <c r="AC35" i="3"/>
  <c r="AD35" i="3"/>
  <c r="AD45" i="3" s="1"/>
  <c r="AE35" i="3"/>
  <c r="AF35" i="3"/>
  <c r="AG35" i="3"/>
  <c r="AH35" i="3"/>
  <c r="AH45" i="3" s="1"/>
  <c r="AI35" i="3"/>
  <c r="AJ35" i="3"/>
  <c r="AM35" i="3"/>
  <c r="AN35" i="3"/>
  <c r="AO35" i="3"/>
  <c r="AP35" i="3"/>
  <c r="AP45" i="3" s="1"/>
  <c r="AQ35" i="3"/>
  <c r="AR35" i="3"/>
  <c r="AS35" i="3"/>
  <c r="AT35" i="3"/>
  <c r="AU45" i="3" s="1"/>
  <c r="AU35" i="3"/>
  <c r="AV35" i="3"/>
  <c r="AV45" i="3" s="1"/>
  <c r="AW35" i="3"/>
  <c r="AW45" i="3" s="1"/>
  <c r="AX35" i="3"/>
  <c r="AY35" i="3"/>
  <c r="AZ45" i="3" s="1"/>
  <c r="AZ35" i="3"/>
  <c r="BA35" i="3"/>
  <c r="BA45" i="3" s="1"/>
  <c r="BB35" i="3"/>
  <c r="BC35" i="3"/>
  <c r="T36" i="3"/>
  <c r="U36" i="3"/>
  <c r="V36" i="3"/>
  <c r="W46" i="3" s="1"/>
  <c r="W36" i="3"/>
  <c r="X36" i="3"/>
  <c r="X46" i="3" s="1"/>
  <c r="Y36" i="3"/>
  <c r="Y46" i="3" s="1"/>
  <c r="Z36" i="3"/>
  <c r="AA36" i="3"/>
  <c r="AA46" i="3" s="1"/>
  <c r="AB36" i="3"/>
  <c r="AC36" i="3"/>
  <c r="AC46" i="3" s="1"/>
  <c r="AD36" i="3"/>
  <c r="AE36" i="3"/>
  <c r="AF36" i="3"/>
  <c r="AF46" i="3" s="1"/>
  <c r="AG36" i="3"/>
  <c r="AH36" i="3"/>
  <c r="AI46" i="3" s="1"/>
  <c r="AI36" i="3"/>
  <c r="AJ36" i="3"/>
  <c r="AJ46" i="3" s="1"/>
  <c r="AM36" i="3"/>
  <c r="AN36" i="3"/>
  <c r="AO36" i="3"/>
  <c r="AO46" i="3" s="1"/>
  <c r="AP36" i="3"/>
  <c r="AQ36" i="3"/>
  <c r="AQ46" i="3" s="1"/>
  <c r="AR36" i="3"/>
  <c r="AS36" i="3"/>
  <c r="AT36" i="3"/>
  <c r="AT46" i="3" s="1"/>
  <c r="AU36" i="3"/>
  <c r="AV36" i="3"/>
  <c r="AW46" i="3" s="1"/>
  <c r="AW36" i="3"/>
  <c r="AX36" i="3"/>
  <c r="AX46" i="3" s="1"/>
  <c r="AY36" i="3"/>
  <c r="AZ46" i="3" s="1"/>
  <c r="AZ36" i="3"/>
  <c r="BA36" i="3"/>
  <c r="BA46" i="3" s="1"/>
  <c r="BB36" i="3"/>
  <c r="BC36" i="3"/>
  <c r="BC46" i="3" s="1"/>
  <c r="T37" i="3"/>
  <c r="U37" i="3"/>
  <c r="V37" i="3"/>
  <c r="V47" i="3" s="1"/>
  <c r="W37" i="3"/>
  <c r="X37" i="3"/>
  <c r="X47" i="3" s="1"/>
  <c r="Y37" i="3"/>
  <c r="Z37" i="3"/>
  <c r="Z47" i="3" s="1"/>
  <c r="AA37" i="3"/>
  <c r="AB47" i="3" s="1"/>
  <c r="AB37" i="3"/>
  <c r="AC37" i="3"/>
  <c r="AD47" i="3" s="1"/>
  <c r="AD37" i="3"/>
  <c r="AE37" i="3"/>
  <c r="AE47" i="3" s="1"/>
  <c r="AF37" i="3"/>
  <c r="AG37" i="3"/>
  <c r="AH37" i="3"/>
  <c r="AH47" i="3" s="1"/>
  <c r="AI37" i="3"/>
  <c r="AJ37" i="3"/>
  <c r="AJ47" i="3" s="1"/>
  <c r="AM37" i="3"/>
  <c r="AN37" i="3"/>
  <c r="AY47" i="3" s="1"/>
  <c r="AO37" i="3"/>
  <c r="AO47" i="3" s="1"/>
  <c r="AP37" i="3"/>
  <c r="AQ37" i="3"/>
  <c r="AQ47" i="3" s="1"/>
  <c r="AR37" i="3"/>
  <c r="AS37" i="3"/>
  <c r="AS47" i="3" s="1"/>
  <c r="AT37" i="3"/>
  <c r="AU37" i="3"/>
  <c r="AU47" i="3" s="1"/>
  <c r="AV37" i="3"/>
  <c r="AW47" i="3" s="1"/>
  <c r="AW37" i="3"/>
  <c r="AX37" i="3"/>
  <c r="AY37" i="3"/>
  <c r="AZ37" i="3"/>
  <c r="AZ47" i="3" s="1"/>
  <c r="BA37" i="3"/>
  <c r="BA47" i="3" s="1"/>
  <c r="BB37" i="3"/>
  <c r="BC37" i="3"/>
  <c r="BC47" i="3" s="1"/>
  <c r="T38" i="3"/>
  <c r="U38" i="3"/>
  <c r="AA48" i="3" s="1"/>
  <c r="V38" i="3"/>
  <c r="W38" i="3"/>
  <c r="W48" i="3" s="1"/>
  <c r="X38" i="3"/>
  <c r="Y48" i="3" s="1"/>
  <c r="Y38" i="3"/>
  <c r="Z38" i="3"/>
  <c r="Z48" i="3" s="1"/>
  <c r="AA38" i="3"/>
  <c r="AB38" i="3"/>
  <c r="AB48" i="3" s="1"/>
  <c r="AC38" i="3"/>
  <c r="AC48" i="3" s="1"/>
  <c r="AD38" i="3"/>
  <c r="AE38" i="3"/>
  <c r="AE48" i="3" s="1"/>
  <c r="AF38" i="3"/>
  <c r="AG38" i="3"/>
  <c r="AG48" i="3" s="1"/>
  <c r="AH38" i="3"/>
  <c r="AI38" i="3"/>
  <c r="AI48" i="3" s="1"/>
  <c r="AJ38" i="3"/>
  <c r="AM38" i="3"/>
  <c r="AN38" i="3"/>
  <c r="AY48" i="3" s="1"/>
  <c r="AO38" i="3"/>
  <c r="AP38" i="3"/>
  <c r="AP48" i="3" s="1"/>
  <c r="AQ38" i="3"/>
  <c r="AQ48" i="3" s="1"/>
  <c r="AR38" i="3"/>
  <c r="AS38" i="3"/>
  <c r="AS48" i="3" s="1"/>
  <c r="AT38" i="3"/>
  <c r="AT48" i="3" s="1"/>
  <c r="AU38" i="3"/>
  <c r="AU48" i="3" s="1"/>
  <c r="AV38" i="3"/>
  <c r="AW38" i="3"/>
  <c r="AW48" i="3" s="1"/>
  <c r="AX38" i="3"/>
  <c r="AY38" i="3"/>
  <c r="AZ38" i="3"/>
  <c r="AZ48" i="3" s="1"/>
  <c r="BA38" i="3"/>
  <c r="BB38" i="3"/>
  <c r="BB48" i="3" s="1"/>
  <c r="BC38" i="3"/>
  <c r="BC48" i="3" s="1"/>
  <c r="D41" i="3"/>
  <c r="E41" i="3"/>
  <c r="F41" i="3"/>
  <c r="W42" i="3"/>
  <c r="X42" i="3"/>
  <c r="AC42" i="3"/>
  <c r="AI42" i="3"/>
  <c r="AJ42" i="3"/>
  <c r="AF45" i="3"/>
  <c r="AT45" i="3"/>
  <c r="AY45" i="3"/>
  <c r="V46" i="3"/>
  <c r="AP46" i="3"/>
  <c r="D47" i="3"/>
  <c r="E47" i="3"/>
  <c r="D48" i="3" s="1"/>
  <c r="F47" i="3"/>
  <c r="G47" i="3"/>
  <c r="H47" i="3"/>
  <c r="I47" i="3"/>
  <c r="Y47" i="3"/>
  <c r="AX47" i="3"/>
  <c r="BK61" i="3"/>
  <c r="BL61" i="3"/>
  <c r="F73" i="3"/>
  <c r="F75" i="3"/>
  <c r="G75" i="3"/>
  <c r="H75" i="3" s="1"/>
  <c r="I75" i="3" s="1"/>
  <c r="J75" i="3" s="1"/>
  <c r="K75" i="3" s="1"/>
  <c r="L75" i="3" s="1"/>
  <c r="M75" i="3" s="1"/>
  <c r="N75" i="3" s="1"/>
  <c r="O75" i="3" s="1"/>
  <c r="P75" i="3" s="1"/>
  <c r="Q75" i="3" s="1"/>
  <c r="R75" i="3" s="1"/>
  <c r="S75" i="3" s="1"/>
  <c r="T75" i="3" s="1"/>
  <c r="U75" i="3" s="1"/>
  <c r="V75" i="3" s="1"/>
  <c r="W75" i="3" s="1"/>
  <c r="X75" i="3" s="1"/>
  <c r="Y75" i="3" s="1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D77" i="3"/>
  <c r="E77" i="3"/>
  <c r="E73" i="3" s="1"/>
  <c r="F77" i="3"/>
  <c r="F83" i="3"/>
  <c r="G83" i="3" s="1"/>
  <c r="H83" i="3" s="1"/>
  <c r="I83" i="3" s="1"/>
  <c r="J83" i="3" s="1"/>
  <c r="K83" i="3" s="1"/>
  <c r="L83" i="3" s="1"/>
  <c r="M83" i="3" s="1"/>
  <c r="N83" i="3" s="1"/>
  <c r="O83" i="3" s="1"/>
  <c r="P83" i="3" s="1"/>
  <c r="Q83" i="3" s="1"/>
  <c r="R83" i="3" s="1"/>
  <c r="S83" i="3" s="1"/>
  <c r="T83" i="3" s="1"/>
  <c r="U83" i="3" s="1"/>
  <c r="V83" i="3" s="1"/>
  <c r="W83" i="3" s="1"/>
  <c r="X83" i="3" s="1"/>
  <c r="Y83" i="3" s="1"/>
  <c r="Z83" i="3" s="1"/>
  <c r="AA83" i="3" s="1"/>
  <c r="AB83" i="3" s="1"/>
  <c r="AC83" i="3" s="1"/>
  <c r="AD83" i="3" s="1"/>
  <c r="AE83" i="3" s="1"/>
  <c r="AF83" i="3" s="1"/>
  <c r="AG83" i="3" s="1"/>
  <c r="AH83" i="3" s="1"/>
  <c r="AI83" i="3" s="1"/>
  <c r="AJ83" i="3" s="1"/>
  <c r="AK83" i="3" s="1"/>
  <c r="AL83" i="3" s="1"/>
  <c r="AM83" i="3" s="1"/>
  <c r="AN83" i="3" s="1"/>
  <c r="AX83" i="3" s="1"/>
  <c r="AY83" i="3" s="1"/>
  <c r="AZ83" i="3" s="1"/>
  <c r="BA83" i="3" s="1"/>
  <c r="BB83" i="3" s="1"/>
  <c r="D85" i="3"/>
  <c r="E85" i="3"/>
  <c r="F85" i="3"/>
  <c r="CM94" i="3"/>
  <c r="CM95" i="3" s="1"/>
  <c r="CR94" i="3"/>
  <c r="CR95" i="3" s="1"/>
  <c r="CK95" i="3"/>
  <c r="CK137" i="3" s="1"/>
  <c r="CO95" i="3"/>
  <c r="CP95" i="3"/>
  <c r="CK96" i="3"/>
  <c r="CO96" i="3"/>
  <c r="CL102" i="3" s="1"/>
  <c r="CP96" i="3"/>
  <c r="CJ100" i="3"/>
  <c r="CK100" i="3"/>
  <c r="CL100" i="3"/>
  <c r="CJ101" i="3"/>
  <c r="CL101" i="3"/>
  <c r="CJ102" i="3"/>
  <c r="CO105" i="3"/>
  <c r="CP105" i="3"/>
  <c r="CS105" i="3" s="1"/>
  <c r="CR105" i="3"/>
  <c r="CJ106" i="3"/>
  <c r="CN106" i="3"/>
  <c r="CQ106" i="3"/>
  <c r="CT106" i="3"/>
  <c r="CJ107" i="3"/>
  <c r="CN107" i="3"/>
  <c r="CQ107" i="3"/>
  <c r="CT107" i="3"/>
  <c r="CJ108" i="3"/>
  <c r="CN108" i="3"/>
  <c r="CQ108" i="3"/>
  <c r="CT108" i="3"/>
  <c r="DJ108" i="3"/>
  <c r="DK108" i="3"/>
  <c r="DL108" i="3"/>
  <c r="DM108" i="3"/>
  <c r="DN108" i="3"/>
  <c r="DO108" i="3"/>
  <c r="DP108" i="3"/>
  <c r="DQ108" i="3"/>
  <c r="CK111" i="3"/>
  <c r="CL111" i="3"/>
  <c r="CL117" i="3" s="1"/>
  <c r="CL123" i="3" s="1"/>
  <c r="CM111" i="3"/>
  <c r="CN111" i="3"/>
  <c r="CO111" i="3"/>
  <c r="CO117" i="3" s="1"/>
  <c r="CO123" i="3" s="1"/>
  <c r="CP111" i="3"/>
  <c r="CP117" i="3" s="1"/>
  <c r="CP123" i="3" s="1"/>
  <c r="CQ111" i="3"/>
  <c r="CR111" i="3"/>
  <c r="CR117" i="3" s="1"/>
  <c r="CR123" i="3" s="1"/>
  <c r="CJ112" i="3"/>
  <c r="CJ124" i="3" s="1"/>
  <c r="CJ113" i="3"/>
  <c r="CJ114" i="3"/>
  <c r="CJ126" i="3" s="1"/>
  <c r="CK117" i="3"/>
  <c r="CM117" i="3"/>
  <c r="CM123" i="3" s="1"/>
  <c r="CN117" i="3"/>
  <c r="CQ117" i="3"/>
  <c r="CQ123" i="3" s="1"/>
  <c r="CJ118" i="3"/>
  <c r="CJ119" i="3"/>
  <c r="CJ120" i="3"/>
  <c r="CK123" i="3"/>
  <c r="CN123" i="3"/>
  <c r="CJ130" i="3"/>
  <c r="CK130" i="3"/>
  <c r="CQ130" i="3" s="1"/>
  <c r="CL130" i="3"/>
  <c r="CM130" i="3" s="1"/>
  <c r="CN130" i="3"/>
  <c r="CO130" i="3" s="1"/>
  <c r="CP130" i="3"/>
  <c r="CJ131" i="3"/>
  <c r="CK131" i="3"/>
  <c r="CL131" i="3"/>
  <c r="CM131" i="3" s="1"/>
  <c r="CN131" i="3"/>
  <c r="CO131" i="3" s="1"/>
  <c r="CP131" i="3"/>
  <c r="CQ131" i="3" s="1"/>
  <c r="CJ132" i="3"/>
  <c r="CK132" i="3"/>
  <c r="CM132" i="3" s="1"/>
  <c r="CL132" i="3"/>
  <c r="CN132" i="3"/>
  <c r="CO132" i="3" s="1"/>
  <c r="CP132" i="3"/>
  <c r="CQ132" i="3" s="1"/>
  <c r="CJ136" i="3"/>
  <c r="CK136" i="3"/>
  <c r="CQ136" i="3" s="1"/>
  <c r="CL136" i="3"/>
  <c r="CM136" i="3" s="1"/>
  <c r="CN136" i="3"/>
  <c r="CO136" i="3" s="1"/>
  <c r="CP136" i="3"/>
  <c r="CL137" i="3"/>
  <c r="CN137" i="3"/>
  <c r="CO137" i="3" s="1"/>
  <c r="CP137" i="3"/>
  <c r="CQ137" i="3" s="1"/>
  <c r="CK138" i="3"/>
  <c r="CM138" i="3" s="1"/>
  <c r="CL138" i="3"/>
  <c r="CN138" i="3"/>
  <c r="CO138" i="3" s="1"/>
  <c r="CP138" i="3"/>
  <c r="CQ138" i="3" s="1"/>
  <c r="W2" i="2"/>
  <c r="W3" i="2"/>
  <c r="W4" i="2" s="1"/>
  <c r="AC7" i="2"/>
  <c r="V7" i="2" s="1"/>
  <c r="AI8" i="2"/>
  <c r="Y11" i="2"/>
  <c r="Z11" i="2"/>
  <c r="AJ13" i="2"/>
  <c r="AJ14" i="2"/>
  <c r="AJ15" i="2"/>
  <c r="AJ16" i="2" s="1"/>
  <c r="AL15" i="2"/>
  <c r="Q17" i="2" a="1"/>
  <c r="Q17" i="2" s="1"/>
  <c r="Z15" i="2" s="1"/>
  <c r="Z19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AQ71" i="2"/>
  <c r="L72" i="2"/>
  <c r="M72" i="2"/>
  <c r="N72" i="2"/>
  <c r="L73" i="2"/>
  <c r="M73" i="2"/>
  <c r="N73" i="2"/>
  <c r="AL73" i="2"/>
  <c r="AQ73" i="2"/>
  <c r="AR73" i="2"/>
  <c r="L74" i="2"/>
  <c r="M74" i="2"/>
  <c r="N74" i="2"/>
  <c r="L75" i="2"/>
  <c r="M75" i="2"/>
  <c r="N75" i="2"/>
  <c r="Z75" i="2"/>
  <c r="AA75" i="2"/>
  <c r="AR75" i="2" s="1"/>
  <c r="AU75" i="2" s="1"/>
  <c r="AB75" i="2"/>
  <c r="AL75" i="2"/>
  <c r="L76" i="2"/>
  <c r="M76" i="2"/>
  <c r="AQ76" i="2" s="1"/>
  <c r="AT76" i="2" s="1"/>
  <c r="N76" i="2"/>
  <c r="Z76" i="2"/>
  <c r="AA76" i="2"/>
  <c r="AB76" i="2"/>
  <c r="AL76" i="2"/>
  <c r="L77" i="2"/>
  <c r="M77" i="2"/>
  <c r="N77" i="2"/>
  <c r="Z77" i="2"/>
  <c r="AA77" i="2"/>
  <c r="AB77" i="2"/>
  <c r="AL77" i="2"/>
  <c r="AQ77" i="2"/>
  <c r="AT77" i="2" s="1"/>
  <c r="AR77" i="2"/>
  <c r="AU77" i="2"/>
  <c r="L78" i="2"/>
  <c r="M78" i="2"/>
  <c r="N78" i="2"/>
  <c r="Z78" i="2"/>
  <c r="AQ78" i="2" s="1"/>
  <c r="AT78" i="2" s="1"/>
  <c r="AA78" i="2"/>
  <c r="AB78" i="2"/>
  <c r="AR78" i="2"/>
  <c r="AU78" i="2" s="1"/>
  <c r="L79" i="2"/>
  <c r="M79" i="2"/>
  <c r="N79" i="2"/>
  <c r="Z79" i="2"/>
  <c r="AQ79" i="2" s="1"/>
  <c r="AT79" i="2" s="1"/>
  <c r="AA79" i="2"/>
  <c r="AB79" i="2"/>
  <c r="AL79" i="2"/>
  <c r="AR79" i="2"/>
  <c r="AU79" i="2" s="1"/>
  <c r="L80" i="2"/>
  <c r="M80" i="2"/>
  <c r="N80" i="2"/>
  <c r="Z80" i="2"/>
  <c r="AQ80" i="2" s="1"/>
  <c r="AA80" i="2"/>
  <c r="AB80" i="2"/>
  <c r="AL80" i="2"/>
  <c r="AT80" i="2"/>
  <c r="L81" i="2"/>
  <c r="M81" i="2"/>
  <c r="N81" i="2"/>
  <c r="AR81" i="2" s="1"/>
  <c r="AU81" i="2" s="1"/>
  <c r="Z81" i="2"/>
  <c r="AA81" i="2"/>
  <c r="AB81" i="2"/>
  <c r="AL81" i="2"/>
  <c r="AQ81" i="2"/>
  <c r="AT81" i="2" s="1"/>
  <c r="L82" i="2"/>
  <c r="M82" i="2"/>
  <c r="N82" i="2"/>
  <c r="Z82" i="2"/>
  <c r="AA82" i="2"/>
  <c r="AB82" i="2"/>
  <c r="AQ82" i="2"/>
  <c r="AT82" i="2" s="1"/>
  <c r="AR82" i="2"/>
  <c r="AU82" i="2" s="1"/>
  <c r="L83" i="2"/>
  <c r="AL83" i="2" s="1"/>
  <c r="M83" i="2"/>
  <c r="N83" i="2"/>
  <c r="Z83" i="2"/>
  <c r="AQ83" i="2" s="1"/>
  <c r="AT83" i="2" s="1"/>
  <c r="AA83" i="2"/>
  <c r="AR83" i="2" s="1"/>
  <c r="AU83" i="2" s="1"/>
  <c r="AB83" i="2"/>
  <c r="L84" i="2"/>
  <c r="M84" i="2"/>
  <c r="N84" i="2"/>
  <c r="Z84" i="2"/>
  <c r="AA84" i="2"/>
  <c r="AB84" i="2"/>
  <c r="AL84" i="2"/>
  <c r="AQ84" i="2"/>
  <c r="AT84" i="2" s="1"/>
  <c r="L85" i="2"/>
  <c r="AL85" i="2" s="1"/>
  <c r="M85" i="2"/>
  <c r="N85" i="2"/>
  <c r="Z85" i="2"/>
  <c r="AA85" i="2"/>
  <c r="AR85" i="2" s="1"/>
  <c r="AB85" i="2"/>
  <c r="AQ85" i="2"/>
  <c r="AT85" i="2" s="1"/>
  <c r="AU85" i="2"/>
  <c r="L86" i="2"/>
  <c r="M86" i="2"/>
  <c r="N86" i="2"/>
  <c r="Z86" i="2"/>
  <c r="AA86" i="2"/>
  <c r="AB86" i="2"/>
  <c r="AL86" i="2"/>
  <c r="AQ86" i="2"/>
  <c r="AT86" i="2" s="1"/>
  <c r="AR86" i="2"/>
  <c r="AU86" i="2" s="1"/>
  <c r="L87" i="2"/>
  <c r="M87" i="2"/>
  <c r="N87" i="2"/>
  <c r="Z87" i="2"/>
  <c r="AQ87" i="2" s="1"/>
  <c r="AT87" i="2" s="1"/>
  <c r="AA87" i="2"/>
  <c r="AR87" i="2" s="1"/>
  <c r="AU87" i="2" s="1"/>
  <c r="AB87" i="2"/>
  <c r="M17" i="2" s="1" a="1"/>
  <c r="AL87" i="2"/>
  <c r="L88" i="2"/>
  <c r="M88" i="2"/>
  <c r="AQ88" i="2" s="1"/>
  <c r="AT88" i="2" s="1"/>
  <c r="N88" i="2"/>
  <c r="Z88" i="2"/>
  <c r="AA88" i="2"/>
  <c r="AR88" i="2" s="1"/>
  <c r="AU88" i="2" s="1"/>
  <c r="AB88" i="2"/>
  <c r="L89" i="2"/>
  <c r="M89" i="2"/>
  <c r="N89" i="2"/>
  <c r="Z89" i="2"/>
  <c r="AQ89" i="2" s="1"/>
  <c r="AA89" i="2"/>
  <c r="AB89" i="2"/>
  <c r="AT89" i="2"/>
  <c r="L90" i="2"/>
  <c r="M90" i="2"/>
  <c r="N90" i="2"/>
  <c r="Z90" i="2"/>
  <c r="AQ90" i="2" s="1"/>
  <c r="AT90" i="2" s="1"/>
  <c r="AA90" i="2"/>
  <c r="AB90" i="2"/>
  <c r="AR90" i="2"/>
  <c r="AU90" i="2" s="1"/>
  <c r="L91" i="2"/>
  <c r="M91" i="2"/>
  <c r="N91" i="2"/>
  <c r="Z91" i="2"/>
  <c r="AA91" i="2"/>
  <c r="AB91" i="2"/>
  <c r="AL91" i="2"/>
  <c r="AQ91" i="2"/>
  <c r="AR91" i="2"/>
  <c r="AU91" i="2" s="1"/>
  <c r="AT91" i="2"/>
  <c r="L92" i="2"/>
  <c r="M92" i="2"/>
  <c r="N92" i="2"/>
  <c r="Z92" i="2"/>
  <c r="AQ92" i="2" s="1"/>
  <c r="AT92" i="2" s="1"/>
  <c r="AA92" i="2"/>
  <c r="AR92" i="2" s="1"/>
  <c r="AU92" i="2" s="1"/>
  <c r="AB92" i="2"/>
  <c r="AL92" i="2"/>
  <c r="L93" i="2"/>
  <c r="M93" i="2"/>
  <c r="N93" i="2"/>
  <c r="Z93" i="2"/>
  <c r="AA93" i="2"/>
  <c r="AB93" i="2"/>
  <c r="AL93" i="2"/>
  <c r="AQ93" i="2"/>
  <c r="AT93" i="2" s="1"/>
  <c r="L94" i="2"/>
  <c r="M94" i="2"/>
  <c r="N94" i="2"/>
  <c r="Z94" i="2"/>
  <c r="AA94" i="2"/>
  <c r="AB94" i="2"/>
  <c r="L95" i="2"/>
  <c r="AL95" i="2" s="1"/>
  <c r="M95" i="2"/>
  <c r="N95" i="2"/>
  <c r="Z95" i="2"/>
  <c r="AQ95" i="2" s="1"/>
  <c r="AT95" i="2" s="1"/>
  <c r="AA95" i="2"/>
  <c r="AR95" i="2" s="1"/>
  <c r="AU95" i="2" s="1"/>
  <c r="AB95" i="2"/>
  <c r="L96" i="2"/>
  <c r="M96" i="2"/>
  <c r="N96" i="2"/>
  <c r="Z96" i="2"/>
  <c r="AA96" i="2"/>
  <c r="AR96" i="2" s="1"/>
  <c r="AU96" i="2" s="1"/>
  <c r="AB96" i="2"/>
  <c r="AL96" i="2"/>
  <c r="L97" i="2"/>
  <c r="AL97" i="2" s="1"/>
  <c r="M97" i="2"/>
  <c r="N97" i="2"/>
  <c r="Z97" i="2"/>
  <c r="AA97" i="2"/>
  <c r="AB97" i="2"/>
  <c r="AR97" i="2"/>
  <c r="AU97" i="2" s="1"/>
  <c r="L98" i="2"/>
  <c r="M98" i="2"/>
  <c r="AQ98" i="2" s="1"/>
  <c r="AT98" i="2" s="1"/>
  <c r="N98" i="2"/>
  <c r="Z98" i="2"/>
  <c r="AA98" i="2"/>
  <c r="AB98" i="2"/>
  <c r="AL98" i="2"/>
  <c r="L99" i="2"/>
  <c r="M99" i="2"/>
  <c r="N99" i="2"/>
  <c r="Z99" i="2"/>
  <c r="W19" i="2" s="1"/>
  <c r="AA99" i="2"/>
  <c r="X19" i="2" s="1"/>
  <c r="AB99" i="2"/>
  <c r="Y19" i="2" s="1"/>
  <c r="AL99" i="2"/>
  <c r="AQ99" i="2"/>
  <c r="AT99" i="2" s="1"/>
  <c r="L100" i="2"/>
  <c r="M100" i="2"/>
  <c r="N100" i="2"/>
  <c r="Z100" i="2"/>
  <c r="AA100" i="2"/>
  <c r="AR100" i="2" s="1"/>
  <c r="AU100" i="2" s="1"/>
  <c r="AB100" i="2"/>
  <c r="L101" i="2"/>
  <c r="M101" i="2"/>
  <c r="N101" i="2"/>
  <c r="Z101" i="2"/>
  <c r="AA101" i="2"/>
  <c r="AB101" i="2"/>
  <c r="AQ101" i="2"/>
  <c r="AT101" i="2" s="1"/>
  <c r="L102" i="2"/>
  <c r="M102" i="2"/>
  <c r="N102" i="2"/>
  <c r="Z102" i="2"/>
  <c r="AA102" i="2"/>
  <c r="AR102" i="2" s="1"/>
  <c r="AU102" i="2" s="1"/>
  <c r="AB102" i="2"/>
  <c r="L103" i="2"/>
  <c r="M103" i="2"/>
  <c r="AQ103" i="2" s="1"/>
  <c r="AT103" i="2" s="1"/>
  <c r="N103" i="2"/>
  <c r="Z103" i="2"/>
  <c r="AA103" i="2"/>
  <c r="AR103" i="2" s="1"/>
  <c r="AU103" i="2" s="1"/>
  <c r="AB103" i="2"/>
  <c r="L104" i="2"/>
  <c r="M104" i="2"/>
  <c r="N104" i="2"/>
  <c r="Z104" i="2"/>
  <c r="AQ104" i="2" s="1"/>
  <c r="AA104" i="2"/>
  <c r="AB104" i="2"/>
  <c r="AR104" i="2"/>
  <c r="AT104" i="2"/>
  <c r="AU104" i="2"/>
  <c r="L105" i="2"/>
  <c r="M105" i="2"/>
  <c r="AQ105" i="2" s="1"/>
  <c r="AT105" i="2" s="1"/>
  <c r="N105" i="2"/>
  <c r="Z105" i="2"/>
  <c r="AA105" i="2"/>
  <c r="AB105" i="2"/>
  <c r="AL105" i="2"/>
  <c r="AR105" i="2"/>
  <c r="AU105" i="2" s="1"/>
  <c r="L106" i="2"/>
  <c r="M106" i="2"/>
  <c r="N106" i="2"/>
  <c r="Z106" i="2"/>
  <c r="AA106" i="2"/>
  <c r="AB106" i="2"/>
  <c r="AL106" i="2"/>
  <c r="AQ106" i="2"/>
  <c r="AT106" i="2" s="1"/>
  <c r="L107" i="2"/>
  <c r="M107" i="2"/>
  <c r="AQ107" i="2" s="1"/>
  <c r="AT107" i="2" s="1"/>
  <c r="N107" i="2"/>
  <c r="Z107" i="2"/>
  <c r="AA107" i="2"/>
  <c r="AB107" i="2"/>
  <c r="AL107" i="2"/>
  <c r="L108" i="2"/>
  <c r="M108" i="2"/>
  <c r="N108" i="2"/>
  <c r="AR108" i="2" s="1"/>
  <c r="AU108" i="2" s="1"/>
  <c r="Z108" i="2"/>
  <c r="AA108" i="2"/>
  <c r="AB108" i="2"/>
  <c r="AL108" i="2"/>
  <c r="L109" i="2"/>
  <c r="M109" i="2"/>
  <c r="N109" i="2"/>
  <c r="Z109" i="2"/>
  <c r="AQ109" i="2" s="1"/>
  <c r="AA109" i="2"/>
  <c r="AR109" i="2" s="1"/>
  <c r="AU109" i="2" s="1"/>
  <c r="AB109" i="2"/>
  <c r="AT109" i="2"/>
  <c r="L110" i="2"/>
  <c r="M110" i="2"/>
  <c r="N110" i="2"/>
  <c r="AR110" i="2" s="1"/>
  <c r="AU110" i="2" s="1"/>
  <c r="Z110" i="2"/>
  <c r="AQ110" i="2" s="1"/>
  <c r="AT110" i="2" s="1"/>
  <c r="AA110" i="2"/>
  <c r="AB110" i="2"/>
  <c r="L114" i="2"/>
  <c r="M114" i="2"/>
  <c r="N114" i="2"/>
  <c r="AM114" i="2"/>
  <c r="AN114" i="2"/>
  <c r="AO114" i="2"/>
  <c r="L115" i="2"/>
  <c r="M115" i="2"/>
  <c r="M118" i="2" s="1" a="1"/>
  <c r="N115" i="2"/>
  <c r="AN115" i="2"/>
  <c r="L116" i="2"/>
  <c r="M116" i="2"/>
  <c r="N116" i="2"/>
  <c r="AM116" i="2"/>
  <c r="AO116" i="2" s="1"/>
  <c r="AN116" i="2"/>
  <c r="D6" i="1"/>
  <c r="E6" i="1" s="1"/>
  <c r="F6" i="1" s="1"/>
  <c r="G6" i="1" s="1"/>
  <c r="H6" i="1" s="1"/>
  <c r="I6" i="1" s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AB6" i="1" s="1"/>
  <c r="AC6" i="1" s="1"/>
  <c r="AD6" i="1" s="1"/>
  <c r="AE6" i="1" s="1"/>
  <c r="AF6" i="1" s="1"/>
  <c r="AH6" i="1" s="1"/>
  <c r="AI6" i="1" s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Q14" i="1"/>
  <c r="G15" i="1"/>
  <c r="H15" i="1" s="1"/>
  <c r="F16" i="1"/>
  <c r="F21" i="1" s="1"/>
  <c r="F22" i="1" s="1"/>
  <c r="F34" i="1" s="1"/>
  <c r="G16" i="1"/>
  <c r="O16" i="1"/>
  <c r="O17" i="1" s="1"/>
  <c r="O18" i="1" s="1"/>
  <c r="P16" i="1"/>
  <c r="H16" i="1" s="1"/>
  <c r="Q16" i="1"/>
  <c r="I16" i="1" s="1"/>
  <c r="P17" i="1"/>
  <c r="P18" i="1"/>
  <c r="AA19" i="1"/>
  <c r="AA20" i="1"/>
  <c r="AB20" i="1"/>
  <c r="AC20" i="1"/>
  <c r="AD20" i="1"/>
  <c r="AE20" i="1"/>
  <c r="Z21" i="1"/>
  <c r="AA21" i="1"/>
  <c r="AB21" i="1"/>
  <c r="AC21" i="1"/>
  <c r="AD21" i="1"/>
  <c r="AE21" i="1"/>
  <c r="E22" i="1"/>
  <c r="Z22" i="1"/>
  <c r="AA22" i="1"/>
  <c r="AB22" i="1"/>
  <c r="AC22" i="1"/>
  <c r="AD22" i="1"/>
  <c r="AE22" i="1"/>
  <c r="Z23" i="1"/>
  <c r="AA23" i="1"/>
  <c r="AB23" i="1"/>
  <c r="AC23" i="1"/>
  <c r="AD23" i="1"/>
  <c r="AE23" i="1"/>
  <c r="E24" i="1"/>
  <c r="E30" i="1" s="1"/>
  <c r="Z24" i="1"/>
  <c r="AA24" i="1"/>
  <c r="AB24" i="1"/>
  <c r="AC24" i="1"/>
  <c r="AD24" i="1"/>
  <c r="AE24" i="1"/>
  <c r="E25" i="1"/>
  <c r="E31" i="1" s="1"/>
  <c r="Z25" i="1"/>
  <c r="AA25" i="1"/>
  <c r="AB25" i="1"/>
  <c r="AC25" i="1"/>
  <c r="AD25" i="1"/>
  <c r="AE25" i="1"/>
  <c r="E26" i="1"/>
  <c r="E32" i="1" s="1"/>
  <c r="AA26" i="1"/>
  <c r="E27" i="1"/>
  <c r="E33" i="1" s="1"/>
  <c r="AA27" i="1"/>
  <c r="AF27" i="1" s="1"/>
  <c r="AB27" i="1"/>
  <c r="AG27" i="1" s="1"/>
  <c r="AC27" i="1"/>
  <c r="AH27" i="1" s="1"/>
  <c r="AD27" i="1"/>
  <c r="AI27" i="1" s="1"/>
  <c r="AE27" i="1"/>
  <c r="AJ27" i="1" s="1"/>
  <c r="E28" i="1"/>
  <c r="E34" i="1" s="1"/>
  <c r="Z28" i="1"/>
  <c r="AA28" i="1"/>
  <c r="AB28" i="1"/>
  <c r="AC28" i="1"/>
  <c r="AD28" i="1"/>
  <c r="AE28" i="1"/>
  <c r="Z29" i="1"/>
  <c r="AA29" i="1"/>
  <c r="AB29" i="1"/>
  <c r="AC29" i="1"/>
  <c r="AD29" i="1"/>
  <c r="AE29" i="1"/>
  <c r="A30" i="1"/>
  <c r="Z30" i="1"/>
  <c r="AA30" i="1"/>
  <c r="AB30" i="1"/>
  <c r="AC30" i="1"/>
  <c r="AD30" i="1"/>
  <c r="AE30" i="1"/>
  <c r="A31" i="1"/>
  <c r="Z31" i="1"/>
  <c r="AA31" i="1"/>
  <c r="AB31" i="1"/>
  <c r="AC31" i="1"/>
  <c r="AD31" i="1"/>
  <c r="AE31" i="1"/>
  <c r="A32" i="1"/>
  <c r="Z32" i="1"/>
  <c r="AA32" i="1"/>
  <c r="AB32" i="1"/>
  <c r="AC32" i="1"/>
  <c r="AD32" i="1"/>
  <c r="AE32" i="1"/>
  <c r="A33" i="1"/>
  <c r="AA33" i="1"/>
  <c r="A34" i="1"/>
  <c r="AA34" i="1"/>
  <c r="AF34" i="1" s="1"/>
  <c r="AB34" i="1"/>
  <c r="AG34" i="1" s="1"/>
  <c r="AC34" i="1"/>
  <c r="AH34" i="1" s="1"/>
  <c r="AD34" i="1"/>
  <c r="AI34" i="1" s="1"/>
  <c r="AE34" i="1"/>
  <c r="AJ34" i="1" s="1"/>
  <c r="Z35" i="1"/>
  <c r="AA35" i="1"/>
  <c r="AB35" i="1"/>
  <c r="AC35" i="1"/>
  <c r="AD35" i="1"/>
  <c r="AE35" i="1"/>
  <c r="D36" i="1"/>
  <c r="R36" i="1"/>
  <c r="S36" i="1"/>
  <c r="T36" i="1"/>
  <c r="Z36" i="1"/>
  <c r="AA36" i="1"/>
  <c r="AB36" i="1"/>
  <c r="AC36" i="1"/>
  <c r="AD36" i="1"/>
  <c r="AE36" i="1"/>
  <c r="D37" i="1"/>
  <c r="P37" i="1"/>
  <c r="Z37" i="1"/>
  <c r="AA37" i="1"/>
  <c r="AB37" i="1"/>
  <c r="AG37" i="1" s="1"/>
  <c r="AC37" i="1"/>
  <c r="AD37" i="1"/>
  <c r="AE37" i="1"/>
  <c r="P38" i="1"/>
  <c r="Z38" i="1"/>
  <c r="AA38" i="1"/>
  <c r="AB38" i="1"/>
  <c r="AC38" i="1"/>
  <c r="AD38" i="1"/>
  <c r="AE38" i="1"/>
  <c r="D39" i="1"/>
  <c r="P39" i="1"/>
  <c r="Z39" i="1"/>
  <c r="AA39" i="1"/>
  <c r="AB39" i="1"/>
  <c r="AC39" i="1"/>
  <c r="AD39" i="1"/>
  <c r="AE39" i="1"/>
  <c r="D40" i="1"/>
  <c r="P40" i="1"/>
  <c r="D41" i="1"/>
  <c r="R41" i="1"/>
  <c r="R42" i="1" s="1"/>
  <c r="S41" i="1"/>
  <c r="S42" i="1" s="1"/>
  <c r="T41" i="1"/>
  <c r="T42" i="1" s="1"/>
  <c r="D42" i="1"/>
  <c r="O42" i="1"/>
  <c r="AJ43" i="1"/>
  <c r="AK43" i="1"/>
  <c r="AL43" i="1"/>
  <c r="AM43" i="1"/>
  <c r="AN43" i="1"/>
  <c r="AO43" i="1"/>
  <c r="AP43" i="1"/>
  <c r="AQ43" i="1"/>
  <c r="W53" i="1"/>
  <c r="AA54" i="1"/>
  <c r="AB54" i="1"/>
  <c r="AJ54" i="1" s="1"/>
  <c r="AC54" i="1"/>
  <c r="AK54" i="1" s="1"/>
  <c r="AD54" i="1"/>
  <c r="AL54" i="1" s="1"/>
  <c r="AE54" i="1"/>
  <c r="AM54" i="1" s="1"/>
  <c r="AF54" i="1"/>
  <c r="AN54" i="1" s="1"/>
  <c r="AG54" i="1"/>
  <c r="AH54" i="1"/>
  <c r="AI54" i="1"/>
  <c r="AB55" i="1"/>
  <c r="AC55" i="1"/>
  <c r="AD55" i="1"/>
  <c r="AL55" i="1" s="1"/>
  <c r="AE55" i="1"/>
  <c r="AM55" i="1" s="1"/>
  <c r="AF55" i="1"/>
  <c r="AG55" i="1"/>
  <c r="AO55" i="1" s="1"/>
  <c r="AH55" i="1"/>
  <c r="AP55" i="1" s="1"/>
  <c r="AI55" i="1"/>
  <c r="AQ55" i="1" s="1"/>
  <c r="AJ55" i="1"/>
  <c r="AR55" i="1" s="1"/>
  <c r="AK55" i="1"/>
  <c r="AS55" i="1" s="1"/>
  <c r="H57" i="1"/>
  <c r="I57" i="1" s="1"/>
  <c r="J57" i="1" s="1"/>
  <c r="A58" i="1"/>
  <c r="F58" i="1"/>
  <c r="A61" i="1"/>
  <c r="F61" i="1"/>
  <c r="H61" i="1"/>
  <c r="I61" i="1"/>
  <c r="J61" i="1" s="1"/>
  <c r="K61" i="1" s="1"/>
  <c r="A62" i="1"/>
  <c r="F62" i="1"/>
  <c r="C37" i="1" s="1"/>
  <c r="A64" i="1"/>
  <c r="F64" i="1"/>
  <c r="C39" i="1" s="1"/>
  <c r="A65" i="1"/>
  <c r="F65" i="1"/>
  <c r="F66" i="1"/>
  <c r="A66" i="1"/>
  <c r="F67" i="1"/>
  <c r="A67" i="1"/>
  <c r="A68" i="1"/>
  <c r="F68" i="1"/>
  <c r="F69" i="1"/>
  <c r="A69" i="1"/>
  <c r="I69" i="1"/>
  <c r="J69" i="1" s="1"/>
  <c r="K69" i="1" s="1"/>
  <c r="A72" i="1"/>
  <c r="F72" i="1"/>
  <c r="F74" i="1"/>
  <c r="A74" i="1"/>
  <c r="F76" i="1"/>
  <c r="A76" i="1"/>
  <c r="H76" i="1"/>
  <c r="I76" i="1" s="1"/>
  <c r="J76" i="1" s="1"/>
  <c r="K76" i="1" s="1"/>
  <c r="A77" i="1"/>
  <c r="F77" i="1"/>
  <c r="F79" i="1"/>
  <c r="A80" i="1"/>
  <c r="F81" i="1"/>
  <c r="F82" i="1"/>
  <c r="A83" i="1"/>
  <c r="A84" i="1"/>
  <c r="A85" i="1"/>
  <c r="A86" i="1"/>
  <c r="F86" i="1"/>
  <c r="J86" i="1"/>
  <c r="K86" i="1" s="1"/>
  <c r="A87" i="1"/>
  <c r="F87" i="1"/>
  <c r="C40" i="1" s="1"/>
  <c r="A88" i="1"/>
  <c r="F88" i="1"/>
  <c r="A89" i="1"/>
  <c r="F89" i="1"/>
  <c r="A90" i="1"/>
  <c r="F90" i="1"/>
  <c r="A91" i="1"/>
  <c r="F91" i="1"/>
  <c r="A92" i="1"/>
  <c r="F92" i="1"/>
  <c r="A93" i="1"/>
  <c r="A94" i="1"/>
  <c r="F94" i="1"/>
  <c r="AI31" i="1" l="1"/>
  <c r="AH29" i="1"/>
  <c r="AJ35" i="1"/>
  <c r="AJ39" i="1"/>
  <c r="AH35" i="1"/>
  <c r="AH28" i="1"/>
  <c r="AF39" i="1"/>
  <c r="AF35" i="1"/>
  <c r="AH32" i="1"/>
  <c r="H21" i="1"/>
  <c r="H22" i="1" s="1"/>
  <c r="H34" i="1" s="1"/>
  <c r="AG56" i="1"/>
  <c r="AO56" i="1" s="1"/>
  <c r="AI38" i="1"/>
  <c r="AH31" i="1"/>
  <c r="AJ36" i="1"/>
  <c r="AF31" i="1"/>
  <c r="AF32" i="1"/>
  <c r="H66" i="1"/>
  <c r="I66" i="1" s="1"/>
  <c r="J66" i="1" s="1"/>
  <c r="K66" i="1" s="1"/>
  <c r="AF38" i="1"/>
  <c r="H73" i="1"/>
  <c r="H89" i="1" s="1"/>
  <c r="AI30" i="1"/>
  <c r="AC56" i="1"/>
  <c r="AK56" i="1" s="1"/>
  <c r="AG30" i="1"/>
  <c r="G21" i="1"/>
  <c r="G22" i="1" s="1"/>
  <c r="G34" i="1" s="1"/>
  <c r="AE56" i="1"/>
  <c r="AM56" i="1" s="1"/>
  <c r="AG36" i="1"/>
  <c r="AJ28" i="1"/>
  <c r="AJ38" i="1"/>
  <c r="AJ31" i="1"/>
  <c r="AF28" i="1"/>
  <c r="AG38" i="1"/>
  <c r="AI35" i="1"/>
  <c r="AI29" i="1"/>
  <c r="AU46" i="3"/>
  <c r="AI28" i="1"/>
  <c r="AF42" i="3"/>
  <c r="AG45" i="3"/>
  <c r="AI47" i="3"/>
  <c r="W47" i="3"/>
  <c r="AS45" i="3"/>
  <c r="AE45" i="3"/>
  <c r="AH36" i="1"/>
  <c r="AG29" i="1"/>
  <c r="AG47" i="3"/>
  <c r="AE46" i="3"/>
  <c r="BC45" i="3"/>
  <c r="AZ42" i="3"/>
  <c r="AO45" i="3"/>
  <c r="Y42" i="3"/>
  <c r="AC47" i="3"/>
  <c r="AI45" i="3"/>
  <c r="AH38" i="1"/>
  <c r="V45" i="3"/>
  <c r="AG35" i="1"/>
  <c r="AG28" i="1"/>
  <c r="AR48" i="3"/>
  <c r="AH46" i="3"/>
  <c r="AX42" i="3"/>
  <c r="AG46" i="3"/>
  <c r="AR42" i="3"/>
  <c r="AE42" i="3"/>
  <c r="AJ37" i="1"/>
  <c r="AQ45" i="3"/>
  <c r="AO42" i="3"/>
  <c r="AB42" i="3"/>
  <c r="AF29" i="1"/>
  <c r="AG32" i="1"/>
  <c r="BB46" i="3"/>
  <c r="AV48" i="3"/>
  <c r="AH48" i="3"/>
  <c r="V48" i="3"/>
  <c r="AR46" i="3"/>
  <c r="AD46" i="3"/>
  <c r="BB45" i="3"/>
  <c r="Z42" i="3"/>
  <c r="H78" i="1"/>
  <c r="AA45" i="3"/>
  <c r="AY42" i="3"/>
  <c r="AH39" i="1"/>
  <c r="AJ30" i="1"/>
  <c r="AY46" i="3"/>
  <c r="AH42" i="3"/>
  <c r="AF43" i="3" s="1"/>
  <c r="AP47" i="3"/>
  <c r="AX45" i="3"/>
  <c r="AF37" i="1"/>
  <c r="X45" i="3"/>
  <c r="AI39" i="1"/>
  <c r="F70" i="3"/>
  <c r="AD48" i="3"/>
  <c r="AI36" i="1"/>
  <c r="AJ29" i="1"/>
  <c r="AA42" i="3"/>
  <c r="AG39" i="1"/>
  <c r="AA47" i="3"/>
  <c r="AC45" i="3"/>
  <c r="BA42" i="3"/>
  <c r="AT47" i="3"/>
  <c r="AF47" i="3"/>
  <c r="AT42" i="3"/>
  <c r="AH30" i="1"/>
  <c r="BB47" i="3"/>
  <c r="AR45" i="3"/>
  <c r="AV42" i="3"/>
  <c r="AI37" i="1"/>
  <c r="U39" i="1" s="1"/>
  <c r="T39" i="1" s="1"/>
  <c r="AF36" i="1"/>
  <c r="AX48" i="3"/>
  <c r="Z46" i="3"/>
  <c r="AJ45" i="3"/>
  <c r="M17" i="2"/>
  <c r="N17" i="2"/>
  <c r="Y16" i="2" s="1"/>
  <c r="M18" i="2"/>
  <c r="N18" i="2"/>
  <c r="M19" i="2"/>
  <c r="N19" i="2"/>
  <c r="K57" i="1"/>
  <c r="J73" i="1"/>
  <c r="J89" i="1" s="1"/>
  <c r="J67" i="1"/>
  <c r="J65" i="1" s="1"/>
  <c r="J88" i="1"/>
  <c r="AJ17" i="2"/>
  <c r="A95" i="1"/>
  <c r="A81" i="1"/>
  <c r="A75" i="1"/>
  <c r="A73" i="1"/>
  <c r="F73" i="1"/>
  <c r="A60" i="1"/>
  <c r="F60" i="1"/>
  <c r="AD56" i="1"/>
  <c r="AL56" i="1" s="1"/>
  <c r="AN55" i="1"/>
  <c r="T73" i="3"/>
  <c r="AF56" i="1"/>
  <c r="AN56" i="1" s="1"/>
  <c r="F28" i="1"/>
  <c r="AL110" i="2"/>
  <c r="Q7" i="2" a="1"/>
  <c r="Q12" i="2" a="1"/>
  <c r="AL94" i="2"/>
  <c r="F83" i="1"/>
  <c r="A59" i="1"/>
  <c r="F59" i="1"/>
  <c r="H60" i="1"/>
  <c r="A78" i="1"/>
  <c r="F78" i="1"/>
  <c r="I88" i="1"/>
  <c r="I73" i="1"/>
  <c r="I89" i="1" s="1"/>
  <c r="I67" i="1"/>
  <c r="I65" i="1" s="1"/>
  <c r="AQ108" i="2"/>
  <c r="AT108" i="2" s="1"/>
  <c r="X11" i="2"/>
  <c r="AL90" i="2"/>
  <c r="I17" i="2" a="1"/>
  <c r="M7" i="2" a="1"/>
  <c r="F93" i="1"/>
  <c r="F80" i="1"/>
  <c r="F63" i="1"/>
  <c r="C38" i="1" s="1"/>
  <c r="H68" i="1"/>
  <c r="I68" i="1" s="1"/>
  <c r="J68" i="1" s="1"/>
  <c r="K68" i="1" s="1"/>
  <c r="H88" i="1"/>
  <c r="H67" i="1"/>
  <c r="H65" i="1" s="1"/>
  <c r="H58" i="1"/>
  <c r="AB56" i="1"/>
  <c r="AJ56" i="1" s="1"/>
  <c r="AR106" i="2"/>
  <c r="AU106" i="2" s="1"/>
  <c r="W11" i="2"/>
  <c r="AQ97" i="2"/>
  <c r="AT97" i="2" s="1"/>
  <c r="E17" i="2" a="1"/>
  <c r="F84" i="1"/>
  <c r="B6" i="1"/>
  <c r="I7" i="2" a="1"/>
  <c r="F95" i="1"/>
  <c r="C41" i="1"/>
  <c r="A57" i="1"/>
  <c r="F57" i="1"/>
  <c r="AO54" i="1"/>
  <c r="F85" i="1"/>
  <c r="A71" i="1"/>
  <c r="F71" i="1"/>
  <c r="AJ32" i="1"/>
  <c r="AL101" i="2"/>
  <c r="AR94" i="2"/>
  <c r="AU94" i="2" s="1"/>
  <c r="AP54" i="1"/>
  <c r="AH56" i="1"/>
  <c r="AP56" i="1" s="1"/>
  <c r="H91" i="1"/>
  <c r="A82" i="1"/>
  <c r="AH37" i="1"/>
  <c r="AI32" i="1"/>
  <c r="AQ94" i="2"/>
  <c r="AT94" i="2" s="1"/>
  <c r="AR89" i="2"/>
  <c r="AU89" i="2" s="1"/>
  <c r="A70" i="1"/>
  <c r="F70" i="1"/>
  <c r="I58" i="1"/>
  <c r="J58" i="1" s="1"/>
  <c r="K58" i="1" s="1"/>
  <c r="AL103" i="2"/>
  <c r="AR93" i="2"/>
  <c r="AU93" i="2" s="1"/>
  <c r="AF30" i="1"/>
  <c r="P77" i="3"/>
  <c r="Q77" i="3"/>
  <c r="Y73" i="3"/>
  <c r="S77" i="3"/>
  <c r="T77" i="3" s="1"/>
  <c r="U77" i="3" s="1"/>
  <c r="V77" i="3" s="1"/>
  <c r="W77" i="3" s="1"/>
  <c r="X77" i="3" s="1"/>
  <c r="R77" i="3"/>
  <c r="Z75" i="3"/>
  <c r="AA75" i="3" s="1"/>
  <c r="AB75" i="3" s="1"/>
  <c r="AC75" i="3" s="1"/>
  <c r="AD75" i="3" s="1"/>
  <c r="AE75" i="3" s="1"/>
  <c r="AF75" i="3" s="1"/>
  <c r="AG75" i="3" s="1"/>
  <c r="AH75" i="3" s="1"/>
  <c r="AI75" i="3" s="1"/>
  <c r="A79" i="1"/>
  <c r="AQ54" i="1"/>
  <c r="AI56" i="1"/>
  <c r="AQ56" i="1" s="1"/>
  <c r="AG31" i="1"/>
  <c r="M118" i="2"/>
  <c r="N118" i="2"/>
  <c r="M119" i="2"/>
  <c r="N119" i="2"/>
  <c r="M120" i="2"/>
  <c r="N120" i="2"/>
  <c r="AR101" i="2"/>
  <c r="AU101" i="2" s="1"/>
  <c r="AJ18" i="2"/>
  <c r="CM137" i="3"/>
  <c r="E42" i="1"/>
  <c r="E41" i="1"/>
  <c r="AL104" i="2"/>
  <c r="AL109" i="2"/>
  <c r="AR107" i="2"/>
  <c r="AU107" i="2" s="1"/>
  <c r="AQ102" i="2"/>
  <c r="AT102" i="2" s="1"/>
  <c r="AQ100" i="2"/>
  <c r="AT100" i="2" s="1"/>
  <c r="AR98" i="2"/>
  <c r="AU98" i="2" s="1"/>
  <c r="AL89" i="2"/>
  <c r="AL88" i="2"/>
  <c r="AR84" i="2"/>
  <c r="AU84" i="2" s="1"/>
  <c r="BM61" i="3"/>
  <c r="BN61" i="3" s="1"/>
  <c r="BO61" i="3" s="1"/>
  <c r="BP61" i="3" s="1"/>
  <c r="BQ61" i="3" s="1"/>
  <c r="BR61" i="3" s="1"/>
  <c r="BS61" i="3" s="1"/>
  <c r="BT61" i="3" s="1"/>
  <c r="BU61" i="3" s="1"/>
  <c r="BV61" i="3" s="1"/>
  <c r="BW61" i="3" s="1"/>
  <c r="BX61" i="3" s="1"/>
  <c r="BY61" i="3" s="1"/>
  <c r="BZ61" i="3" s="1"/>
  <c r="CA61" i="3" s="1"/>
  <c r="CB61" i="3" s="1"/>
  <c r="CC61" i="3" s="1"/>
  <c r="CD61" i="3" s="1"/>
  <c r="CE61" i="3" s="1"/>
  <c r="CF61" i="3" s="1"/>
  <c r="CG61" i="3" s="1"/>
  <c r="CH61" i="3" s="1"/>
  <c r="CI61" i="3" s="1"/>
  <c r="CJ61" i="3" s="1"/>
  <c r="CK61" i="3" s="1"/>
  <c r="CL61" i="3" s="1"/>
  <c r="CM61" i="3" s="1"/>
  <c r="CN61" i="3" s="1"/>
  <c r="CO61" i="3" s="1"/>
  <c r="C42" i="1"/>
  <c r="AL102" i="2"/>
  <c r="AL100" i="2"/>
  <c r="AQ96" i="2"/>
  <c r="AT96" i="2" s="1"/>
  <c r="AR80" i="2"/>
  <c r="AU80" i="2" s="1"/>
  <c r="J73" i="3"/>
  <c r="V9" i="2"/>
  <c r="AM115" i="2"/>
  <c r="AO115" i="2" s="1"/>
  <c r="AR76" i="2"/>
  <c r="AU76" i="2" s="1"/>
  <c r="CM101" i="3"/>
  <c r="Q17" i="1" s="1"/>
  <c r="CR96" i="3"/>
  <c r="CM102" i="3" s="1"/>
  <c r="Q18" i="1" s="1"/>
  <c r="V43" i="3"/>
  <c r="AF25" i="3"/>
  <c r="I15" i="1"/>
  <c r="I21" i="1" s="1"/>
  <c r="CM96" i="3"/>
  <c r="CK102" i="3" s="1"/>
  <c r="CK101" i="3"/>
  <c r="AQ75" i="2"/>
  <c r="AT75" i="2" s="1"/>
  <c r="CJ125" i="3"/>
  <c r="CJ137" i="3"/>
  <c r="O73" i="3"/>
  <c r="N25" i="3"/>
  <c r="AR99" i="2"/>
  <c r="AU99" i="2" s="1"/>
  <c r="AL82" i="2"/>
  <c r="E12" i="2" a="1"/>
  <c r="AL78" i="2"/>
  <c r="AT25" i="3"/>
  <c r="BA48" i="3"/>
  <c r="AO48" i="3"/>
  <c r="AV47" i="3"/>
  <c r="AV46" i="3"/>
  <c r="Z45" i="3"/>
  <c r="AD42" i="3"/>
  <c r="AA43" i="3" s="1"/>
  <c r="AO20" i="3"/>
  <c r="R19" i="2"/>
  <c r="E7" i="2" a="1"/>
  <c r="AJ48" i="3"/>
  <c r="X48" i="3"/>
  <c r="AS42" i="3"/>
  <c r="Q19" i="2"/>
  <c r="R18" i="2"/>
  <c r="CM100" i="3"/>
  <c r="AE84" i="3"/>
  <c r="AF84" i="3" s="1"/>
  <c r="AG84" i="3" s="1"/>
  <c r="AH84" i="3" s="1"/>
  <c r="AI84" i="3" s="1"/>
  <c r="AJ84" i="3" s="1"/>
  <c r="AK84" i="3" s="1"/>
  <c r="AL84" i="3" s="1"/>
  <c r="AM84" i="3" s="1"/>
  <c r="AN84" i="3" s="1"/>
  <c r="AX84" i="3" s="1"/>
  <c r="AY84" i="3" s="1"/>
  <c r="AZ84" i="3" s="1"/>
  <c r="BA84" i="3" s="1"/>
  <c r="BB84" i="3" s="1"/>
  <c r="Q18" i="2"/>
  <c r="R17" i="2"/>
  <c r="Z16" i="2" s="1"/>
  <c r="M12" i="2" a="1"/>
  <c r="AS46" i="3"/>
  <c r="AU21" i="3"/>
  <c r="CJ138" i="3"/>
  <c r="AR47" i="3"/>
  <c r="AB46" i="3"/>
  <c r="BB42" i="3"/>
  <c r="AY43" i="3" s="1"/>
  <c r="AP42" i="3"/>
  <c r="AF48" i="3"/>
  <c r="I12" i="2" a="1"/>
  <c r="G77" i="3"/>
  <c r="I91" i="1" l="1"/>
  <c r="J91" i="1"/>
  <c r="J60" i="1"/>
  <c r="H28" i="1"/>
  <c r="J94" i="1" s="1"/>
  <c r="J78" i="1"/>
  <c r="I78" i="1"/>
  <c r="I60" i="1"/>
  <c r="G28" i="1"/>
  <c r="S39" i="1"/>
  <c r="R39" i="1"/>
  <c r="E39" i="1" s="1"/>
  <c r="F39" i="1" s="1"/>
  <c r="G39" i="1" s="1"/>
  <c r="H39" i="1" s="1"/>
  <c r="I39" i="1" s="1"/>
  <c r="U41" i="1"/>
  <c r="U38" i="1" s="1"/>
  <c r="AT43" i="3"/>
  <c r="AF44" i="3"/>
  <c r="AA44" i="3"/>
  <c r="AO43" i="3"/>
  <c r="AY44" i="3" s="1"/>
  <c r="BJ27" i="3"/>
  <c r="BK26" i="3"/>
  <c r="BP25" i="3"/>
  <c r="BO23" i="3"/>
  <c r="BO25" i="3"/>
  <c r="G42" i="1"/>
  <c r="I75" i="1" s="1"/>
  <c r="H42" i="1"/>
  <c r="J75" i="1" s="1"/>
  <c r="I42" i="1"/>
  <c r="K75" i="1" s="1"/>
  <c r="F42" i="1"/>
  <c r="H75" i="1" s="1"/>
  <c r="H81" i="1"/>
  <c r="H94" i="1"/>
  <c r="F41" i="1"/>
  <c r="H74" i="1" s="1"/>
  <c r="G41" i="1"/>
  <c r="I74" i="1" s="1"/>
  <c r="H41" i="1"/>
  <c r="J74" i="1" s="1"/>
  <c r="I41" i="1"/>
  <c r="K74" i="1" s="1"/>
  <c r="BL26" i="3"/>
  <c r="BN23" i="3"/>
  <c r="BK24" i="3"/>
  <c r="Y15" i="2"/>
  <c r="AJ77" i="2"/>
  <c r="AJ89" i="2"/>
  <c r="AJ81" i="2"/>
  <c r="AJ78" i="2"/>
  <c r="AJ90" i="2"/>
  <c r="AJ85" i="2"/>
  <c r="AJ80" i="2"/>
  <c r="AJ92" i="2"/>
  <c r="AJ82" i="2"/>
  <c r="AJ91" i="2"/>
  <c r="AJ95" i="2"/>
  <c r="AJ110" i="2"/>
  <c r="AJ86" i="2"/>
  <c r="AJ105" i="2"/>
  <c r="AJ87" i="2"/>
  <c r="AJ96" i="2"/>
  <c r="AJ98" i="2"/>
  <c r="AJ107" i="2"/>
  <c r="AJ100" i="2"/>
  <c r="AJ102" i="2"/>
  <c r="AJ88" i="2"/>
  <c r="AJ109" i="2"/>
  <c r="AJ75" i="2"/>
  <c r="AJ93" i="2"/>
  <c r="AJ104" i="2"/>
  <c r="AJ94" i="2"/>
  <c r="AJ76" i="2"/>
  <c r="AJ106" i="2"/>
  <c r="AJ83" i="2"/>
  <c r="AJ101" i="2"/>
  <c r="AJ97" i="2"/>
  <c r="AJ108" i="2"/>
  <c r="AJ84" i="2"/>
  <c r="AJ79" i="2"/>
  <c r="AJ103" i="2"/>
  <c r="AJ99" i="2"/>
  <c r="E14" i="2"/>
  <c r="F12" i="2"/>
  <c r="E13" i="2"/>
  <c r="F13" i="2"/>
  <c r="E12" i="2"/>
  <c r="F14" i="2"/>
  <c r="BP24" i="3"/>
  <c r="G73" i="3"/>
  <c r="H77" i="3"/>
  <c r="I77" i="3" s="1"/>
  <c r="J77" i="3" s="1"/>
  <c r="K77" i="3" s="1"/>
  <c r="L77" i="3" s="1"/>
  <c r="M77" i="3" s="1"/>
  <c r="N77" i="3" s="1"/>
  <c r="BM23" i="3"/>
  <c r="BJ24" i="3"/>
  <c r="BJ25" i="3"/>
  <c r="BP23" i="3"/>
  <c r="BJ26" i="3"/>
  <c r="AD73" i="3"/>
  <c r="BM27" i="3"/>
  <c r="AJ75" i="3"/>
  <c r="Z77" i="3"/>
  <c r="AA77" i="3"/>
  <c r="AB77" i="3" s="1"/>
  <c r="AC77" i="3" s="1"/>
  <c r="AD77" i="3" s="1"/>
  <c r="AI73" i="3"/>
  <c r="F19" i="2"/>
  <c r="E17" i="2"/>
  <c r="F17" i="2"/>
  <c r="W16" i="2" s="1"/>
  <c r="E18" i="2"/>
  <c r="F18" i="2"/>
  <c r="E19" i="2"/>
  <c r="M7" i="2"/>
  <c r="Y7" i="2" s="1"/>
  <c r="N7" i="2"/>
  <c r="Y8" i="2" s="1"/>
  <c r="M8" i="2"/>
  <c r="N8" i="2"/>
  <c r="M9" i="2"/>
  <c r="N9" i="2"/>
  <c r="I7" i="2"/>
  <c r="I8" i="2"/>
  <c r="J8" i="2"/>
  <c r="I9" i="2"/>
  <c r="J9" i="2"/>
  <c r="J7" i="2"/>
  <c r="X8" i="2" s="1"/>
  <c r="I17" i="2"/>
  <c r="I18" i="2"/>
  <c r="J18" i="2"/>
  <c r="I19" i="2"/>
  <c r="J19" i="2"/>
  <c r="J17" i="2"/>
  <c r="X16" i="2" s="1"/>
  <c r="Q12" i="2"/>
  <c r="R12" i="2"/>
  <c r="Q14" i="2"/>
  <c r="R14" i="2"/>
  <c r="Q13" i="2"/>
  <c r="R13" i="2"/>
  <c r="K67" i="1"/>
  <c r="K65" i="1" s="1"/>
  <c r="K73" i="1"/>
  <c r="K89" i="1" s="1"/>
  <c r="K88" i="1"/>
  <c r="BL24" i="3"/>
  <c r="BN25" i="3"/>
  <c r="BK25" i="3"/>
  <c r="BL27" i="3"/>
  <c r="BO24" i="3"/>
  <c r="BM25" i="3"/>
  <c r="BP26" i="3"/>
  <c r="BM26" i="3"/>
  <c r="BL23" i="3"/>
  <c r="R9" i="2"/>
  <c r="Q7" i="2"/>
  <c r="Z7" i="2" s="1"/>
  <c r="R7" i="2"/>
  <c r="Z8" i="2" s="1"/>
  <c r="Q8" i="2"/>
  <c r="R8" i="2"/>
  <c r="Q9" i="2"/>
  <c r="J14" i="2"/>
  <c r="I12" i="2"/>
  <c r="I13" i="2"/>
  <c r="J12" i="2"/>
  <c r="J13" i="2"/>
  <c r="I14" i="2"/>
  <c r="BO27" i="3"/>
  <c r="BM24" i="3"/>
  <c r="BL25" i="3"/>
  <c r="BO26" i="3"/>
  <c r="BP27" i="3"/>
  <c r="BK23" i="3"/>
  <c r="BK27" i="3"/>
  <c r="M14" i="2"/>
  <c r="N14" i="2"/>
  <c r="M13" i="2"/>
  <c r="M12" i="2"/>
  <c r="N13" i="2"/>
  <c r="N12" i="2"/>
  <c r="BN27" i="3"/>
  <c r="BJ23" i="3"/>
  <c r="BN24" i="3"/>
  <c r="BN26" i="3"/>
  <c r="F7" i="2"/>
  <c r="W8" i="2" s="1"/>
  <c r="E8" i="2"/>
  <c r="F8" i="2"/>
  <c r="E9" i="2"/>
  <c r="F9" i="2"/>
  <c r="E7" i="2"/>
  <c r="I22" i="1"/>
  <c r="I25" i="1"/>
  <c r="I27" i="1"/>
  <c r="U42" i="1" l="1"/>
  <c r="U37" i="1"/>
  <c r="S37" i="1" s="1"/>
  <c r="U40" i="1"/>
  <c r="T40" i="1" s="1"/>
  <c r="J81" i="1"/>
  <c r="I94" i="1"/>
  <c r="I81" i="1"/>
  <c r="AT44" i="3"/>
  <c r="AE85" i="3"/>
  <c r="AF85" i="3" s="1"/>
  <c r="AG85" i="3" s="1"/>
  <c r="AH85" i="3" s="1"/>
  <c r="AI85" i="3" s="1"/>
  <c r="AJ85" i="3" s="1"/>
  <c r="AK85" i="3" s="1"/>
  <c r="AL85" i="3" s="1"/>
  <c r="AM85" i="3" s="1"/>
  <c r="AN85" i="3" s="1"/>
  <c r="AX85" i="3" s="1"/>
  <c r="AY85" i="3" s="1"/>
  <c r="AZ85" i="3" s="1"/>
  <c r="BA85" i="3" s="1"/>
  <c r="BB85" i="3" s="1"/>
  <c r="AE77" i="3"/>
  <c r="AF77" i="3" s="1"/>
  <c r="AG77" i="3" s="1"/>
  <c r="AH77" i="3" s="1"/>
  <c r="K87" i="1"/>
  <c r="J87" i="1"/>
  <c r="R37" i="1"/>
  <c r="E37" i="1" s="1"/>
  <c r="I87" i="1"/>
  <c r="O35" i="2"/>
  <c r="O47" i="2"/>
  <c r="O59" i="2"/>
  <c r="O71" i="2"/>
  <c r="O75" i="2"/>
  <c r="O87" i="2"/>
  <c r="O28" i="2"/>
  <c r="O40" i="2"/>
  <c r="O52" i="2"/>
  <c r="O64" i="2"/>
  <c r="O31" i="2"/>
  <c r="O43" i="2"/>
  <c r="O55" i="2"/>
  <c r="O67" i="2"/>
  <c r="O79" i="2"/>
  <c r="O29" i="2"/>
  <c r="O41" i="2"/>
  <c r="O53" i="2"/>
  <c r="O65" i="2"/>
  <c r="O34" i="2"/>
  <c r="O46" i="2"/>
  <c r="O58" i="2"/>
  <c r="O70" i="2"/>
  <c r="O74" i="2"/>
  <c r="O76" i="2"/>
  <c r="O88" i="2"/>
  <c r="O27" i="2"/>
  <c r="O39" i="2"/>
  <c r="O51" i="2"/>
  <c r="O63" i="2"/>
  <c r="O83" i="2"/>
  <c r="O95" i="2"/>
  <c r="O32" i="2"/>
  <c r="O44" i="2"/>
  <c r="O56" i="2"/>
  <c r="O68" i="2"/>
  <c r="O78" i="2"/>
  <c r="O90" i="2"/>
  <c r="O37" i="2"/>
  <c r="O49" i="2"/>
  <c r="O61" i="2"/>
  <c r="W7" i="2"/>
  <c r="O30" i="2"/>
  <c r="O42" i="2"/>
  <c r="O54" i="2"/>
  <c r="O66" i="2"/>
  <c r="O73" i="2"/>
  <c r="O80" i="2"/>
  <c r="O94" i="2"/>
  <c r="O97" i="2"/>
  <c r="O99" i="2"/>
  <c r="O101" i="2"/>
  <c r="O108" i="2"/>
  <c r="O103" i="2"/>
  <c r="O77" i="2"/>
  <c r="O110" i="2"/>
  <c r="O36" i="2"/>
  <c r="O60" i="2"/>
  <c r="O81" i="2"/>
  <c r="O82" i="2"/>
  <c r="O105" i="2"/>
  <c r="O33" i="2"/>
  <c r="O50" i="2"/>
  <c r="O57" i="2"/>
  <c r="O84" i="2"/>
  <c r="O91" i="2"/>
  <c r="O85" i="2"/>
  <c r="O86" i="2"/>
  <c r="O98" i="2"/>
  <c r="O107" i="2"/>
  <c r="O96" i="2"/>
  <c r="O100" i="2"/>
  <c r="O102" i="2"/>
  <c r="O109" i="2"/>
  <c r="O92" i="2"/>
  <c r="O104" i="2"/>
  <c r="O48" i="2"/>
  <c r="O89" i="2"/>
  <c r="O45" i="2"/>
  <c r="O93" i="2"/>
  <c r="O106" i="2"/>
  <c r="O38" i="2"/>
  <c r="O72" i="2"/>
  <c r="O69" i="2"/>
  <c r="O62" i="2"/>
  <c r="AF75" i="2"/>
  <c r="AF87" i="2"/>
  <c r="AF100" i="2"/>
  <c r="AF102" i="2"/>
  <c r="AF92" i="2"/>
  <c r="AF93" i="2"/>
  <c r="AF104" i="2"/>
  <c r="AF106" i="2"/>
  <c r="AF76" i="2"/>
  <c r="AF97" i="2"/>
  <c r="AF99" i="2"/>
  <c r="AF80" i="2"/>
  <c r="AF84" i="2"/>
  <c r="AF105" i="2"/>
  <c r="AF85" i="2"/>
  <c r="AF91" i="2"/>
  <c r="AF95" i="2"/>
  <c r="AF83" i="2"/>
  <c r="AF96" i="2"/>
  <c r="AF109" i="2"/>
  <c r="AF103" i="2"/>
  <c r="AF89" i="2"/>
  <c r="AF82" i="2"/>
  <c r="AF88" i="2"/>
  <c r="AF108" i="2"/>
  <c r="AF86" i="2"/>
  <c r="AF101" i="2"/>
  <c r="AF90" i="2"/>
  <c r="AF81" i="2"/>
  <c r="AF98" i="2"/>
  <c r="AF79" i="2"/>
  <c r="AF77" i="2"/>
  <c r="AF94" i="2"/>
  <c r="AF107" i="2"/>
  <c r="AF110" i="2"/>
  <c r="AF78" i="2"/>
  <c r="H27" i="1"/>
  <c r="G27" i="1"/>
  <c r="Z9" i="2"/>
  <c r="F27" i="1"/>
  <c r="R38" i="1"/>
  <c r="E38" i="1" s="1"/>
  <c r="F38" i="1" s="1"/>
  <c r="S38" i="1"/>
  <c r="T38" i="1"/>
  <c r="I28" i="1"/>
  <c r="K91" i="1"/>
  <c r="I34" i="1"/>
  <c r="K60" i="1"/>
  <c r="K78" i="1"/>
  <c r="AI85" i="2"/>
  <c r="AI97" i="2"/>
  <c r="X15" i="2"/>
  <c r="AI100" i="2"/>
  <c r="AI102" i="2"/>
  <c r="AI109" i="2"/>
  <c r="AI104" i="2"/>
  <c r="AI79" i="2"/>
  <c r="AI82" i="2"/>
  <c r="AI90" i="2"/>
  <c r="AI95" i="2"/>
  <c r="AI78" i="2"/>
  <c r="AI81" i="2"/>
  <c r="AI110" i="2"/>
  <c r="AI91" i="2"/>
  <c r="AI83" i="2"/>
  <c r="AI103" i="2"/>
  <c r="AI108" i="2"/>
  <c r="AI89" i="2"/>
  <c r="AI107" i="2"/>
  <c r="AI92" i="2"/>
  <c r="AI87" i="2"/>
  <c r="AI77" i="2"/>
  <c r="AI105" i="2"/>
  <c r="AI96" i="2"/>
  <c r="AI88" i="2"/>
  <c r="AI84" i="2"/>
  <c r="AI80" i="2"/>
  <c r="AI76" i="2"/>
  <c r="AI86" i="2"/>
  <c r="AI75" i="2"/>
  <c r="AI101" i="2"/>
  <c r="AI93" i="2"/>
  <c r="AI94" i="2"/>
  <c r="AI99" i="2"/>
  <c r="AI98" i="2"/>
  <c r="AI106" i="2"/>
  <c r="Y9" i="2"/>
  <c r="G25" i="1"/>
  <c r="H25" i="1"/>
  <c r="F25" i="1"/>
  <c r="AD80" i="2"/>
  <c r="AD87" i="2"/>
  <c r="AD92" i="2"/>
  <c r="AD104" i="2"/>
  <c r="AD106" i="2"/>
  <c r="AD75" i="2"/>
  <c r="AD97" i="2"/>
  <c r="AD99" i="2"/>
  <c r="AD107" i="2"/>
  <c r="AD98" i="2"/>
  <c r="AD102" i="2"/>
  <c r="AD86" i="2"/>
  <c r="AD85" i="2"/>
  <c r="AD100" i="2"/>
  <c r="AD96" i="2"/>
  <c r="AD103" i="2"/>
  <c r="AD95" i="2"/>
  <c r="AD91" i="2"/>
  <c r="AD77" i="2"/>
  <c r="AD89" i="2"/>
  <c r="AD84" i="2"/>
  <c r="AD105" i="2"/>
  <c r="AD90" i="2"/>
  <c r="AD93" i="2"/>
  <c r="AD108" i="2"/>
  <c r="AD88" i="2"/>
  <c r="AD81" i="2"/>
  <c r="AD76" i="2"/>
  <c r="AD79" i="2"/>
  <c r="AD83" i="2"/>
  <c r="AD101" i="2"/>
  <c r="AD82" i="2"/>
  <c r="AD110" i="2"/>
  <c r="AD78" i="2"/>
  <c r="AD109" i="2"/>
  <c r="AD94" i="2"/>
  <c r="AK75" i="3"/>
  <c r="AJ76" i="3"/>
  <c r="AJ77" i="3"/>
  <c r="AE85" i="2"/>
  <c r="AE87" i="2"/>
  <c r="AE88" i="2"/>
  <c r="AE92" i="2"/>
  <c r="AE106" i="2"/>
  <c r="AE75" i="2"/>
  <c r="AE76" i="2"/>
  <c r="AE97" i="2"/>
  <c r="AE99" i="2"/>
  <c r="AE80" i="2"/>
  <c r="AE107" i="2"/>
  <c r="AE98" i="2"/>
  <c r="AE105" i="2"/>
  <c r="AE91" i="2"/>
  <c r="AE110" i="2"/>
  <c r="AE102" i="2"/>
  <c r="AE95" i="2"/>
  <c r="AE103" i="2"/>
  <c r="AE93" i="2"/>
  <c r="AE89" i="2"/>
  <c r="AE82" i="2"/>
  <c r="AE96" i="2"/>
  <c r="AE79" i="2"/>
  <c r="AE83" i="2"/>
  <c r="AE78" i="2"/>
  <c r="AE90" i="2"/>
  <c r="AE100" i="2"/>
  <c r="AE108" i="2"/>
  <c r="AE81" i="2"/>
  <c r="AE86" i="2"/>
  <c r="AE109" i="2"/>
  <c r="AE101" i="2"/>
  <c r="AE94" i="2"/>
  <c r="AE104" i="2"/>
  <c r="AE77" i="2"/>
  <c r="AE84" i="2"/>
  <c r="AH80" i="2"/>
  <c r="AH92" i="2"/>
  <c r="W15" i="2"/>
  <c r="AH98" i="2"/>
  <c r="AH107" i="2"/>
  <c r="AH88" i="2"/>
  <c r="AH109" i="2"/>
  <c r="AH89" i="2"/>
  <c r="AH93" i="2"/>
  <c r="AH104" i="2"/>
  <c r="AH106" i="2"/>
  <c r="AH76" i="2"/>
  <c r="AH77" i="2"/>
  <c r="AH81" i="2"/>
  <c r="AH90" i="2"/>
  <c r="AH95" i="2"/>
  <c r="AH78" i="2"/>
  <c r="AH110" i="2"/>
  <c r="AH86" i="2"/>
  <c r="AH105" i="2"/>
  <c r="AH85" i="2"/>
  <c r="AH103" i="2"/>
  <c r="AH94" i="2"/>
  <c r="AH99" i="2"/>
  <c r="AH108" i="2"/>
  <c r="AH82" i="2"/>
  <c r="AH79" i="2"/>
  <c r="AH97" i="2"/>
  <c r="AH87" i="2"/>
  <c r="AH91" i="2"/>
  <c r="AH75" i="2"/>
  <c r="AH96" i="2"/>
  <c r="AH84" i="2"/>
  <c r="AH83" i="2"/>
  <c r="AH101" i="2"/>
  <c r="AH102" i="2"/>
  <c r="AH100" i="2"/>
  <c r="H87" i="1"/>
  <c r="K82" i="1"/>
  <c r="I33" i="1"/>
  <c r="X7" i="2"/>
  <c r="P30" i="2"/>
  <c r="P42" i="2"/>
  <c r="P54" i="2"/>
  <c r="P66" i="2"/>
  <c r="P73" i="2"/>
  <c r="P80" i="2"/>
  <c r="P92" i="2"/>
  <c r="P35" i="2"/>
  <c r="P47" i="2"/>
  <c r="P59" i="2"/>
  <c r="P71" i="2"/>
  <c r="P38" i="2"/>
  <c r="P50" i="2"/>
  <c r="P62" i="2"/>
  <c r="P84" i="2"/>
  <c r="P31" i="2"/>
  <c r="P36" i="2"/>
  <c r="P48" i="2"/>
  <c r="P60" i="2"/>
  <c r="P29" i="2"/>
  <c r="P41" i="2"/>
  <c r="P53" i="2"/>
  <c r="P65" i="2"/>
  <c r="P72" i="2"/>
  <c r="P81" i="2"/>
  <c r="P93" i="2"/>
  <c r="P34" i="2"/>
  <c r="P46" i="2"/>
  <c r="P58" i="2"/>
  <c r="P70" i="2"/>
  <c r="P74" i="2"/>
  <c r="P76" i="2"/>
  <c r="P88" i="2"/>
  <c r="P27" i="2"/>
  <c r="P39" i="2"/>
  <c r="P51" i="2"/>
  <c r="P63" i="2"/>
  <c r="P83" i="2"/>
  <c r="P95" i="2"/>
  <c r="P32" i="2"/>
  <c r="P44" i="2"/>
  <c r="P56" i="2"/>
  <c r="P37" i="2"/>
  <c r="P49" i="2"/>
  <c r="P61" i="2"/>
  <c r="P85" i="2"/>
  <c r="P28" i="2"/>
  <c r="P69" i="2"/>
  <c r="P75" i="2"/>
  <c r="P89" i="2"/>
  <c r="P94" i="2"/>
  <c r="P97" i="2"/>
  <c r="P99" i="2"/>
  <c r="P101" i="2"/>
  <c r="P108" i="2"/>
  <c r="P90" i="2"/>
  <c r="P103" i="2"/>
  <c r="P43" i="2"/>
  <c r="P67" i="2"/>
  <c r="P77" i="2"/>
  <c r="P78" i="2"/>
  <c r="P79" i="2"/>
  <c r="P110" i="2"/>
  <c r="P82" i="2"/>
  <c r="P105" i="2"/>
  <c r="P33" i="2"/>
  <c r="P40" i="2"/>
  <c r="P57" i="2"/>
  <c r="P64" i="2"/>
  <c r="P91" i="2"/>
  <c r="P86" i="2"/>
  <c r="P98" i="2"/>
  <c r="P107" i="2"/>
  <c r="P68" i="2"/>
  <c r="P96" i="2"/>
  <c r="P100" i="2"/>
  <c r="P102" i="2"/>
  <c r="P87" i="2"/>
  <c r="P109" i="2"/>
  <c r="P52" i="2"/>
  <c r="P104" i="2"/>
  <c r="P45" i="2"/>
  <c r="P106" i="2"/>
  <c r="P55" i="2"/>
  <c r="I31" i="1"/>
  <c r="K95" i="1"/>
  <c r="K83" i="1"/>
  <c r="S40" i="1" l="1"/>
  <c r="R40" i="1"/>
  <c r="E40" i="1" s="1"/>
  <c r="F40" i="1" s="1"/>
  <c r="G40" i="1" s="1"/>
  <c r="H40" i="1" s="1"/>
  <c r="I40" i="1" s="1"/>
  <c r="T37" i="1"/>
  <c r="G38" i="1"/>
  <c r="H63" i="1"/>
  <c r="AU3" i="2"/>
  <c r="AW3" i="2" s="1"/>
  <c r="W12" i="2"/>
  <c r="G26" i="1"/>
  <c r="H26" i="1"/>
  <c r="F26" i="1"/>
  <c r="W9" i="2"/>
  <c r="I26" i="1"/>
  <c r="H31" i="1"/>
  <c r="J95" i="1"/>
  <c r="J83" i="1"/>
  <c r="F33" i="1"/>
  <c r="H82" i="1"/>
  <c r="I37" i="1"/>
  <c r="K62" i="1" s="1"/>
  <c r="F37" i="1"/>
  <c r="H62" i="1" s="1"/>
  <c r="G37" i="1"/>
  <c r="I62" i="1" s="1"/>
  <c r="H37" i="1"/>
  <c r="J62" i="1" s="1"/>
  <c r="H64" i="1"/>
  <c r="G31" i="1"/>
  <c r="I95" i="1"/>
  <c r="I83" i="1"/>
  <c r="Z17" i="2"/>
  <c r="Z18" i="2" s="1"/>
  <c r="Z10" i="2"/>
  <c r="AK76" i="3"/>
  <c r="AK77" i="3"/>
  <c r="AL75" i="3"/>
  <c r="F31" i="1"/>
  <c r="H95" i="1"/>
  <c r="H83" i="1"/>
  <c r="AU4" i="2"/>
  <c r="AW4" i="2" s="1"/>
  <c r="X12" i="2"/>
  <c r="X9" i="2"/>
  <c r="F24" i="1"/>
  <c r="H24" i="1"/>
  <c r="G24" i="1"/>
  <c r="I24" i="1"/>
  <c r="Y10" i="2"/>
  <c r="Y17" i="2"/>
  <c r="Y18" i="2" s="1"/>
  <c r="G33" i="1"/>
  <c r="I82" i="1"/>
  <c r="H33" i="1"/>
  <c r="J82" i="1"/>
  <c r="K81" i="1"/>
  <c r="K94" i="1"/>
  <c r="K64" i="1" l="1"/>
  <c r="I64" i="1"/>
  <c r="J64" i="1"/>
  <c r="K93" i="1"/>
  <c r="K90" i="1" s="1"/>
  <c r="I32" i="1"/>
  <c r="K80" i="1"/>
  <c r="W10" i="2"/>
  <c r="W17" i="2"/>
  <c r="W18" i="2" s="1"/>
  <c r="W20" i="2"/>
  <c r="F32" i="1"/>
  <c r="H93" i="1"/>
  <c r="H90" i="1" s="1"/>
  <c r="H80" i="1"/>
  <c r="AM75" i="3"/>
  <c r="AL76" i="3"/>
  <c r="AL77" i="3"/>
  <c r="H32" i="1"/>
  <c r="J80" i="1"/>
  <c r="J93" i="1"/>
  <c r="J90" i="1" s="1"/>
  <c r="G32" i="1"/>
  <c r="I80" i="1"/>
  <c r="I93" i="1"/>
  <c r="I90" i="1" s="1"/>
  <c r="I30" i="1"/>
  <c r="K92" i="1"/>
  <c r="K79" i="1"/>
  <c r="K84" i="1" s="1"/>
  <c r="G23" i="1"/>
  <c r="I92" i="1"/>
  <c r="G30" i="1"/>
  <c r="G29" i="1" s="1"/>
  <c r="I79" i="1"/>
  <c r="I84" i="1" s="1"/>
  <c r="X20" i="2"/>
  <c r="X10" i="2"/>
  <c r="X17" i="2"/>
  <c r="X18" i="2" s="1"/>
  <c r="H30" i="1"/>
  <c r="J92" i="1"/>
  <c r="J79" i="1"/>
  <c r="J84" i="1" s="1"/>
  <c r="F30" i="1"/>
  <c r="H92" i="1"/>
  <c r="H79" i="1"/>
  <c r="H84" i="1" s="1"/>
  <c r="H38" i="1"/>
  <c r="I63" i="1"/>
  <c r="AN75" i="3" l="1"/>
  <c r="AM76" i="3"/>
  <c r="AM77" i="3"/>
  <c r="H77" i="1"/>
  <c r="H85" i="1"/>
  <c r="I38" i="1"/>
  <c r="K63" i="1" s="1"/>
  <c r="J63" i="1"/>
  <c r="I85" i="1"/>
  <c r="I77" i="1"/>
  <c r="K77" i="1"/>
  <c r="K85" i="1"/>
  <c r="J77" i="1"/>
  <c r="J85" i="1"/>
  <c r="AX75" i="3" l="1"/>
  <c r="AN76" i="3"/>
  <c r="AN77" i="3"/>
  <c r="AX77" i="3" l="1"/>
  <c r="AY75" i="3"/>
  <c r="AX76" i="3"/>
  <c r="AY77" i="3" l="1"/>
  <c r="AZ75" i="3"/>
  <c r="AY76" i="3"/>
  <c r="AZ77" i="3" l="1"/>
  <c r="BA75" i="3"/>
  <c r="AZ76" i="3"/>
  <c r="BA76" i="3" l="1"/>
  <c r="BB75" i="3"/>
  <c r="BA77" i="3"/>
  <c r="BB76" i="3" l="1"/>
  <c r="BB7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tc={82D0923D-84D5-4B2A-8766-85D1885CBFE6}</author>
    <author>bruno merven</author>
    <author>Bruno Merven</author>
    <author>tc={3FFF6A51-26DB-4758-85D2-3FC6EB0096C7}</author>
    <author>tc={3347D6CD-6874-4386-A4BD-153146ACFE52}</author>
    <author>tc={16F07B52-D983-4E21-9744-BDA551E01901}</author>
    <author>tc={8AD1D602-0878-4F8F-B798-A688F31EE01D}</author>
    <author>tc={64154AB5-04B8-4F42-9BFB-B337EF7C77A2}</author>
    <author>tc={0916AAB1-C044-4CDA-B604-D4F1FCE09653}</author>
    <author>tc={4E7774C3-4D41-4D64-B2ED-FB7954A2DFD1}</author>
    <author>tc={FF2DFFB8-6E67-4BCE-BF58-45A64DB2E0DB}</author>
  </authors>
  <commentList>
    <comment ref="G23" authorId="0" shapeId="0" xr:uid="{82D0923D-84D5-4B2A-8766-85D1885CBFE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looks ok, see: https://www.energy.gov.za/files/esources/petroleum/December2021/Basic-Fuel-Price.pdf</t>
      </text>
    </comment>
    <comment ref="A28" authorId="1" shapeId="0" xr:uid="{5E6D0E9E-5E19-44FF-AA7C-00B29BACDD69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Price parity assumed with Crude</t>
        </r>
      </text>
    </comment>
    <comment ref="O36" authorId="2" shapeId="0" xr:uid="{5396FF8E-A358-49D3-B7EC-055AAAE83D6B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Darryl Hunt</t>
        </r>
      </text>
    </comment>
    <comment ref="U37" authorId="1" shapeId="0" xr:uid="{857EE5A3-4840-4E13-95BE-AD897D4A614E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LNG price - liquefaction cost
</t>
        </r>
      </text>
    </comment>
    <comment ref="U40" authorId="1" shapeId="0" xr:uid="{8475DF47-EA23-49EF-9A8C-8C30401A788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LNG price - liquefaction cost
</t>
        </r>
      </text>
    </comment>
    <comment ref="V41" authorId="2" shapeId="0" xr:uid="{FB8BC40E-BFD7-497F-B8DA-E3688A528017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Regional LNG</t>
        </r>
      </text>
    </comment>
    <comment ref="C46" authorId="2" shapeId="0" xr:uid="{E3148B75-B579-4A27-9117-4AC06AA045D5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Open Cast Mines</t>
        </r>
      </text>
    </comment>
    <comment ref="D46" authorId="2" shapeId="0" xr:uid="{CFE3450D-AD1C-4431-B340-73F9364D52CC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Underground mining</t>
        </r>
      </text>
    </comment>
    <comment ref="E46" authorId="2" shapeId="0" xr:uid="{6830515F-7130-41B9-95F9-722B078571C6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Shale Gas</t>
        </r>
      </text>
    </comment>
    <comment ref="F46" authorId="2" shapeId="0" xr:uid="{58E93A86-31A8-4F2B-BBCF-DCD6852BBF0E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Coal Bed Methane</t>
        </r>
      </text>
    </comment>
    <comment ref="E53" authorId="3" shapeId="0" xr:uid="{3FFF6A51-26DB-4758-85D2-3FC6EB0096C7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this cell to do any currency conversion adjustments.</t>
      </text>
    </comment>
    <comment ref="A57" authorId="1" shapeId="0" xr:uid="{2E132BFF-623C-4398-B008-268D21875680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coal going to demand sectors</t>
        </r>
      </text>
    </comment>
    <comment ref="H57" authorId="4" shapeId="0" xr:uid="{3347D6CD-6874-4386-A4BD-153146ACFE52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SUTCoal sheet in EB2017 google sheet. This includes transport costs, and then converted to 2022 Rands from 2017 rands.</t>
      </text>
    </comment>
    <comment ref="F61" authorId="1" shapeId="0" xr:uid="{D9427FA5-0DAA-4696-BB4F-7FF50CB1100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This is natural gas from Mossel Bay but gives out GIC</t>
        </r>
      </text>
    </comment>
    <comment ref="M61" authorId="5" shapeId="0" xr:uid="{16F07B52-D983-4E21-9744-BDA551E01901}">
      <text>
        <t>[Threaded comment]
Your version of Excel allows you to read this threaded comment; however, any edits to it will get removed if the file is opened in a newer version of Excel. Learn more: https://go.microsoft.com/fwlink/?linkid=870924
Comment:
    amount required to meet lower bound on production (calibrated on DEFF GHG Inventory)</t>
      </text>
    </comment>
    <comment ref="R62" authorId="6" shapeId="0" xr:uid="{8AD1D602-0878-4F8F-B798-A688F31EE01D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https://www.offshore-technology.com/marketdata/oil-gas-field-profile-ibhubesi-conventional-gas-field-south-africa/</t>
      </text>
    </comment>
    <comment ref="S62" authorId="1" shapeId="0" xr:uid="{958404B5-6244-45E1-AF2A-E2093F727F53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http://www.southafrica.info/business/investing/energy-190315.htm#.VSaJwvmUebM</t>
        </r>
      </text>
    </comment>
    <comment ref="S64" authorId="1" shapeId="0" xr:uid="{8DADBFC1-6B22-4FD5-BF70-6CF52A0409BC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Darryl had 18.5 in October 2013 presentation but this has been revised down since.</t>
        </r>
      </text>
    </comment>
    <comment ref="H65" authorId="7" shapeId="0" xr:uid="{64154AB5-04B8-4F42-9BFB-B337EF7C77A2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Needs to be checked</t>
      </text>
    </comment>
    <comment ref="H66" authorId="8" shapeId="0" xr:uid="{0916AAB1-C044-4CDA-B604-D4F1FCE09653}">
      <text>
        <t>[Threaded comment]
Your version of Excel allows you to read this threaded comment; however, any edits to it will get removed if the file is opened in a newer version of Excel. Learn more: https://go.microsoft.com/fwlink/?linkid=870924
Comment:
    Parity with coal in R/GJ assumed</t>
      </text>
    </comment>
    <comment ref="F75" authorId="1" shapeId="0" xr:uid="{81F4B1C5-F7C2-4AA5-9738-F4B5688DC84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same commodity different price and start year</t>
        </r>
      </text>
    </comment>
    <comment ref="H76" authorId="9" shapeId="0" xr:uid="{4E7774C3-4D41-4D64-B2ED-FB7954A2DFD1}">
      <text>
        <t>[Threaded comment]
Your version of Excel allows you to read this threaded comment; however, any edits to it will get removed if the file is opened in a newer version of Excel. Learn more: https://go.microsoft.com/fwlink/?linkid=870924
Comment:
    IRP 2019 costs adjusted to 2022</t>
      </text>
    </comment>
    <comment ref="H87" authorId="10" shapeId="0" xr:uid="{FF2DFFB8-6E67-4BCE-BF58-45A64DB2E0DB}">
      <text>
        <t>[Threaded comment]
Your version of Excel allows you to read this threaded comment; however, any edits to it will get removed if the file is opened in a newer version of Excel. Learn more: https://go.microsoft.com/fwlink/?linkid=870924
Comment:
    LNG price minus liquefaction costs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bruno merven</author>
  </authors>
  <commentList>
    <comment ref="U15" authorId="0" shapeId="0" xr:uid="{57DCEE7C-43BE-49E5-85CF-6BD53B841577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To be modelled via distribution losses</t>
        </r>
      </text>
    </comment>
    <comment ref="U16" authorId="0" shapeId="0" xr:uid="{43F42748-6D1E-4B36-8643-45627B830DF9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To be modelled by an activity cost in R/GJ</t>
        </r>
      </text>
    </comment>
    <comment ref="AC106" authorId="0" shapeId="0" xr:uid="{5A04518A-864D-4078-B616-3590A69D20D0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Gauteng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tc={981C091B-92C8-428B-9930-BDE79AD863D6}</author>
    <author>tc={B02D5CD3-9A79-4435-918B-B8F9CCE6120B}</author>
  </authors>
  <commentList>
    <comment ref="CM94" authorId="0" shapeId="0" xr:uid="{981C091B-92C8-428B-9930-BDE79AD863D6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of Jan and Feb 2021</t>
      </text>
    </comment>
    <comment ref="CK99" authorId="1" shapeId="0" xr:uid="{B02D5CD3-9A79-4435-918B-B8F9CCE6120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Note, we're using 2021 as proxy for 2020, which is an outlier for interpolation purposes.</t>
      </text>
    </comment>
  </commentList>
</comments>
</file>

<file path=xl/sharedStrings.xml><?xml version="1.0" encoding="utf-8"?>
<sst xmlns="http://schemas.openxmlformats.org/spreadsheetml/2006/main" count="744" uniqueCount="411">
  <si>
    <t>http://www.energy.gov.za/files/media/explained/energy_price_report2010.PDF</t>
  </si>
  <si>
    <t>EPRI 2017</t>
  </si>
  <si>
    <t xml:space="preserve"> </t>
  </si>
  <si>
    <t>Extraction of Gas Indigenous Coal Bed Methane</t>
  </si>
  <si>
    <t>PJ</t>
  </si>
  <si>
    <t>4ds</t>
  </si>
  <si>
    <t>Source Limits</t>
  </si>
  <si>
    <t>Source</t>
  </si>
  <si>
    <t>Fuel Supply: Imports/Extraction</t>
  </si>
  <si>
    <t>South Africa</t>
  </si>
  <si>
    <t>Conversion Factor</t>
  </si>
  <si>
    <t>2DS</t>
  </si>
  <si>
    <t>(2010 US$/Mbtu)</t>
  </si>
  <si>
    <t>6DS</t>
  </si>
  <si>
    <t>Japan import price</t>
  </si>
  <si>
    <t>~</t>
  </si>
  <si>
    <t>ELC</t>
  </si>
  <si>
    <t>Electricity downstream of Transmission</t>
  </si>
  <si>
    <t>weighting</t>
  </si>
  <si>
    <t>ELCC</t>
  </si>
  <si>
    <t>Electricity upstream of Transmission</t>
  </si>
  <si>
    <t>EU import price</t>
  </si>
  <si>
    <t>Code</t>
  </si>
  <si>
    <t>Elc Upstream Commodities</t>
  </si>
  <si>
    <t>MIR</t>
  </si>
  <si>
    <t>Regional production of primary energy</t>
  </si>
  <si>
    <t>US import price</t>
  </si>
  <si>
    <t>EXP</t>
  </si>
  <si>
    <t>Exports</t>
  </si>
  <si>
    <t>(2010 US$/ton)</t>
  </si>
  <si>
    <t>IMP</t>
  </si>
  <si>
    <t>Imports</t>
  </si>
  <si>
    <t>OECD steam coal import price</t>
  </si>
  <si>
    <t>CB</t>
  </si>
  <si>
    <t>SH</t>
  </si>
  <si>
    <t>UG</t>
  </si>
  <si>
    <t>OP</t>
  </si>
  <si>
    <t>MIN</t>
  </si>
  <si>
    <t>Indigenous Production</t>
  </si>
  <si>
    <t>(2010 US$/bbl)</t>
  </si>
  <si>
    <t>Types</t>
  </si>
  <si>
    <t>SUP Prefixes</t>
  </si>
  <si>
    <t>IEA crude oil import price</t>
  </si>
  <si>
    <t>Scenario</t>
  </si>
  <si>
    <t>From DDPP Analysis</t>
  </si>
  <si>
    <t>GAS</t>
  </si>
  <si>
    <t>Gas Indigenous Coal Bed Methane</t>
  </si>
  <si>
    <t>UNEP avg</t>
  </si>
  <si>
    <t>Dyn H</t>
  </si>
  <si>
    <t>Dyn M</t>
  </si>
  <si>
    <t>Dyn L</t>
  </si>
  <si>
    <t>Coupled to Oil?</t>
  </si>
  <si>
    <t>GAS Prices</t>
  </si>
  <si>
    <t>Transport</t>
  </si>
  <si>
    <t>Gas Index Scenarios</t>
  </si>
  <si>
    <t>Gas Price Index Scenario</t>
  </si>
  <si>
    <t>R/GJ</t>
  </si>
  <si>
    <t>14-21</t>
  </si>
  <si>
    <t>14-19.5</t>
  </si>
  <si>
    <t>11-20</t>
  </si>
  <si>
    <t>11-18.5</t>
  </si>
  <si>
    <t>6-16</t>
  </si>
  <si>
    <t>8-18</t>
  </si>
  <si>
    <t>10-15</t>
  </si>
  <si>
    <t>7-11</t>
  </si>
  <si>
    <t>Price into market</t>
  </si>
  <si>
    <t>0.5-3.5</t>
  </si>
  <si>
    <t>0.5-2</t>
  </si>
  <si>
    <t>3-8</t>
  </si>
  <si>
    <t>1-4</t>
  </si>
  <si>
    <t>3-5</t>
  </si>
  <si>
    <t>1-3</t>
  </si>
  <si>
    <t>Infrastructure costs</t>
  </si>
  <si>
    <t>1.5</t>
  </si>
  <si>
    <t>0.5</t>
  </si>
  <si>
    <t>0</t>
  </si>
  <si>
    <t>Shipping costs</t>
  </si>
  <si>
    <t>12-16</t>
  </si>
  <si>
    <t>10-16</t>
  </si>
  <si>
    <t>7-14</t>
  </si>
  <si>
    <t>7-10</t>
  </si>
  <si>
    <t>6-8</t>
  </si>
  <si>
    <t>Commodity price</t>
  </si>
  <si>
    <t>FSRU</t>
  </si>
  <si>
    <t>LNGT</t>
  </si>
  <si>
    <t>Pipeline</t>
  </si>
  <si>
    <t>Conventional</t>
  </si>
  <si>
    <t>CBM</t>
  </si>
  <si>
    <t>Shale</t>
  </si>
  <si>
    <t>R/l check</t>
  </si>
  <si>
    <t>Prices at the pump (except for power sector)</t>
  </si>
  <si>
    <t>ROW imports</t>
  </si>
  <si>
    <t>SADC imports</t>
  </si>
  <si>
    <t>Unconventional</t>
  </si>
  <si>
    <t>Oil HFO</t>
  </si>
  <si>
    <t>From Elicitation from Darryl in June 2014</t>
  </si>
  <si>
    <t>Oil LPG</t>
  </si>
  <si>
    <t>Oil Gasoline</t>
  </si>
  <si>
    <t>Oil Kerosene</t>
  </si>
  <si>
    <t>Oil Diesel</t>
  </si>
  <si>
    <t>Basic Fuel Price</t>
  </si>
  <si>
    <t>Oil Crude</t>
  </si>
  <si>
    <t>'2022R/bbl</t>
  </si>
  <si>
    <t>Crude Oil price</t>
  </si>
  <si>
    <t>Oil Products Prices</t>
  </si>
  <si>
    <t>From UNEP Uncertainty Analysis</t>
  </si>
  <si>
    <t>Stated Policies</t>
  </si>
  <si>
    <t>Rand/ton</t>
  </si>
  <si>
    <t>Coal</t>
  </si>
  <si>
    <t>Announced Pledges</t>
  </si>
  <si>
    <t>$/mbtu</t>
  </si>
  <si>
    <t>Natural Gas</t>
  </si>
  <si>
    <t>Net Zero</t>
  </si>
  <si>
    <t>Oil Price Scenario</t>
  </si>
  <si>
    <t>2022 $/bbl Real</t>
  </si>
  <si>
    <t>Crude Oil ($/bbl Real)</t>
  </si>
  <si>
    <t>2022 R/$</t>
  </si>
  <si>
    <t>Exchange Rate (R/$)</t>
  </si>
  <si>
    <t>US inflation 2022</t>
  </si>
  <si>
    <t>Base Commodities and Prices</t>
  </si>
  <si>
    <t>WEO 2022 Alternative Oil Price Scenarios (2021 USD)</t>
  </si>
  <si>
    <t>From Energy Balance:</t>
  </si>
  <si>
    <t>Sectoral Fuel Names</t>
  </si>
  <si>
    <t>Ressources</t>
  </si>
  <si>
    <t>Fuel #</t>
  </si>
  <si>
    <t>Base-year final energy aggregated by sector fuel</t>
  </si>
  <si>
    <t>Indigenous Production, Imports and Exports</t>
  </si>
  <si>
    <t>Base Year Energy Balance</t>
  </si>
  <si>
    <t>Fuel Supply Costs and limits - Needs a bit of Cleaning!!!</t>
  </si>
  <si>
    <t>Diesel</t>
  </si>
  <si>
    <t>Petrol</t>
  </si>
  <si>
    <t>avg diesel (R/l)</t>
  </si>
  <si>
    <t>avg petrol (R/l)</t>
  </si>
  <si>
    <t>avg diesel (R/GJ)</t>
  </si>
  <si>
    <t>avg petrol (R/GJ)</t>
  </si>
  <si>
    <t>R/GJ (mR/PJ)</t>
  </si>
  <si>
    <t>avg tax:</t>
  </si>
  <si>
    <t>TS STech</t>
  </si>
  <si>
    <t>c/kg</t>
  </si>
  <si>
    <t>c/l</t>
  </si>
  <si>
    <t>R/bbl</t>
  </si>
  <si>
    <t>$/bbl</t>
  </si>
  <si>
    <t>R/USD</t>
  </si>
  <si>
    <t>BFP Model LPG</t>
  </si>
  <si>
    <t>BFP Model Paraffin</t>
  </si>
  <si>
    <t>BFP Model Diesel</t>
  </si>
  <si>
    <t>BFP Model Petrol</t>
  </si>
  <si>
    <t>Crude Price Model LPG</t>
  </si>
  <si>
    <t>Crude Price Model Paraffin</t>
  </si>
  <si>
    <t>Crude Price Model Diesel</t>
  </si>
  <si>
    <t>Crude Price Model Petrol</t>
  </si>
  <si>
    <t>Average LPG</t>
  </si>
  <si>
    <t>Average Paraffin</t>
  </si>
  <si>
    <t>Average Diesel</t>
  </si>
  <si>
    <t>Average Petrol</t>
  </si>
  <si>
    <t>Reef</t>
  </si>
  <si>
    <t>Coast</t>
  </si>
  <si>
    <t>Inland 93</t>
  </si>
  <si>
    <t>Coast 95</t>
  </si>
  <si>
    <t>average diesel</t>
  </si>
  <si>
    <t>Crude in Rands</t>
  </si>
  <si>
    <t>Average Dated Brent Crude</t>
  </si>
  <si>
    <t>Exchange Rate Rands/US$</t>
  </si>
  <si>
    <t>LPG</t>
  </si>
  <si>
    <t>Illum Paraffin</t>
  </si>
  <si>
    <t>Diesel 0.005% sulphur</t>
  </si>
  <si>
    <t xml:space="preserve">Diesel 0.05% Sulphur </t>
  </si>
  <si>
    <t>Petrol 95 Unleaded</t>
  </si>
  <si>
    <t>Petrol 93 Unleaded</t>
  </si>
  <si>
    <t>Model check on basic price</t>
  </si>
  <si>
    <t>Model Check on Crude Oil</t>
  </si>
  <si>
    <t>Paraffin</t>
  </si>
  <si>
    <t>Model Check on crude oil</t>
  </si>
  <si>
    <t>Averages</t>
  </si>
  <si>
    <t>-&gt; Petrol Price Archive</t>
  </si>
  <si>
    <t>http://www.energy.gov.za/files/petroleum_frame.html</t>
  </si>
  <si>
    <t>Pump Price</t>
  </si>
  <si>
    <t>Raw Data from same DOE website</t>
  </si>
  <si>
    <t>Raw Data From DOE website</t>
  </si>
  <si>
    <t>Actual Pump Price Data</t>
  </si>
  <si>
    <t>Basic Fuel Price (BFP) Data</t>
  </si>
  <si>
    <t>Comparison (c/l)</t>
  </si>
  <si>
    <t>R square</t>
  </si>
  <si>
    <t>Average pump price of diesel</t>
  </si>
  <si>
    <t>Check 2 (c/l)</t>
  </si>
  <si>
    <t>standard error</t>
  </si>
  <si>
    <t>Average basic price of diesel (same period)</t>
  </si>
  <si>
    <t>Check</t>
  </si>
  <si>
    <t>Reg.Coeff</t>
  </si>
  <si>
    <t>Cost per litre</t>
  </si>
  <si>
    <t>Offset</t>
  </si>
  <si>
    <t>BFP (c/l) to Pump Price (c/l) Model</t>
  </si>
  <si>
    <t>l/kWh</t>
  </si>
  <si>
    <t>Efficiency</t>
  </si>
  <si>
    <t>l/ton</t>
  </si>
  <si>
    <t>litres in a ton of crude oil</t>
  </si>
  <si>
    <t>Multiplier</t>
  </si>
  <si>
    <t>GWh</t>
  </si>
  <si>
    <t>Electricity produced</t>
  </si>
  <si>
    <t>l/bbl</t>
  </si>
  <si>
    <t>litres in a bbl</t>
  </si>
  <si>
    <t>mlitres</t>
  </si>
  <si>
    <t>Litres consumed</t>
  </si>
  <si>
    <t>Other Unit Conversions</t>
  </si>
  <si>
    <t>Model Inputs for Sector (except power) Prices (R/GJ)</t>
  </si>
  <si>
    <t>c/kWh</t>
  </si>
  <si>
    <t>Average Generation cost of OCGT's in August 2011-feb 2012</t>
  </si>
  <si>
    <t>http://www.politicsweb.co.za/politicsweb/view/politicsweb/en/page71654?oid=290797&amp;sn=Detail&amp;pid=71654</t>
  </si>
  <si>
    <t>MJ/kg</t>
  </si>
  <si>
    <t>Crude Price (R/bbl) to Pump Price (c/l) Model</t>
  </si>
  <si>
    <t>MJ/l</t>
  </si>
  <si>
    <t>Crude Oil</t>
  </si>
  <si>
    <t>IRP 2010 price of Diesel</t>
  </si>
  <si>
    <t>GJ/bbl</t>
  </si>
  <si>
    <t>kg/l</t>
  </si>
  <si>
    <t>Litre</t>
  </si>
  <si>
    <t>GJ/ton</t>
  </si>
  <si>
    <t>Crude</t>
  </si>
  <si>
    <t>density</t>
  </si>
  <si>
    <t>LHV</t>
  </si>
  <si>
    <t>Checks for price paid by Eskom for Diesel</t>
  </si>
  <si>
    <t>Calorific Values</t>
  </si>
  <si>
    <t>Model Inputs for Import Prices - BFP (R/GJ)</t>
  </si>
  <si>
    <t>petrol</t>
  </si>
  <si>
    <t>Crude Price (R/bbl) to BFP (c/l) Model</t>
  </si>
  <si>
    <t>Oil price</t>
  </si>
  <si>
    <t>R/$</t>
  </si>
  <si>
    <t>Check input</t>
  </si>
  <si>
    <t>Liquid Fuel Prices Relative to Crude Prices</t>
  </si>
  <si>
    <t>model</t>
  </si>
  <si>
    <t>2015 check</t>
  </si>
  <si>
    <t>Check Date</t>
  </si>
  <si>
    <t>China Coal elas</t>
  </si>
  <si>
    <t>China Coal</t>
  </si>
  <si>
    <t>EU Coal elas</t>
  </si>
  <si>
    <t>EU Coal</t>
  </si>
  <si>
    <t>US Coal elas</t>
  </si>
  <si>
    <t>US Coal</t>
  </si>
  <si>
    <t>Oil</t>
  </si>
  <si>
    <t>Ratio: 2040:2019</t>
  </si>
  <si>
    <t>Ratio: 2040:2025</t>
  </si>
  <si>
    <t>Coal Price (Coastal China)</t>
  </si>
  <si>
    <t>Coal Price (EU)</t>
  </si>
  <si>
    <t>Coal Price (US)</t>
  </si>
  <si>
    <t>Japan oil index check</t>
  </si>
  <si>
    <t>China</t>
  </si>
  <si>
    <t>Coastal</t>
  </si>
  <si>
    <t>Japan</t>
  </si>
  <si>
    <t>elas oil</t>
  </si>
  <si>
    <t>Coastal China</t>
  </si>
  <si>
    <t>Union</t>
  </si>
  <si>
    <t>European</t>
  </si>
  <si>
    <t>EU</t>
  </si>
  <si>
    <t>US</t>
  </si>
  <si>
    <t>Gas Price</t>
  </si>
  <si>
    <t>European Union</t>
  </si>
  <si>
    <t>States</t>
  </si>
  <si>
    <t>United</t>
  </si>
  <si>
    <t>United States</t>
  </si>
  <si>
    <t>(USD/tonne)</t>
  </si>
  <si>
    <t>coal</t>
  </si>
  <si>
    <t>Steam</t>
  </si>
  <si>
    <t>OECD</t>
  </si>
  <si>
    <t>($/tonne)</t>
  </si>
  <si>
    <t>Steam coal</t>
  </si>
  <si>
    <t>Deflator</t>
  </si>
  <si>
    <t>(USD/MBtu)</t>
  </si>
  <si>
    <t>gas</t>
  </si>
  <si>
    <t>Natural</t>
  </si>
  <si>
    <t>(USD/barrel)</t>
  </si>
  <si>
    <t>oil</t>
  </si>
  <si>
    <t>crude</t>
  </si>
  <si>
    <t>IEA</t>
  </si>
  <si>
    <t>Delayed Recovery</t>
  </si>
  <si>
    <t>Sustainable Dev</t>
  </si>
  <si>
    <t>($/MBtu)</t>
  </si>
  <si>
    <t>Natural gas</t>
  </si>
  <si>
    <t>2021)</t>
  </si>
  <si>
    <t>(USD</t>
  </si>
  <si>
    <t>terms</t>
  </si>
  <si>
    <t>Real</t>
  </si>
  <si>
    <t>Sustainable Development</t>
  </si>
  <si>
    <t>($/barrel)</t>
  </si>
  <si>
    <t>IEA crude oil</t>
  </si>
  <si>
    <t>NetZero by 2050</t>
  </si>
  <si>
    <t>Current Policies</t>
  </si>
  <si>
    <t>Real terms ($2015)</t>
  </si>
  <si>
    <t>450 Scenario</t>
  </si>
  <si>
    <t>New Policies</t>
  </si>
  <si>
    <t>Oil Price</t>
  </si>
  <si>
    <t>low</t>
  </si>
  <si>
    <t>high</t>
  </si>
  <si>
    <t>  Moderate Low Sulfur Light (dollars per barrel)</t>
  </si>
  <si>
    <t>moderate</t>
  </si>
  <si>
    <t>Average</t>
  </si>
  <si>
    <t>Source AEO 2012, EIA - Table 21 - 2010 dollars per barrel</t>
  </si>
  <si>
    <t>Source AEO 2013, EIA - Table 21 - adjusted to 2010 dollars per barrel</t>
  </si>
  <si>
    <t>WEO 2022</t>
  </si>
  <si>
    <t>WEO 2021</t>
  </si>
  <si>
    <t>WEO2020</t>
  </si>
  <si>
    <t>WEO 2019</t>
  </si>
  <si>
    <t>WEO 2016</t>
  </si>
  <si>
    <t xml:space="preserve">  West Texas Intermediate</t>
  </si>
  <si>
    <t>Gas Regasified LNG</t>
  </si>
  <si>
    <t>Source AEO 2013, EIA - Table 21 - 2011 dollars per barrel</t>
  </si>
  <si>
    <t>Gas Northern Mozambique Piped</t>
  </si>
  <si>
    <t>Gas Indigenous Piped Shale</t>
  </si>
  <si>
    <t>Gas Indigenous Ibhubezi Piped</t>
  </si>
  <si>
    <t>WEO2015</t>
  </si>
  <si>
    <t>WEO2014</t>
  </si>
  <si>
    <t>Index</t>
  </si>
  <si>
    <t>$/Mbtu</t>
  </si>
  <si>
    <t>Japan Gas price</t>
  </si>
  <si>
    <t>WEO 2012</t>
  </si>
  <si>
    <t>gas - US</t>
  </si>
  <si>
    <t>Table 1.4</t>
  </si>
  <si>
    <t>Real terms (2010 prices)</t>
  </si>
  <si>
    <t>IRP21010 Gas</t>
  </si>
  <si>
    <t>Japan Mbtu</t>
  </si>
  <si>
    <t>Europe Mbtu</t>
  </si>
  <si>
    <t>United States Mbtu</t>
  </si>
  <si>
    <t>Oil Price growth</t>
  </si>
  <si>
    <t>Gas Southern Mozambique Piped</t>
  </si>
  <si>
    <t>2010-2011</t>
  </si>
  <si>
    <t>2009-2010</t>
  </si>
  <si>
    <t>Nuclear</t>
  </si>
  <si>
    <t>gas oil elasticity</t>
  </si>
  <si>
    <t>coal oil elasticity</t>
  </si>
  <si>
    <t>Coal Discard</t>
  </si>
  <si>
    <t>OECD steam coal imports</t>
  </si>
  <si>
    <t xml:space="preserve">Natural gas imports </t>
  </si>
  <si>
    <t>IEA crude oil imports</t>
  </si>
  <si>
    <t>Real terms (2012 prices)</t>
  </si>
  <si>
    <t>Real terms (2011 prices)</t>
  </si>
  <si>
    <t>WEO2013</t>
  </si>
  <si>
    <t>WEO 2011</t>
  </si>
  <si>
    <t>2010 USD</t>
  </si>
  <si>
    <t>2009 USD</t>
  </si>
  <si>
    <t>WEO 2010</t>
  </si>
  <si>
    <t>WEO Oil and Gas Price Projections</t>
  </si>
  <si>
    <t>Gas Indigenous Ibhubezi</t>
  </si>
  <si>
    <t>Gas Indigenous Shale</t>
  </si>
  <si>
    <t>Gas Northern Mozambique</t>
  </si>
  <si>
    <t>Gas Regional LNG</t>
  </si>
  <si>
    <t>Gas International LNG</t>
  </si>
  <si>
    <t>COA</t>
  </si>
  <si>
    <t>CLE</t>
  </si>
  <si>
    <t>CLD</t>
  </si>
  <si>
    <t>OCR</t>
  </si>
  <si>
    <t>GIC</t>
  </si>
  <si>
    <t>GIB</t>
  </si>
  <si>
    <t>GIH</t>
  </si>
  <si>
    <t>BIG</t>
  </si>
  <si>
    <t>BIB</t>
  </si>
  <si>
    <t>BIO</t>
  </si>
  <si>
    <t>BIW</t>
  </si>
  <si>
    <t>WAS</t>
  </si>
  <si>
    <t>HYD</t>
  </si>
  <si>
    <t>SOL</t>
  </si>
  <si>
    <t>WND</t>
  </si>
  <si>
    <t>COK</t>
  </si>
  <si>
    <t>GRL</t>
  </si>
  <si>
    <t>GWL</t>
  </si>
  <si>
    <t>NUC</t>
  </si>
  <si>
    <t>OAG</t>
  </si>
  <si>
    <t>ODS</t>
  </si>
  <si>
    <t>OGS</t>
  </si>
  <si>
    <t>OHF</t>
  </si>
  <si>
    <t>OLP</t>
  </si>
  <si>
    <t>OKE</t>
  </si>
  <si>
    <t>BID</t>
  </si>
  <si>
    <t>BIE</t>
  </si>
  <si>
    <t>GRS</t>
  </si>
  <si>
    <t>GRM</t>
  </si>
  <si>
    <t>IMPGWL</t>
  </si>
  <si>
    <t>Biogas</t>
  </si>
  <si>
    <t>Bioethanol</t>
  </si>
  <si>
    <t>Biodiesel</t>
  </si>
  <si>
    <t>Biomass bagasse</t>
  </si>
  <si>
    <t>Biomass Other</t>
  </si>
  <si>
    <t>Biomass Wood</t>
  </si>
  <si>
    <t>Coal Coking</t>
  </si>
  <si>
    <t>Coal low grade</t>
  </si>
  <si>
    <t>Coal for plants in Botswana</t>
  </si>
  <si>
    <t>Electricity</t>
  </si>
  <si>
    <t>Electricity Upstream Transmission</t>
  </si>
  <si>
    <t>Coastal Gas</t>
  </si>
  <si>
    <t>Gas Southern Mozambique</t>
  </si>
  <si>
    <t>Gas Namibia</t>
  </si>
  <si>
    <t>Gas Methane Rich</t>
  </si>
  <si>
    <t>Heat-Steam</t>
  </si>
  <si>
    <t>Heat-Steam Existing</t>
  </si>
  <si>
    <t>Heat-Steam New</t>
  </si>
  <si>
    <t>Hydro</t>
  </si>
  <si>
    <t>Hydrogen</t>
  </si>
  <si>
    <t>Oil Av Gasoline</t>
  </si>
  <si>
    <t>Oil Other</t>
  </si>
  <si>
    <t>Solar</t>
  </si>
  <si>
    <t>Wind</t>
  </si>
  <si>
    <t>CRB</t>
  </si>
  <si>
    <t>GRN</t>
  </si>
  <si>
    <t>GIM</t>
  </si>
  <si>
    <t>HET</t>
  </si>
  <si>
    <t>HEE</t>
  </si>
  <si>
    <t>HEN</t>
  </si>
  <si>
    <t>HGN</t>
  </si>
  <si>
    <t>OTH</t>
  </si>
  <si>
    <t>Attribute</t>
  </si>
  <si>
    <t>PSET_PN</t>
  </si>
  <si>
    <t>COST</t>
  </si>
  <si>
    <t>~TFM_INS-TS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</si>
</sst>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%"/>
    <numFmt numFmtId="165" formatCode="0.000"/>
    <numFmt numFmtId="166" formatCode="0.0_)"/>
    <numFmt numFmtId="167" formatCode="0.0"/>
    <numFmt numFmtId="168" formatCode="0.0000"/>
    <numFmt numFmtId="169" formatCode="[$£-809]#,##0.00;[Red]&quot;-&quot;[$£-809]#,##0.00"/>
    <numFmt numFmtId="170" formatCode="#,##0.0"/>
    <numFmt numFmtId="171" formatCode="###0.0;###0.0"/>
    <numFmt numFmtId="172" formatCode="0.000000"/>
    <numFmt numFmtId="173" formatCode="0.000%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3"/>
      <name val="Arial"/>
      <family val="2"/>
    </font>
    <font>
      <sz val="11"/>
      <name val="Calibri"/>
      <family val="2"/>
      <scheme val="minor"/>
    </font>
    <font>
      <b/>
      <sz val="10"/>
      <name val="Arial"/>
      <family val="2"/>
    </font>
    <font>
      <b/>
      <sz val="14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sz val="11"/>
      <color rgb="FF000000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0"/>
      <color theme="6" tint="-0.24994659260841701"/>
      <name val="Arial"/>
      <family val="2"/>
      <charset val="238"/>
    </font>
    <font>
      <b/>
      <u/>
      <sz val="10"/>
      <name val="Arial"/>
      <family val="2"/>
    </font>
    <font>
      <b/>
      <sz val="12"/>
      <name val="Arial"/>
      <family val="2"/>
    </font>
    <font>
      <b/>
      <sz val="13"/>
      <color indexed="56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0070C0"/>
      <name val="Calibri"/>
      <family val="2"/>
      <scheme val="minor"/>
    </font>
    <font>
      <sz val="11"/>
      <color rgb="FFC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imes"/>
      <family val="1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7F7F7F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</borders>
  <cellStyleXfs count="15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3" fillId="0" borderId="0" applyNumberFormat="0" applyFill="0" applyBorder="0" applyAlignment="0" applyProtection="0"/>
    <xf numFmtId="0" fontId="4" fillId="2" borderId="0" applyNumberFormat="0" applyBorder="0" applyAlignment="0" applyProtection="0"/>
    <xf numFmtId="0" fontId="5" fillId="3" borderId="3" applyNumberFormat="0" applyAlignment="0" applyProtection="0"/>
    <xf numFmtId="0" fontId="6" fillId="4" borderId="3" applyNumberFormat="0" applyAlignment="0" applyProtection="0"/>
    <xf numFmtId="0" fontId="8" fillId="0" borderId="0"/>
    <xf numFmtId="0" fontId="9" fillId="0" borderId="0" applyNumberFormat="0" applyFill="0" applyBorder="0" applyAlignment="0" applyProtection="0">
      <alignment vertical="top"/>
      <protection locked="0"/>
    </xf>
    <xf numFmtId="9" fontId="8" fillId="0" borderId="0" applyFont="0" applyFill="0" applyBorder="0" applyAlignment="0" applyProtection="0"/>
    <xf numFmtId="4" fontId="21" fillId="0" borderId="0" applyNumberFormat="0" applyFill="0" applyBorder="0" applyAlignment="0" applyProtection="0">
      <alignment horizontal="center"/>
    </xf>
    <xf numFmtId="169" fontId="4" fillId="5" borderId="0" applyNumberFormat="0" applyBorder="0" applyAlignment="0" applyProtection="0"/>
    <xf numFmtId="0" fontId="24" fillId="0" borderId="1" applyNumberFormat="0" applyFill="0" applyAlignment="0" applyProtection="0"/>
    <xf numFmtId="0" fontId="31" fillId="0" borderId="0" applyNumberFormat="0" applyFill="0" applyBorder="0" applyAlignment="0" applyProtection="0"/>
  </cellStyleXfs>
  <cellXfs count="213">
    <xf numFmtId="0" fontId="0" fillId="0" borderId="0" xfId="0"/>
    <xf numFmtId="0" fontId="8" fillId="0" borderId="0" xfId="8"/>
    <xf numFmtId="0" fontId="9" fillId="0" borderId="0" xfId="9" applyAlignment="1" applyProtection="1"/>
    <xf numFmtId="3" fontId="8" fillId="0" borderId="0" xfId="8" applyNumberFormat="1" applyAlignment="1">
      <alignment horizontal="right"/>
    </xf>
    <xf numFmtId="2" fontId="8" fillId="0" borderId="0" xfId="10" applyNumberFormat="1" applyFont="1" applyFill="1" applyAlignment="1">
      <alignment horizontal="right"/>
    </xf>
    <xf numFmtId="164" fontId="8" fillId="0" borderId="0" xfId="10" applyNumberFormat="1" applyFont="1" applyFill="1" applyAlignment="1">
      <alignment horizontal="right"/>
    </xf>
    <xf numFmtId="0" fontId="10" fillId="0" borderId="0" xfId="8" applyFont="1" applyAlignment="1">
      <alignment horizontal="center"/>
    </xf>
    <xf numFmtId="0" fontId="10" fillId="0" borderId="0" xfId="8" applyFont="1" applyAlignment="1" applyProtection="1">
      <alignment horizontal="left"/>
      <protection locked="0"/>
    </xf>
    <xf numFmtId="2" fontId="8" fillId="0" borderId="0" xfId="10" applyNumberFormat="1" applyFont="1" applyFill="1" applyBorder="1" applyAlignment="1">
      <alignment horizontal="right"/>
    </xf>
    <xf numFmtId="0" fontId="8" fillId="0" borderId="0" xfId="10" applyNumberFormat="1" applyFont="1" applyFill="1" applyAlignment="1">
      <alignment horizontal="right"/>
    </xf>
    <xf numFmtId="0" fontId="8" fillId="0" borderId="0" xfId="8" applyAlignment="1">
      <alignment horizontal="right"/>
    </xf>
    <xf numFmtId="2" fontId="0" fillId="0" borderId="0" xfId="0" applyNumberFormat="1"/>
    <xf numFmtId="0" fontId="8" fillId="0" borderId="0" xfId="8" applyAlignment="1">
      <alignment horizontal="center"/>
    </xf>
    <xf numFmtId="0" fontId="11" fillId="0" borderId="0" xfId="5" applyFont="1" applyFill="1" applyBorder="1"/>
    <xf numFmtId="0" fontId="8" fillId="0" borderId="0" xfId="8" applyAlignment="1" applyProtection="1">
      <alignment horizontal="left"/>
      <protection locked="0"/>
    </xf>
    <xf numFmtId="0" fontId="8" fillId="0" borderId="0" xfId="8" applyAlignment="1" applyProtection="1">
      <alignment horizontal="center"/>
      <protection locked="0"/>
    </xf>
    <xf numFmtId="0" fontId="8" fillId="0" borderId="0" xfId="10" applyNumberFormat="1" applyFont="1" applyFill="1" applyBorder="1" applyAlignment="1"/>
    <xf numFmtId="0" fontId="8" fillId="0" borderId="0" xfId="10" applyNumberFormat="1" applyFont="1" applyFill="1" applyBorder="1" applyAlignment="1">
      <alignment horizontal="right"/>
    </xf>
    <xf numFmtId="0" fontId="8" fillId="0" borderId="0" xfId="8" applyAlignment="1">
      <alignment horizontal="left"/>
    </xf>
    <xf numFmtId="0" fontId="10" fillId="0" borderId="0" xfId="8" applyFont="1"/>
    <xf numFmtId="165" fontId="8" fillId="0" borderId="0" xfId="8" applyNumberFormat="1"/>
    <xf numFmtId="0" fontId="8" fillId="0" borderId="4" xfId="8" applyBorder="1"/>
    <xf numFmtId="0" fontId="8" fillId="0" borderId="4" xfId="8" applyBorder="1" applyAlignment="1">
      <alignment horizontal="center"/>
    </xf>
    <xf numFmtId="0" fontId="8" fillId="0" borderId="0" xfId="8" applyAlignment="1">
      <alignment wrapText="1"/>
    </xf>
    <xf numFmtId="0" fontId="12" fillId="0" borderId="0" xfId="8" applyFont="1" applyAlignment="1">
      <alignment horizontal="center" wrapText="1"/>
    </xf>
    <xf numFmtId="164" fontId="12" fillId="0" borderId="0" xfId="1" applyNumberFormat="1" applyFont="1" applyFill="1" applyBorder="1" applyAlignment="1">
      <alignment horizontal="center" wrapText="1"/>
    </xf>
    <xf numFmtId="0" fontId="3" fillId="0" borderId="0" xfId="4" applyAlignment="1">
      <alignment wrapText="1"/>
    </xf>
    <xf numFmtId="0" fontId="3" fillId="0" borderId="0" xfId="4" applyAlignment="1">
      <alignment horizontal="center" wrapText="1"/>
    </xf>
    <xf numFmtId="0" fontId="3" fillId="0" borderId="8" xfId="4" applyBorder="1" applyAlignment="1">
      <alignment horizontal="center" wrapText="1"/>
    </xf>
    <xf numFmtId="164" fontId="8" fillId="0" borderId="0" xfId="1" applyNumberFormat="1" applyFont="1"/>
    <xf numFmtId="0" fontId="0" fillId="0" borderId="0" xfId="0" applyAlignment="1">
      <alignment horizontal="center"/>
    </xf>
    <xf numFmtId="0" fontId="3" fillId="0" borderId="0" xfId="4"/>
    <xf numFmtId="0" fontId="13" fillId="0" borderId="0" xfId="8" applyFont="1" applyAlignment="1">
      <alignment wrapText="1"/>
    </xf>
    <xf numFmtId="0" fontId="12" fillId="0" borderId="0" xfId="8" applyFont="1" applyAlignment="1">
      <alignment horizontal="left"/>
    </xf>
    <xf numFmtId="2" fontId="12" fillId="0" borderId="0" xfId="8" applyNumberFormat="1" applyFont="1" applyAlignment="1">
      <alignment horizontal="left"/>
    </xf>
    <xf numFmtId="3" fontId="8" fillId="0" borderId="0" xfId="8" applyNumberFormat="1" applyAlignment="1">
      <alignment horizontal="left"/>
    </xf>
    <xf numFmtId="0" fontId="7" fillId="0" borderId="0" xfId="0" applyFont="1" applyAlignment="1">
      <alignment horizontal="right" vertical="center"/>
    </xf>
    <xf numFmtId="0" fontId="7" fillId="0" borderId="0" xfId="0" applyFont="1" applyAlignment="1">
      <alignment horizontal="center" vertical="center"/>
    </xf>
    <xf numFmtId="2" fontId="14" fillId="0" borderId="0" xfId="8" applyNumberFormat="1" applyFont="1" applyAlignment="1">
      <alignment horizontal="center"/>
    </xf>
    <xf numFmtId="2" fontId="8" fillId="0" borderId="0" xfId="8" applyNumberFormat="1" applyAlignment="1">
      <alignment horizontal="center"/>
    </xf>
    <xf numFmtId="166" fontId="8" fillId="0" borderId="0" xfId="8" applyNumberFormat="1" applyAlignment="1" applyProtection="1">
      <alignment horizontal="right"/>
      <protection locked="0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2" fontId="15" fillId="0" borderId="0" xfId="8" applyNumberFormat="1" applyFont="1" applyAlignment="1">
      <alignment horizontal="center"/>
    </xf>
    <xf numFmtId="0" fontId="12" fillId="0" borderId="0" xfId="8" applyFont="1"/>
    <xf numFmtId="0" fontId="12" fillId="0" borderId="8" xfId="8" applyFont="1" applyBorder="1" applyAlignment="1">
      <alignment horizontal="center"/>
    </xf>
    <xf numFmtId="0" fontId="12" fillId="0" borderId="8" xfId="8" applyFont="1" applyBorder="1"/>
    <xf numFmtId="0" fontId="7" fillId="0" borderId="0" xfId="0" applyFont="1" applyAlignment="1">
      <alignment horizontal="left" vertical="center"/>
    </xf>
    <xf numFmtId="2" fontId="8" fillId="0" borderId="0" xfId="8" applyNumberFormat="1" applyAlignment="1">
      <alignment horizontal="left"/>
    </xf>
    <xf numFmtId="2" fontId="8" fillId="0" borderId="8" xfId="8" applyNumberFormat="1" applyBorder="1" applyAlignment="1">
      <alignment horizontal="center"/>
    </xf>
    <xf numFmtId="2" fontId="12" fillId="0" borderId="8" xfId="8" applyNumberFormat="1" applyFont="1" applyBorder="1" applyAlignment="1">
      <alignment horizontal="center"/>
    </xf>
    <xf numFmtId="0" fontId="8" fillId="0" borderId="8" xfId="8" applyBorder="1"/>
    <xf numFmtId="2" fontId="8" fillId="0" borderId="0" xfId="8" applyNumberFormat="1"/>
    <xf numFmtId="0" fontId="0" fillId="0" borderId="0" xfId="0" applyAlignment="1">
      <alignment horizontal="left"/>
    </xf>
    <xf numFmtId="4" fontId="8" fillId="0" borderId="9" xfId="8" applyNumberFormat="1" applyBorder="1"/>
    <xf numFmtId="164" fontId="8" fillId="0" borderId="0" xfId="8" applyNumberFormat="1"/>
    <xf numFmtId="164" fontId="8" fillId="0" borderId="4" xfId="8" applyNumberFormat="1" applyBorder="1"/>
    <xf numFmtId="164" fontId="8" fillId="0" borderId="5" xfId="1" applyNumberFormat="1" applyFont="1" applyBorder="1"/>
    <xf numFmtId="164" fontId="8" fillId="0" borderId="4" xfId="1" applyNumberFormat="1" applyFont="1" applyBorder="1"/>
    <xf numFmtId="164" fontId="4" fillId="2" borderId="4" xfId="5" applyNumberFormat="1" applyBorder="1"/>
    <xf numFmtId="164" fontId="1" fillId="0" borderId="10" xfId="1" applyNumberFormat="1" applyFont="1" applyBorder="1"/>
    <xf numFmtId="0" fontId="5" fillId="3" borderId="3" xfId="6" applyAlignment="1" applyProtection="1">
      <alignment horizontal="center"/>
      <protection locked="0"/>
    </xf>
    <xf numFmtId="164" fontId="8" fillId="0" borderId="0" xfId="1" applyNumberFormat="1" applyFont="1" applyAlignment="1">
      <alignment horizontal="center"/>
    </xf>
    <xf numFmtId="4" fontId="8" fillId="0" borderId="11" xfId="8" applyNumberFormat="1" applyBorder="1"/>
    <xf numFmtId="164" fontId="8" fillId="0" borderId="0" xfId="1" applyNumberFormat="1" applyFont="1" applyBorder="1"/>
    <xf numFmtId="164" fontId="8" fillId="0" borderId="6" xfId="8" applyNumberFormat="1" applyBorder="1"/>
    <xf numFmtId="9" fontId="8" fillId="0" borderId="0" xfId="8" applyNumberFormat="1"/>
    <xf numFmtId="164" fontId="4" fillId="2" borderId="0" xfId="5" applyNumberFormat="1"/>
    <xf numFmtId="164" fontId="1" fillId="0" borderId="12" xfId="1" applyNumberFormat="1" applyFont="1" applyBorder="1"/>
    <xf numFmtId="0" fontId="8" fillId="0" borderId="11" xfId="8" applyBorder="1"/>
    <xf numFmtId="0" fontId="16" fillId="0" borderId="13" xfId="0" applyFont="1" applyBorder="1"/>
    <xf numFmtId="9" fontId="8" fillId="0" borderId="0" xfId="1" applyFont="1"/>
    <xf numFmtId="167" fontId="8" fillId="0" borderId="0" xfId="8" applyNumberFormat="1"/>
    <xf numFmtId="9" fontId="8" fillId="0" borderId="0" xfId="1" applyFont="1" applyAlignment="1">
      <alignment horizontal="right"/>
    </xf>
    <xf numFmtId="9" fontId="4" fillId="2" borderId="0" xfId="5" applyNumberFormat="1"/>
    <xf numFmtId="0" fontId="0" fillId="0" borderId="7" xfId="0" applyBorder="1"/>
    <xf numFmtId="0" fontId="8" fillId="0" borderId="14" xfId="8" applyBorder="1"/>
    <xf numFmtId="0" fontId="8" fillId="0" borderId="15" xfId="8" applyBorder="1"/>
    <xf numFmtId="0" fontId="0" fillId="0" borderId="16" xfId="0" applyBorder="1"/>
    <xf numFmtId="0" fontId="5" fillId="3" borderId="3" xfId="6"/>
    <xf numFmtId="0" fontId="8" fillId="0" borderId="17" xfId="8" applyBorder="1"/>
    <xf numFmtId="0" fontId="6" fillId="4" borderId="18" xfId="7" applyBorder="1"/>
    <xf numFmtId="0" fontId="6" fillId="4" borderId="19" xfId="7" applyBorder="1"/>
    <xf numFmtId="0" fontId="6" fillId="4" borderId="3" xfId="7" applyAlignment="1">
      <alignment horizontal="center"/>
    </xf>
    <xf numFmtId="1" fontId="0" fillId="0" borderId="20" xfId="0" applyNumberFormat="1" applyBorder="1"/>
    <xf numFmtId="1" fontId="0" fillId="0" borderId="4" xfId="0" applyNumberFormat="1" applyBorder="1"/>
    <xf numFmtId="0" fontId="0" fillId="0" borderId="4" xfId="0" applyBorder="1"/>
    <xf numFmtId="167" fontId="0" fillId="0" borderId="4" xfId="0" applyNumberFormat="1" applyBorder="1"/>
    <xf numFmtId="0" fontId="8" fillId="0" borderId="10" xfId="8" applyBorder="1"/>
    <xf numFmtId="49" fontId="17" fillId="0" borderId="20" xfId="0" applyNumberFormat="1" applyFont="1" applyBorder="1" applyAlignment="1">
      <alignment horizontal="center" vertical="center"/>
    </xf>
    <xf numFmtId="49" fontId="17" fillId="0" borderId="20" xfId="0" applyNumberFormat="1" applyFont="1" applyBorder="1" applyAlignment="1">
      <alignment vertical="center"/>
    </xf>
    <xf numFmtId="0" fontId="17" fillId="0" borderId="9" xfId="0" applyFont="1" applyBorder="1" applyAlignment="1">
      <alignment vertical="center"/>
    </xf>
    <xf numFmtId="1" fontId="0" fillId="0" borderId="21" xfId="0" applyNumberFormat="1" applyBorder="1"/>
    <xf numFmtId="1" fontId="0" fillId="0" borderId="0" xfId="0" applyNumberFormat="1"/>
    <xf numFmtId="167" fontId="0" fillId="0" borderId="0" xfId="0" applyNumberFormat="1"/>
    <xf numFmtId="0" fontId="8" fillId="0" borderId="12" xfId="8" applyBorder="1"/>
    <xf numFmtId="0" fontId="18" fillId="0" borderId="20" xfId="0" applyFont="1" applyBorder="1" applyAlignment="1">
      <alignment horizontal="center" vertical="center"/>
    </xf>
    <xf numFmtId="0" fontId="18" fillId="0" borderId="20" xfId="0" applyFont="1" applyBorder="1" applyAlignment="1">
      <alignment vertical="center"/>
    </xf>
    <xf numFmtId="1" fontId="4" fillId="2" borderId="0" xfId="5" applyNumberFormat="1"/>
    <xf numFmtId="0" fontId="12" fillId="0" borderId="12" xfId="8" applyFont="1" applyBorder="1"/>
    <xf numFmtId="0" fontId="18" fillId="0" borderId="22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9" fillId="0" borderId="22" xfId="0" applyFont="1" applyBorder="1" applyAlignment="1">
      <alignment vertical="top"/>
    </xf>
    <xf numFmtId="0" fontId="20" fillId="0" borderId="25" xfId="0" applyFont="1" applyBorder="1" applyAlignment="1">
      <alignment vertical="top"/>
    </xf>
    <xf numFmtId="0" fontId="7" fillId="0" borderId="0" xfId="0" applyFont="1" applyAlignment="1">
      <alignment wrapText="1"/>
    </xf>
    <xf numFmtId="0" fontId="7" fillId="0" borderId="0" xfId="0" applyFont="1"/>
    <xf numFmtId="2" fontId="0" fillId="0" borderId="21" xfId="0" applyNumberFormat="1" applyBorder="1"/>
    <xf numFmtId="0" fontId="8" fillId="0" borderId="0" xfId="8" quotePrefix="1"/>
    <xf numFmtId="0" fontId="0" fillId="0" borderId="12" xfId="0" applyBorder="1"/>
    <xf numFmtId="0" fontId="8" fillId="0" borderId="21" xfId="8" applyBorder="1"/>
    <xf numFmtId="168" fontId="8" fillId="0" borderId="0" xfId="8" applyNumberFormat="1"/>
    <xf numFmtId="4" fontId="21" fillId="0" borderId="0" xfId="11">
      <alignment horizontal="center"/>
    </xf>
    <xf numFmtId="0" fontId="8" fillId="0" borderId="14" xfId="8" applyBorder="1" applyAlignment="1">
      <alignment horizontal="center"/>
    </xf>
    <xf numFmtId="0" fontId="12" fillId="0" borderId="16" xfId="8" applyFont="1" applyBorder="1"/>
    <xf numFmtId="1" fontId="8" fillId="0" borderId="20" xfId="8" applyNumberFormat="1" applyBorder="1" applyAlignment="1" applyProtection="1">
      <alignment horizontal="right"/>
      <protection locked="0"/>
    </xf>
    <xf numFmtId="1" fontId="8" fillId="0" borderId="4" xfId="8" applyNumberFormat="1" applyBorder="1" applyAlignment="1" applyProtection="1">
      <alignment horizontal="right"/>
      <protection locked="0"/>
    </xf>
    <xf numFmtId="0" fontId="8" fillId="0" borderId="10" xfId="8" applyBorder="1" applyAlignment="1">
      <alignment horizontal="left"/>
    </xf>
    <xf numFmtId="1" fontId="8" fillId="0" borderId="21" xfId="8" applyNumberFormat="1" applyBorder="1" applyAlignment="1" applyProtection="1">
      <alignment horizontal="right"/>
      <protection locked="0"/>
    </xf>
    <xf numFmtId="1" fontId="8" fillId="0" borderId="0" xfId="8" applyNumberFormat="1" applyAlignment="1" applyProtection="1">
      <alignment horizontal="right"/>
      <protection locked="0"/>
    </xf>
    <xf numFmtId="0" fontId="8" fillId="0" borderId="12" xfId="8" applyBorder="1" applyAlignment="1" applyProtection="1">
      <alignment horizontal="left"/>
      <protection locked="0"/>
    </xf>
    <xf numFmtId="1" fontId="5" fillId="3" borderId="3" xfId="6" applyNumberFormat="1"/>
    <xf numFmtId="1" fontId="4" fillId="5" borderId="0" xfId="12" applyNumberFormat="1" applyBorder="1"/>
    <xf numFmtId="0" fontId="6" fillId="4" borderId="3" xfId="7"/>
    <xf numFmtId="164" fontId="21" fillId="0" borderId="0" xfId="1" applyNumberFormat="1" applyFont="1" applyAlignment="1">
      <alignment horizontal="center"/>
    </xf>
    <xf numFmtId="1" fontId="8" fillId="0" borderId="21" xfId="8" applyNumberFormat="1" applyBorder="1"/>
    <xf numFmtId="1" fontId="8" fillId="0" borderId="0" xfId="8" applyNumberFormat="1"/>
    <xf numFmtId="0" fontId="8" fillId="0" borderId="21" xfId="8" applyBorder="1" applyAlignment="1" applyProtection="1">
      <alignment horizontal="center"/>
      <protection locked="0"/>
    </xf>
    <xf numFmtId="2" fontId="15" fillId="0" borderId="12" xfId="8" applyNumberFormat="1" applyFont="1" applyBorder="1" applyAlignment="1">
      <alignment horizontal="center"/>
    </xf>
    <xf numFmtId="0" fontId="12" fillId="0" borderId="14" xfId="8" applyFont="1" applyBorder="1" applyAlignment="1">
      <alignment horizontal="center"/>
    </xf>
    <xf numFmtId="0" fontId="22" fillId="0" borderId="16" xfId="8" applyFont="1" applyBorder="1"/>
    <xf numFmtId="4" fontId="21" fillId="0" borderId="26" xfId="11" applyBorder="1">
      <alignment horizontal="center"/>
    </xf>
    <xf numFmtId="0" fontId="6" fillId="4" borderId="27" xfId="7" applyBorder="1"/>
    <xf numFmtId="4" fontId="6" fillId="4" borderId="28" xfId="7" applyNumberFormat="1" applyBorder="1" applyAlignment="1">
      <alignment horizontal="center"/>
    </xf>
    <xf numFmtId="0" fontId="6" fillId="4" borderId="29" xfId="7" applyBorder="1" applyAlignment="1" applyProtection="1">
      <alignment horizontal="left"/>
      <protection locked="0"/>
    </xf>
    <xf numFmtId="170" fontId="21" fillId="0" borderId="0" xfId="11" applyNumberFormat="1">
      <alignment horizontal="center"/>
    </xf>
    <xf numFmtId="0" fontId="8" fillId="6" borderId="0" xfId="8" applyFill="1" applyAlignment="1">
      <alignment horizontal="center" wrapText="1"/>
    </xf>
    <xf numFmtId="0" fontId="8" fillId="6" borderId="0" xfId="8" applyFill="1" applyAlignment="1">
      <alignment wrapText="1"/>
    </xf>
    <xf numFmtId="0" fontId="8" fillId="0" borderId="0" xfId="8" applyAlignment="1">
      <alignment horizontal="center" wrapText="1"/>
    </xf>
    <xf numFmtId="0" fontId="12" fillId="0" borderId="0" xfId="8" applyFont="1" applyAlignment="1">
      <alignment horizontal="left" wrapText="1"/>
    </xf>
    <xf numFmtId="0" fontId="23" fillId="0" borderId="0" xfId="8" applyFont="1" applyAlignment="1">
      <alignment horizontal="center"/>
    </xf>
    <xf numFmtId="0" fontId="23" fillId="0" borderId="0" xfId="8" applyFont="1"/>
    <xf numFmtId="169" fontId="24" fillId="0" borderId="1" xfId="13" applyNumberFormat="1"/>
    <xf numFmtId="0" fontId="0" fillId="0" borderId="30" xfId="0" applyBorder="1"/>
    <xf numFmtId="0" fontId="0" fillId="0" borderId="31" xfId="0" applyBorder="1"/>
    <xf numFmtId="2" fontId="0" fillId="0" borderId="32" xfId="0" applyNumberFormat="1" applyBorder="1"/>
    <xf numFmtId="17" fontId="0" fillId="0" borderId="0" xfId="0" applyNumberFormat="1"/>
    <xf numFmtId="171" fontId="0" fillId="0" borderId="0" xfId="0" applyNumberFormat="1"/>
    <xf numFmtId="172" fontId="0" fillId="0" borderId="0" xfId="0" applyNumberFormat="1"/>
    <xf numFmtId="167" fontId="0" fillId="0" borderId="8" xfId="0" applyNumberFormat="1" applyBorder="1"/>
    <xf numFmtId="167" fontId="0" fillId="0" borderId="31" xfId="0" applyNumberFormat="1" applyBorder="1"/>
    <xf numFmtId="0" fontId="0" fillId="0" borderId="8" xfId="0" applyBorder="1"/>
    <xf numFmtId="17" fontId="0" fillId="0" borderId="32" xfId="0" applyNumberFormat="1" applyBorder="1"/>
    <xf numFmtId="0" fontId="0" fillId="0" borderId="33" xfId="0" applyBorder="1"/>
    <xf numFmtId="167" fontId="0" fillId="0" borderId="6" xfId="0" applyNumberFormat="1" applyBorder="1"/>
    <xf numFmtId="0" fontId="0" fillId="0" borderId="6" xfId="0" applyBorder="1"/>
    <xf numFmtId="2" fontId="0" fillId="0" borderId="34" xfId="0" applyNumberFormat="1" applyBorder="1"/>
    <xf numFmtId="17" fontId="0" fillId="0" borderId="34" xfId="0" applyNumberFormat="1" applyBorder="1"/>
    <xf numFmtId="4" fontId="0" fillId="0" borderId="6" xfId="0" applyNumberFormat="1" applyBorder="1"/>
    <xf numFmtId="0" fontId="0" fillId="0" borderId="35" xfId="0" applyBorder="1"/>
    <xf numFmtId="0" fontId="29" fillId="0" borderId="33" xfId="0" applyFont="1" applyBorder="1"/>
    <xf numFmtId="0" fontId="30" fillId="0" borderId="6" xfId="0" applyFont="1" applyBorder="1"/>
    <xf numFmtId="0" fontId="0" fillId="7" borderId="36" xfId="0" applyFill="1" applyBorder="1"/>
    <xf numFmtId="0" fontId="0" fillId="7" borderId="13" xfId="0" applyFill="1" applyBorder="1"/>
    <xf numFmtId="0" fontId="7" fillId="0" borderId="8" xfId="0" applyFont="1" applyBorder="1" applyAlignment="1">
      <alignment wrapText="1"/>
    </xf>
    <xf numFmtId="0" fontId="7" fillId="0" borderId="31" xfId="0" applyFont="1" applyBorder="1" applyAlignment="1">
      <alignment wrapText="1"/>
    </xf>
    <xf numFmtId="0" fontId="7" fillId="0" borderId="30" xfId="0" applyFont="1" applyBorder="1" applyAlignment="1">
      <alignment wrapText="1"/>
    </xf>
    <xf numFmtId="0" fontId="7" fillId="0" borderId="6" xfId="0" applyFont="1" applyBorder="1"/>
    <xf numFmtId="0" fontId="7" fillId="0" borderId="33" xfId="0" applyFont="1" applyBorder="1"/>
    <xf numFmtId="0" fontId="0" fillId="0" borderId="0" xfId="0" quotePrefix="1"/>
    <xf numFmtId="0" fontId="31" fillId="0" borderId="0" xfId="14" applyBorder="1" applyAlignment="1" applyProtection="1"/>
    <xf numFmtId="0" fontId="0" fillId="0" borderId="36" xfId="0" applyBorder="1"/>
    <xf numFmtId="0" fontId="7" fillId="0" borderId="7" xfId="0" applyFont="1" applyBorder="1"/>
    <xf numFmtId="0" fontId="7" fillId="0" borderId="13" xfId="0" applyFont="1" applyBorder="1"/>
    <xf numFmtId="0" fontId="7" fillId="0" borderId="36" xfId="0" applyFont="1" applyBorder="1"/>
    <xf numFmtId="0" fontId="0" fillId="0" borderId="37" xfId="0" applyBorder="1"/>
    <xf numFmtId="0" fontId="0" fillId="0" borderId="13" xfId="0" applyBorder="1"/>
    <xf numFmtId="0" fontId="2" fillId="0" borderId="0" xfId="2" applyBorder="1"/>
    <xf numFmtId="165" fontId="0" fillId="0" borderId="0" xfId="0" applyNumberFormat="1"/>
    <xf numFmtId="164" fontId="0" fillId="0" borderId="0" xfId="1" applyNumberFormat="1" applyFont="1"/>
    <xf numFmtId="0" fontId="31" fillId="0" borderId="0" xfId="14"/>
    <xf numFmtId="168" fontId="0" fillId="0" borderId="0" xfId="0" applyNumberFormat="1"/>
    <xf numFmtId="0" fontId="3" fillId="0" borderId="2" xfId="3"/>
    <xf numFmtId="0" fontId="2" fillId="0" borderId="1" xfId="2"/>
    <xf numFmtId="17" fontId="5" fillId="3" borderId="3" xfId="6" applyNumberFormat="1"/>
    <xf numFmtId="0" fontId="4" fillId="2" borderId="0" xfId="5"/>
    <xf numFmtId="0" fontId="32" fillId="0" borderId="38" xfId="0" applyFont="1" applyBorder="1" applyAlignment="1">
      <alignment wrapText="1"/>
    </xf>
    <xf numFmtId="10" fontId="32" fillId="0" borderId="0" xfId="0" applyNumberFormat="1" applyFont="1" applyAlignment="1">
      <alignment wrapText="1"/>
    </xf>
    <xf numFmtId="0" fontId="32" fillId="0" borderId="0" xfId="0" applyFont="1" applyAlignment="1">
      <alignment wrapText="1"/>
    </xf>
    <xf numFmtId="0" fontId="5" fillId="3" borderId="3" xfId="6" applyAlignment="1">
      <alignment wrapText="1"/>
    </xf>
    <xf numFmtId="2" fontId="32" fillId="0" borderId="38" xfId="0" applyNumberFormat="1" applyFont="1" applyBorder="1" applyAlignment="1">
      <alignment wrapText="1"/>
    </xf>
    <xf numFmtId="2" fontId="5" fillId="3" borderId="3" xfId="6" applyNumberFormat="1" applyAlignment="1">
      <alignment wrapText="1"/>
    </xf>
    <xf numFmtId="2" fontId="32" fillId="0" borderId="0" xfId="0" applyNumberFormat="1" applyFont="1" applyAlignment="1">
      <alignment wrapText="1"/>
    </xf>
    <xf numFmtId="10" fontId="1" fillId="0" borderId="0" xfId="1" applyNumberFormat="1" applyFont="1"/>
    <xf numFmtId="164" fontId="1" fillId="0" borderId="0" xfId="1" applyNumberFormat="1" applyFont="1"/>
    <xf numFmtId="0" fontId="12" fillId="0" borderId="0" xfId="0" applyFont="1" applyAlignment="1">
      <alignment horizontal="right"/>
    </xf>
    <xf numFmtId="0" fontId="12" fillId="0" borderId="0" xfId="0" applyFont="1"/>
    <xf numFmtId="165" fontId="4" fillId="2" borderId="0" xfId="5" applyNumberFormat="1"/>
    <xf numFmtId="10" fontId="0" fillId="0" borderId="0" xfId="0" applyNumberFormat="1"/>
    <xf numFmtId="173" fontId="1" fillId="0" borderId="0" xfId="1" applyNumberFormat="1" applyFont="1"/>
    <xf numFmtId="0" fontId="0" fillId="0" borderId="26" xfId="0" applyBorder="1"/>
    <xf numFmtId="0" fontId="0" fillId="0" borderId="14" xfId="0" applyBorder="1"/>
    <xf numFmtId="9" fontId="1" fillId="0" borderId="0" xfId="1" applyFont="1"/>
    <xf numFmtId="164" fontId="0" fillId="0" borderId="0" xfId="0" applyNumberFormat="1"/>
    <xf numFmtId="0" fontId="0" fillId="0" borderId="20" xfId="0" applyBorder="1"/>
    <xf numFmtId="0" fontId="0" fillId="0" borderId="10" xfId="0" applyBorder="1"/>
    <xf numFmtId="167" fontId="0" fillId="0" borderId="10" xfId="0" applyNumberFormat="1" applyBorder="1"/>
    <xf numFmtId="0" fontId="0" fillId="0" borderId="21" xfId="0" applyBorder="1"/>
    <xf numFmtId="1" fontId="0" fillId="0" borderId="12" xfId="0" applyNumberFormat="1" applyBorder="1"/>
    <xf numFmtId="167" fontId="0" fillId="0" borderId="12" xfId="0" applyNumberFormat="1" applyBorder="1"/>
    <xf numFmtId="0" fontId="23" fillId="0" borderId="0" xfId="8" applyFont="1" applyAlignment="1">
      <alignment horizontal="center"/>
    </xf>
    <xf numFmtId="0" fontId="12" fillId="0" borderId="0" xfId="8" applyFont="1" applyAlignment="1">
      <alignment horizontal="center" wrapText="1"/>
    </xf>
    <xf numFmtId="0" fontId="0" fillId="0" borderId="0" xfId="0" applyAlignment="1">
      <alignment horizontal="center"/>
    </xf>
  </cellXfs>
  <cellStyles count="15">
    <cellStyle name="Bad" xfId="5" builtinId="27"/>
    <cellStyle name="Bad 2" xfId="12" xr:uid="{D80EA27C-ACCC-4B12-B701-ADB4AAC322B9}"/>
    <cellStyle name="Calculation" xfId="7" builtinId="22"/>
    <cellStyle name="External" xfId="11" xr:uid="{CBC1DD72-9892-4D95-9BAB-038D83D9C1B3}"/>
    <cellStyle name="Heading 2" xfId="2" builtinId="17"/>
    <cellStyle name="Heading 2 2 2" xfId="13" xr:uid="{46E8F48E-998C-4615-AE50-8D8581B2C27A}"/>
    <cellStyle name="Heading 3" xfId="3" builtinId="18"/>
    <cellStyle name="Heading 4" xfId="4" builtinId="19"/>
    <cellStyle name="Hyperlink" xfId="9" builtinId="8"/>
    <cellStyle name="Hyperlink 3" xfId="14" xr:uid="{98B6E3E6-653C-44EE-9ABB-EB0BBC7A6750}"/>
    <cellStyle name="Input" xfId="6" builtinId="20"/>
    <cellStyle name="Normal" xfId="0" builtinId="0"/>
    <cellStyle name="Normal 2" xfId="8" xr:uid="{23E30146-5094-4928-A91B-CB194303508F}"/>
    <cellStyle name="Percent" xfId="1" builtinId="5"/>
    <cellStyle name="Percent 2" xfId="10" xr:uid="{175440E9-3910-4E59-A06D-264A3D5506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'Liq Fuel Prices'!$H$25</c:f>
              <c:strCache>
                <c:ptCount val="1"/>
                <c:pt idx="0">
                  <c:v>Illum Paraffin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Prices'!$H$27:$H$110</c:f>
              <c:numCache>
                <c:formatCode>General</c:formatCode>
                <c:ptCount val="84"/>
                <c:pt idx="0">
                  <c:v>307.12799999999999</c:v>
                </c:pt>
                <c:pt idx="1">
                  <c:v>311.12799999999999</c:v>
                </c:pt>
                <c:pt idx="2">
                  <c:v>315.12799999999999</c:v>
                </c:pt>
                <c:pt idx="3">
                  <c:v>330.12799999999999</c:v>
                </c:pt>
                <c:pt idx="4">
                  <c:v>350.12799999999999</c:v>
                </c:pt>
                <c:pt idx="5">
                  <c:v>370.12799999999999</c:v>
                </c:pt>
                <c:pt idx="6">
                  <c:v>406.12799999999999</c:v>
                </c:pt>
                <c:pt idx="7">
                  <c:v>427.12799999999999</c:v>
                </c:pt>
                <c:pt idx="8">
                  <c:v>422.12799999999999</c:v>
                </c:pt>
                <c:pt idx="9">
                  <c:v>400.12799999999999</c:v>
                </c:pt>
                <c:pt idx="10">
                  <c:v>387.12799999999999</c:v>
                </c:pt>
                <c:pt idx="11">
                  <c:v>362.12799999999999</c:v>
                </c:pt>
                <c:pt idx="12">
                  <c:v>365.12799999999999</c:v>
                </c:pt>
                <c:pt idx="13">
                  <c:v>339.12799999999999</c:v>
                </c:pt>
                <c:pt idx="14">
                  <c:v>349.12799999999999</c:v>
                </c:pt>
                <c:pt idx="15">
                  <c:v>379.12799999999999</c:v>
                </c:pt>
                <c:pt idx="16">
                  <c:v>397.12799999999999</c:v>
                </c:pt>
                <c:pt idx="17">
                  <c:v>399.12799999999999</c:v>
                </c:pt>
                <c:pt idx="18">
                  <c:v>416.12799999999999</c:v>
                </c:pt>
                <c:pt idx="19">
                  <c:v>423.12799999999999</c:v>
                </c:pt>
                <c:pt idx="20">
                  <c:v>423.12799999999999</c:v>
                </c:pt>
                <c:pt idx="21">
                  <c:v>441.12799999999999</c:v>
                </c:pt>
                <c:pt idx="22">
                  <c:v>451.12799999999999</c:v>
                </c:pt>
                <c:pt idx="23">
                  <c:v>509.12799999999999</c:v>
                </c:pt>
                <c:pt idx="24">
                  <c:v>500.12799999999999</c:v>
                </c:pt>
                <c:pt idx="25">
                  <c:v>502.12799999999999</c:v>
                </c:pt>
                <c:pt idx="26">
                  <c:v>578.12800000000004</c:v>
                </c:pt>
                <c:pt idx="27">
                  <c:v>696.12800000000004</c:v>
                </c:pt>
                <c:pt idx="28">
                  <c:v>749.12800000000004</c:v>
                </c:pt>
                <c:pt idx="29">
                  <c:v>820.12800000000004</c:v>
                </c:pt>
                <c:pt idx="30">
                  <c:v>869.12800000000004</c:v>
                </c:pt>
                <c:pt idx="31">
                  <c:v>867.12800000000004</c:v>
                </c:pt>
                <c:pt idx="32">
                  <c:v>721.12800000000004</c:v>
                </c:pt>
                <c:pt idx="33">
                  <c:v>656.12800000000004</c:v>
                </c:pt>
                <c:pt idx="34">
                  <c:v>617.12800000000004</c:v>
                </c:pt>
                <c:pt idx="35">
                  <c:v>542.12800000000004</c:v>
                </c:pt>
                <c:pt idx="36">
                  <c:v>405.12799999999999</c:v>
                </c:pt>
                <c:pt idx="37">
                  <c:v>391.12799999999999</c:v>
                </c:pt>
                <c:pt idx="38">
                  <c:v>365.12799999999999</c:v>
                </c:pt>
                <c:pt idx="39">
                  <c:v>360.12799999999999</c:v>
                </c:pt>
                <c:pt idx="40">
                  <c:v>373.12799999999999</c:v>
                </c:pt>
                <c:pt idx="41">
                  <c:v>364.12799999999999</c:v>
                </c:pt>
                <c:pt idx="42">
                  <c:v>410.12799999999999</c:v>
                </c:pt>
                <c:pt idx="43">
                  <c:v>396.12799999999999</c:v>
                </c:pt>
                <c:pt idx="44">
                  <c:v>417.12799999999999</c:v>
                </c:pt>
                <c:pt idx="45">
                  <c:v>382.12799999999999</c:v>
                </c:pt>
                <c:pt idx="46">
                  <c:v>396.12799999999999</c:v>
                </c:pt>
                <c:pt idx="47">
                  <c:v>425.12799999999999</c:v>
                </c:pt>
                <c:pt idx="48">
                  <c:v>413.12799999999999</c:v>
                </c:pt>
                <c:pt idx="49">
                  <c:v>418.12799999999999</c:v>
                </c:pt>
                <c:pt idx="50">
                  <c:v>416.12799999999999</c:v>
                </c:pt>
                <c:pt idx="51">
                  <c:v>437.12799999999999</c:v>
                </c:pt>
                <c:pt idx="52">
                  <c:v>467.12880000000001</c:v>
                </c:pt>
                <c:pt idx="53">
                  <c:v>454.12799999999999</c:v>
                </c:pt>
                <c:pt idx="54">
                  <c:v>442.12799999999999</c:v>
                </c:pt>
                <c:pt idx="55">
                  <c:v>427.18200000000002</c:v>
                </c:pt>
                <c:pt idx="56">
                  <c:v>422.12799999999999</c:v>
                </c:pt>
                <c:pt idx="57">
                  <c:v>421.12799999999999</c:v>
                </c:pt>
                <c:pt idx="58">
                  <c:v>435.12799999999999</c:v>
                </c:pt>
                <c:pt idx="59">
                  <c:v>449.12799999999999</c:v>
                </c:pt>
                <c:pt idx="60">
                  <c:v>467.12799999999999</c:v>
                </c:pt>
                <c:pt idx="61">
                  <c:v>499.12799999999999</c:v>
                </c:pt>
                <c:pt idx="62">
                  <c:v>569.12800000000004</c:v>
                </c:pt>
                <c:pt idx="63">
                  <c:v>609.12800000000004</c:v>
                </c:pt>
                <c:pt idx="64">
                  <c:v>624.12800000000004</c:v>
                </c:pt>
                <c:pt idx="65">
                  <c:v>592.12800000000004</c:v>
                </c:pt>
                <c:pt idx="66">
                  <c:v>580.12800000000004</c:v>
                </c:pt>
                <c:pt idx="67">
                  <c:v>590.12800000000004</c:v>
                </c:pt>
                <c:pt idx="68">
                  <c:v>588.12800000000004</c:v>
                </c:pt>
                <c:pt idx="69">
                  <c:v>618.12800000000004</c:v>
                </c:pt>
                <c:pt idx="70">
                  <c:v>659.12800000000004</c:v>
                </c:pt>
                <c:pt idx="71">
                  <c:v>694.12800000000004</c:v>
                </c:pt>
                <c:pt idx="72">
                  <c:v>669.12800000000004</c:v>
                </c:pt>
                <c:pt idx="73">
                  <c:v>666.12800000000004</c:v>
                </c:pt>
                <c:pt idx="74">
                  <c:v>670.12800000000004</c:v>
                </c:pt>
                <c:pt idx="75">
                  <c:v>691.12800000000004</c:v>
                </c:pt>
                <c:pt idx="76">
                  <c:v>700.12800000000004</c:v>
                </c:pt>
                <c:pt idx="77">
                  <c:v>679.12800000000004</c:v>
                </c:pt>
                <c:pt idx="78">
                  <c:v>621.12800000000004</c:v>
                </c:pt>
                <c:pt idx="79">
                  <c:v>636.12800000000004</c:v>
                </c:pt>
                <c:pt idx="80">
                  <c:v>709.12800000000004</c:v>
                </c:pt>
                <c:pt idx="81">
                  <c:v>742.12800000000004</c:v>
                </c:pt>
                <c:pt idx="82">
                  <c:v>745.12800000000004</c:v>
                </c:pt>
                <c:pt idx="83">
                  <c:v>731.12800000000004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E-479D-AF88-1720FF4DA121}"/>
            </c:ext>
          </c:extLst>
        </c:ser>
        <c:ser>
          <c:idx val="7"/>
          <c:order val="1"/>
          <c:tx>
            <c:strRef>
              <c:f>'Liq Fuel Prices'!$L$25</c:f>
              <c:strCache>
                <c:ptCount val="1"/>
                <c:pt idx="0">
                  <c:v>Crude in Rands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Prices'!$L$27:$L$110</c:f>
              <c:numCache>
                <c:formatCode>0.00</c:formatCode>
                <c:ptCount val="84"/>
                <c:pt idx="0">
                  <c:v>347.24785200000002</c:v>
                </c:pt>
                <c:pt idx="1">
                  <c:v>340.75299200000001</c:v>
                </c:pt>
                <c:pt idx="2">
                  <c:v>374.86628399999995</c:v>
                </c:pt>
                <c:pt idx="3">
                  <c:v>411.03159999999997</c:v>
                </c:pt>
                <c:pt idx="4">
                  <c:v>419.02639999999997</c:v>
                </c:pt>
                <c:pt idx="5">
                  <c:v>444.49739999999997</c:v>
                </c:pt>
                <c:pt idx="6">
                  <c:v>504.45905999999997</c:v>
                </c:pt>
                <c:pt idx="7">
                  <c:v>525.30412000000001</c:v>
                </c:pt>
                <c:pt idx="8">
                  <c:v>453.91896000000008</c:v>
                </c:pt>
                <c:pt idx="9">
                  <c:v>439.46511700000002</c:v>
                </c:pt>
                <c:pt idx="10">
                  <c:v>485.33730300000002</c:v>
                </c:pt>
                <c:pt idx="11">
                  <c:v>426.220056</c:v>
                </c:pt>
                <c:pt idx="12">
                  <c:v>409.67341800000003</c:v>
                </c:pt>
                <c:pt idx="13">
                  <c:v>382.08684799999997</c:v>
                </c:pt>
                <c:pt idx="14">
                  <c:v>412.66766000000001</c:v>
                </c:pt>
                <c:pt idx="15">
                  <c:v>458.55261000000002</c:v>
                </c:pt>
                <c:pt idx="16">
                  <c:v>459.68383999999998</c:v>
                </c:pt>
                <c:pt idx="17">
                  <c:v>468.18676500000004</c:v>
                </c:pt>
                <c:pt idx="18">
                  <c:v>455.64668399999999</c:v>
                </c:pt>
                <c:pt idx="19">
                  <c:v>422.04153600000001</c:v>
                </c:pt>
                <c:pt idx="20">
                  <c:v>519.44372400000009</c:v>
                </c:pt>
                <c:pt idx="21">
                  <c:v>547.10025600000006</c:v>
                </c:pt>
                <c:pt idx="22">
                  <c:v>561.885806</c:v>
                </c:pt>
                <c:pt idx="23">
                  <c:v>624.75471300000004</c:v>
                </c:pt>
                <c:pt idx="24">
                  <c:v>618.42902100000003</c:v>
                </c:pt>
                <c:pt idx="25">
                  <c:v>643.62700799999993</c:v>
                </c:pt>
                <c:pt idx="26">
                  <c:v>726.13472999999999</c:v>
                </c:pt>
                <c:pt idx="27">
                  <c:v>818.01216000000011</c:v>
                </c:pt>
                <c:pt idx="28">
                  <c:v>850.11930200000006</c:v>
                </c:pt>
                <c:pt idx="29">
                  <c:v>934.40564999999992</c:v>
                </c:pt>
                <c:pt idx="30">
                  <c:v>1043.796208</c:v>
                </c:pt>
                <c:pt idx="31">
                  <c:v>1026.5422959999999</c:v>
                </c:pt>
                <c:pt idx="32">
                  <c:v>868.34849999999994</c:v>
                </c:pt>
                <c:pt idx="33">
                  <c:v>794.44325600000002</c:v>
                </c:pt>
                <c:pt idx="34">
                  <c:v>722.42223300000001</c:v>
                </c:pt>
                <c:pt idx="35">
                  <c:v>540.78195299999993</c:v>
                </c:pt>
                <c:pt idx="36">
                  <c:v>397.9625302</c:v>
                </c:pt>
                <c:pt idx="37">
                  <c:v>432.57099360000001</c:v>
                </c:pt>
                <c:pt idx="38">
                  <c:v>433.29281400000002</c:v>
                </c:pt>
                <c:pt idx="39">
                  <c:v>468.488632</c:v>
                </c:pt>
                <c:pt idx="40">
                  <c:v>460.1629494</c:v>
                </c:pt>
                <c:pt idx="41">
                  <c:v>477.34580669999991</c:v>
                </c:pt>
                <c:pt idx="42">
                  <c:v>554.18956200000002</c:v>
                </c:pt>
                <c:pt idx="43">
                  <c:v>518.08176000000003</c:v>
                </c:pt>
                <c:pt idx="44">
                  <c:v>580.64785799999993</c:v>
                </c:pt>
                <c:pt idx="45">
                  <c:v>513.98297600000001</c:v>
                </c:pt>
                <c:pt idx="46">
                  <c:v>546.81249600000001</c:v>
                </c:pt>
                <c:pt idx="47">
                  <c:v>580.03051999999991</c:v>
                </c:pt>
                <c:pt idx="48">
                  <c:v>559.15302600000007</c:v>
                </c:pt>
                <c:pt idx="49">
                  <c:v>574.26373999999998</c:v>
                </c:pt>
                <c:pt idx="50">
                  <c:v>562.69193400000006</c:v>
                </c:pt>
                <c:pt idx="51">
                  <c:v>589.72641699999997</c:v>
                </c:pt>
                <c:pt idx="52">
                  <c:v>632.39767500000005</c:v>
                </c:pt>
                <c:pt idx="53">
                  <c:v>584.26724999999999</c:v>
                </c:pt>
                <c:pt idx="54">
                  <c:v>572.31838800000003</c:v>
                </c:pt>
                <c:pt idx="55">
                  <c:v>596.05607600000008</c:v>
                </c:pt>
                <c:pt idx="56">
                  <c:v>566.32454200000006</c:v>
                </c:pt>
                <c:pt idx="57">
                  <c:v>555.97308300000009</c:v>
                </c:pt>
                <c:pt idx="58">
                  <c:v>573.93110200000001</c:v>
                </c:pt>
                <c:pt idx="59">
                  <c:v>594.06600500000002</c:v>
                </c:pt>
                <c:pt idx="60">
                  <c:v>626.40377000000001</c:v>
                </c:pt>
                <c:pt idx="61">
                  <c:v>662.02985100000001</c:v>
                </c:pt>
                <c:pt idx="62">
                  <c:v>740.483158</c:v>
                </c:pt>
                <c:pt idx="63">
                  <c:v>795.28679199999999</c:v>
                </c:pt>
                <c:pt idx="64">
                  <c:v>836.03964899999994</c:v>
                </c:pt>
                <c:pt idx="65">
                  <c:v>795.81334000000004</c:v>
                </c:pt>
                <c:pt idx="66">
                  <c:v>780.52290700000003</c:v>
                </c:pt>
                <c:pt idx="67">
                  <c:v>796.35019199999988</c:v>
                </c:pt>
                <c:pt idx="68">
                  <c:v>781.21953000000008</c:v>
                </c:pt>
                <c:pt idx="69">
                  <c:v>859.539177</c:v>
                </c:pt>
                <c:pt idx="70">
                  <c:v>874.37113600000009</c:v>
                </c:pt>
                <c:pt idx="71">
                  <c:v>899.52929799999993</c:v>
                </c:pt>
                <c:pt idx="72">
                  <c:v>886.58911199999989</c:v>
                </c:pt>
                <c:pt idx="73">
                  <c:v>892.64632199999994</c:v>
                </c:pt>
                <c:pt idx="74">
                  <c:v>970.54881</c:v>
                </c:pt>
                <c:pt idx="75">
                  <c:v>955.61260600000003</c:v>
                </c:pt>
                <c:pt idx="76">
                  <c:v>943.8456480000001</c:v>
                </c:pt>
                <c:pt idx="77">
                  <c:v>893.52883699999995</c:v>
                </c:pt>
                <c:pt idx="78">
                  <c:v>801.64765800000009</c:v>
                </c:pt>
                <c:pt idx="79">
                  <c:v>843.43202800000017</c:v>
                </c:pt>
                <c:pt idx="80">
                  <c:v>939.38605800000005</c:v>
                </c:pt>
                <c:pt idx="81">
                  <c:v>938.41519999999991</c:v>
                </c:pt>
                <c:pt idx="82">
                  <c:v>943.053495</c:v>
                </c:pt>
                <c:pt idx="83">
                  <c:v>962.2998080000001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3E-479D-AF88-1720FF4DA121}"/>
            </c:ext>
          </c:extLst>
        </c:ser>
        <c:ser>
          <c:idx val="5"/>
          <c:order val="2"/>
          <c:tx>
            <c:strRef>
              <c:f>'Liq Fuel Prices'!$M$25</c:f>
              <c:strCache>
                <c:ptCount val="1"/>
                <c:pt idx="0">
                  <c:v>Average Petrol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Prices'!$M$27:$M$110</c:f>
              <c:numCache>
                <c:formatCode>General</c:formatCode>
                <c:ptCount val="84"/>
                <c:pt idx="0">
                  <c:v>267.6225</c:v>
                </c:pt>
                <c:pt idx="1">
                  <c:v>281.6225</c:v>
                </c:pt>
                <c:pt idx="2">
                  <c:v>270.6225</c:v>
                </c:pt>
                <c:pt idx="3">
                  <c:v>296.52250000000004</c:v>
                </c:pt>
                <c:pt idx="4">
                  <c:v>335.52250000000004</c:v>
                </c:pt>
                <c:pt idx="5">
                  <c:v>371.52250000000004</c:v>
                </c:pt>
                <c:pt idx="6">
                  <c:v>396.52250000000004</c:v>
                </c:pt>
                <c:pt idx="7">
                  <c:v>427.52250000000004</c:v>
                </c:pt>
                <c:pt idx="8">
                  <c:v>391.52250000000004</c:v>
                </c:pt>
                <c:pt idx="9">
                  <c:v>338.63099999999997</c:v>
                </c:pt>
                <c:pt idx="10">
                  <c:v>317.52250000000004</c:v>
                </c:pt>
                <c:pt idx="11">
                  <c:v>310.52250000000004</c:v>
                </c:pt>
                <c:pt idx="12">
                  <c:v>317.52250000000004</c:v>
                </c:pt>
                <c:pt idx="13">
                  <c:v>294.52250000000004</c:v>
                </c:pt>
                <c:pt idx="14">
                  <c:v>317.42250000000001</c:v>
                </c:pt>
                <c:pt idx="15">
                  <c:v>375.92250000000001</c:v>
                </c:pt>
                <c:pt idx="16">
                  <c:v>409.92250000000001</c:v>
                </c:pt>
                <c:pt idx="17">
                  <c:v>432.92250000000001</c:v>
                </c:pt>
                <c:pt idx="18">
                  <c:v>424.72249999999997</c:v>
                </c:pt>
                <c:pt idx="19">
                  <c:v>409.72249999999997</c:v>
                </c:pt>
                <c:pt idx="20">
                  <c:v>388.02250000000004</c:v>
                </c:pt>
                <c:pt idx="21">
                  <c:v>397.52250000000004</c:v>
                </c:pt>
                <c:pt idx="22">
                  <c:v>400.52250000000004</c:v>
                </c:pt>
                <c:pt idx="23">
                  <c:v>443.5215</c:v>
                </c:pt>
                <c:pt idx="24">
                  <c:v>443.52250000000004</c:v>
                </c:pt>
                <c:pt idx="25">
                  <c:v>460.52250000000004</c:v>
                </c:pt>
                <c:pt idx="26">
                  <c:v>521.52250000000004</c:v>
                </c:pt>
                <c:pt idx="27">
                  <c:v>577.02250000000004</c:v>
                </c:pt>
                <c:pt idx="28">
                  <c:v>608.02250000000004</c:v>
                </c:pt>
                <c:pt idx="29">
                  <c:v>653.02250000000004</c:v>
                </c:pt>
                <c:pt idx="30">
                  <c:v>726.62249999999995</c:v>
                </c:pt>
                <c:pt idx="31">
                  <c:v>687.52250000000004</c:v>
                </c:pt>
                <c:pt idx="32">
                  <c:v>596.02250000000004</c:v>
                </c:pt>
                <c:pt idx="33">
                  <c:v>567.42250000000001</c:v>
                </c:pt>
                <c:pt idx="34">
                  <c:v>522.42250000000001</c:v>
                </c:pt>
                <c:pt idx="35">
                  <c:v>361.42250000000001</c:v>
                </c:pt>
                <c:pt idx="36">
                  <c:v>270.3725</c:v>
                </c:pt>
                <c:pt idx="37">
                  <c:v>331.3725</c:v>
                </c:pt>
                <c:pt idx="38">
                  <c:v>376.3725</c:v>
                </c:pt>
                <c:pt idx="39">
                  <c:v>369.3725</c:v>
                </c:pt>
                <c:pt idx="40">
                  <c:v>366.3725</c:v>
                </c:pt>
                <c:pt idx="41">
                  <c:v>381.27250000000004</c:v>
                </c:pt>
                <c:pt idx="42">
                  <c:v>419.77250000000004</c:v>
                </c:pt>
                <c:pt idx="43">
                  <c:v>393.37199999999996</c:v>
                </c:pt>
                <c:pt idx="44">
                  <c:v>429.34550000000002</c:v>
                </c:pt>
                <c:pt idx="45">
                  <c:v>382.3725</c:v>
                </c:pt>
                <c:pt idx="46">
                  <c:v>382.3725</c:v>
                </c:pt>
                <c:pt idx="47">
                  <c:v>409.3725</c:v>
                </c:pt>
                <c:pt idx="48">
                  <c:v>401.8725</c:v>
                </c:pt>
                <c:pt idx="49">
                  <c:v>419.8725</c:v>
                </c:pt>
                <c:pt idx="50">
                  <c:v>426.17250000000001</c:v>
                </c:pt>
                <c:pt idx="51">
                  <c:v>449.17250000000001</c:v>
                </c:pt>
                <c:pt idx="52">
                  <c:v>461.17250000000001</c:v>
                </c:pt>
                <c:pt idx="53">
                  <c:v>434.17250000000001</c:v>
                </c:pt>
                <c:pt idx="54">
                  <c:v>417.67250000000001</c:v>
                </c:pt>
                <c:pt idx="55">
                  <c:v>407.67250000000001</c:v>
                </c:pt>
                <c:pt idx="56">
                  <c:v>397.67250000000001</c:v>
                </c:pt>
                <c:pt idx="57">
                  <c:v>393.67250000000001</c:v>
                </c:pt>
                <c:pt idx="58">
                  <c:v>413.67250000000001</c:v>
                </c:pt>
                <c:pt idx="59">
                  <c:v>426.67250000000001</c:v>
                </c:pt>
                <c:pt idx="60">
                  <c:v>451.565</c:v>
                </c:pt>
                <c:pt idx="61">
                  <c:v>477.565</c:v>
                </c:pt>
                <c:pt idx="62">
                  <c:v>520.56500000000005</c:v>
                </c:pt>
                <c:pt idx="63">
                  <c:v>549.26499999999999</c:v>
                </c:pt>
                <c:pt idx="64">
                  <c:v>578.26499999999999</c:v>
                </c:pt>
                <c:pt idx="65">
                  <c:v>576.26499999999999</c:v>
                </c:pt>
                <c:pt idx="66">
                  <c:v>544.26499999999999</c:v>
                </c:pt>
                <c:pt idx="67">
                  <c:v>561.26499999999999</c:v>
                </c:pt>
                <c:pt idx="68">
                  <c:v>570.26499999999999</c:v>
                </c:pt>
                <c:pt idx="69">
                  <c:v>602.76499999999999</c:v>
                </c:pt>
                <c:pt idx="70">
                  <c:v>625.76499999999999</c:v>
                </c:pt>
                <c:pt idx="71">
                  <c:v>600.04999999999995</c:v>
                </c:pt>
                <c:pt idx="72">
                  <c:v>594.54999999999995</c:v>
                </c:pt>
                <c:pt idx="73">
                  <c:v>628.54999999999995</c:v>
                </c:pt>
                <c:pt idx="74">
                  <c:v>652.16999999999996</c:v>
                </c:pt>
                <c:pt idx="75">
                  <c:v>691.07</c:v>
                </c:pt>
                <c:pt idx="76">
                  <c:v>714.67</c:v>
                </c:pt>
                <c:pt idx="77">
                  <c:v>657.49</c:v>
                </c:pt>
                <c:pt idx="78">
                  <c:v>577.07000000000005</c:v>
                </c:pt>
                <c:pt idx="79">
                  <c:v>603.45000000000005</c:v>
                </c:pt>
                <c:pt idx="80">
                  <c:v>692.95</c:v>
                </c:pt>
                <c:pt idx="81">
                  <c:v>701.79</c:v>
                </c:pt>
                <c:pt idx="82">
                  <c:v>689.59</c:v>
                </c:pt>
                <c:pt idx="83">
                  <c:v>666.69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3E-479D-AF88-1720FF4DA121}"/>
            </c:ext>
          </c:extLst>
        </c:ser>
        <c:ser>
          <c:idx val="6"/>
          <c:order val="3"/>
          <c:tx>
            <c:strRef>
              <c:f>'Liq Fuel Prices'!$N$25</c:f>
              <c:strCache>
                <c:ptCount val="1"/>
                <c:pt idx="0">
                  <c:v>average diesel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Prices'!$N$27:$N$110</c:f>
              <c:numCache>
                <c:formatCode>General</c:formatCode>
                <c:ptCount val="84"/>
                <c:pt idx="0">
                  <c:v>311.07899999999995</c:v>
                </c:pt>
                <c:pt idx="1">
                  <c:v>312.57899999999995</c:v>
                </c:pt>
                <c:pt idx="2">
                  <c:v>313.57899999999995</c:v>
                </c:pt>
                <c:pt idx="3">
                  <c:v>336.07899999999995</c:v>
                </c:pt>
                <c:pt idx="4">
                  <c:v>359.57899999999995</c:v>
                </c:pt>
                <c:pt idx="5">
                  <c:v>385.57899999999995</c:v>
                </c:pt>
                <c:pt idx="6">
                  <c:v>419.07899999999995</c:v>
                </c:pt>
                <c:pt idx="7">
                  <c:v>442.07899999999995</c:v>
                </c:pt>
                <c:pt idx="8">
                  <c:v>433.57899999999995</c:v>
                </c:pt>
                <c:pt idx="9">
                  <c:v>395.57899999999995</c:v>
                </c:pt>
                <c:pt idx="10">
                  <c:v>388.57899999999995</c:v>
                </c:pt>
                <c:pt idx="11">
                  <c:v>363.07899999999995</c:v>
                </c:pt>
                <c:pt idx="12">
                  <c:v>356.07899999999995</c:v>
                </c:pt>
                <c:pt idx="13">
                  <c:v>340.07899999999995</c:v>
                </c:pt>
                <c:pt idx="14">
                  <c:v>349.07899999999995</c:v>
                </c:pt>
                <c:pt idx="15">
                  <c:v>377.57899999999995</c:v>
                </c:pt>
                <c:pt idx="16">
                  <c:v>401.57899999999995</c:v>
                </c:pt>
                <c:pt idx="17">
                  <c:v>406.07899999999995</c:v>
                </c:pt>
                <c:pt idx="18">
                  <c:v>420.07899999999995</c:v>
                </c:pt>
                <c:pt idx="19">
                  <c:v>431.07899999999995</c:v>
                </c:pt>
                <c:pt idx="20">
                  <c:v>433.57899999999995</c:v>
                </c:pt>
                <c:pt idx="21">
                  <c:v>454.07899999999995</c:v>
                </c:pt>
                <c:pt idx="22">
                  <c:v>456.07899999999995</c:v>
                </c:pt>
                <c:pt idx="23">
                  <c:v>511.07899999999995</c:v>
                </c:pt>
                <c:pt idx="24">
                  <c:v>506.57899999999995</c:v>
                </c:pt>
                <c:pt idx="25">
                  <c:v>511.21399999999994</c:v>
                </c:pt>
                <c:pt idx="26">
                  <c:v>588.21399999999994</c:v>
                </c:pt>
                <c:pt idx="27">
                  <c:v>706.57899999999995</c:v>
                </c:pt>
                <c:pt idx="28">
                  <c:v>757.07899999999995</c:v>
                </c:pt>
                <c:pt idx="29">
                  <c:v>827.57899999999995</c:v>
                </c:pt>
                <c:pt idx="30">
                  <c:v>883.57899999999995</c:v>
                </c:pt>
                <c:pt idx="31">
                  <c:v>871.07899999999995</c:v>
                </c:pt>
                <c:pt idx="32">
                  <c:v>715.07899999999995</c:v>
                </c:pt>
                <c:pt idx="33">
                  <c:v>655.07899999999995</c:v>
                </c:pt>
                <c:pt idx="34">
                  <c:v>625.07899999999995</c:v>
                </c:pt>
                <c:pt idx="35">
                  <c:v>547.57899999999995</c:v>
                </c:pt>
                <c:pt idx="36">
                  <c:v>418.07899999999995</c:v>
                </c:pt>
                <c:pt idx="37">
                  <c:v>407.57899999999995</c:v>
                </c:pt>
                <c:pt idx="38">
                  <c:v>375.57899999999995</c:v>
                </c:pt>
                <c:pt idx="39">
                  <c:v>372.07899999999995</c:v>
                </c:pt>
                <c:pt idx="40">
                  <c:v>381.57899999999995</c:v>
                </c:pt>
                <c:pt idx="41">
                  <c:v>370.07899999999995</c:v>
                </c:pt>
                <c:pt idx="42">
                  <c:v>413.07899999999995</c:v>
                </c:pt>
                <c:pt idx="43">
                  <c:v>395.57899999999995</c:v>
                </c:pt>
                <c:pt idx="44">
                  <c:v>424.07899999999995</c:v>
                </c:pt>
                <c:pt idx="45">
                  <c:v>386.07899999999995</c:v>
                </c:pt>
                <c:pt idx="46">
                  <c:v>397.07899999999995</c:v>
                </c:pt>
                <c:pt idx="47">
                  <c:v>424.57899999999995</c:v>
                </c:pt>
                <c:pt idx="48">
                  <c:v>411.57899999999995</c:v>
                </c:pt>
                <c:pt idx="49">
                  <c:v>419.07899999999995</c:v>
                </c:pt>
                <c:pt idx="50">
                  <c:v>420.07899999999995</c:v>
                </c:pt>
                <c:pt idx="51">
                  <c:v>442.07899999999995</c:v>
                </c:pt>
                <c:pt idx="52">
                  <c:v>471.07939999999996</c:v>
                </c:pt>
                <c:pt idx="53">
                  <c:v>457.07899999999995</c:v>
                </c:pt>
                <c:pt idx="54">
                  <c:v>443.07899999999995</c:v>
                </c:pt>
                <c:pt idx="55">
                  <c:v>429.10599999999999</c:v>
                </c:pt>
                <c:pt idx="56">
                  <c:v>427.57899999999995</c:v>
                </c:pt>
                <c:pt idx="57">
                  <c:v>425.57899999999995</c:v>
                </c:pt>
                <c:pt idx="58">
                  <c:v>438.57899999999995</c:v>
                </c:pt>
                <c:pt idx="59">
                  <c:v>453.07899999999995</c:v>
                </c:pt>
                <c:pt idx="60">
                  <c:v>472.07899999999995</c:v>
                </c:pt>
                <c:pt idx="61">
                  <c:v>504.07899999999995</c:v>
                </c:pt>
                <c:pt idx="62">
                  <c:v>570.57899999999995</c:v>
                </c:pt>
                <c:pt idx="63">
                  <c:v>612.57899999999995</c:v>
                </c:pt>
                <c:pt idx="64">
                  <c:v>628.07899999999995</c:v>
                </c:pt>
                <c:pt idx="65">
                  <c:v>593.57899999999995</c:v>
                </c:pt>
                <c:pt idx="66">
                  <c:v>581.57899999999995</c:v>
                </c:pt>
                <c:pt idx="67">
                  <c:v>594.07899999999995</c:v>
                </c:pt>
                <c:pt idx="68">
                  <c:v>593.07899999999995</c:v>
                </c:pt>
                <c:pt idx="69">
                  <c:v>626.57899999999995</c:v>
                </c:pt>
                <c:pt idx="70">
                  <c:v>665.07899999999995</c:v>
                </c:pt>
                <c:pt idx="71">
                  <c:v>700.57899999999995</c:v>
                </c:pt>
                <c:pt idx="72">
                  <c:v>678.07899999999995</c:v>
                </c:pt>
                <c:pt idx="73">
                  <c:v>675.57899999999995</c:v>
                </c:pt>
                <c:pt idx="74">
                  <c:v>680.07899999999995</c:v>
                </c:pt>
                <c:pt idx="75">
                  <c:v>701.57899999999995</c:v>
                </c:pt>
                <c:pt idx="76">
                  <c:v>708.07899999999995</c:v>
                </c:pt>
                <c:pt idx="77">
                  <c:v>684.07899999999995</c:v>
                </c:pt>
                <c:pt idx="78">
                  <c:v>627.57899999999995</c:v>
                </c:pt>
                <c:pt idx="79">
                  <c:v>645.07899999999995</c:v>
                </c:pt>
                <c:pt idx="80">
                  <c:v>716.07899999999995</c:v>
                </c:pt>
                <c:pt idx="81">
                  <c:v>746.07899999999995</c:v>
                </c:pt>
                <c:pt idx="82">
                  <c:v>751.07899999999995</c:v>
                </c:pt>
                <c:pt idx="83">
                  <c:v>736.07899999999995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3E-479D-AF88-1720FF4DA121}"/>
            </c:ext>
          </c:extLst>
        </c:ser>
        <c:ser>
          <c:idx val="0"/>
          <c:order val="4"/>
          <c:tx>
            <c:strRef>
              <c:f>'Liq Fuel Prices'!$O$25</c:f>
              <c:strCache>
                <c:ptCount val="1"/>
                <c:pt idx="0">
                  <c:v>Crude Price Model Petrol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Prices'!$O$27:$O$110</c:f>
              <c:numCache>
                <c:formatCode>General</c:formatCode>
                <c:ptCount val="84"/>
                <c:pt idx="0">
                  <c:v>258.09627500781392</c:v>
                </c:pt>
                <c:pt idx="1">
                  <c:v>253.60630567425645</c:v>
                </c:pt>
                <c:pt idx="2">
                  <c:v>277.18920583633701</c:v>
                </c:pt>
                <c:pt idx="3">
                  <c:v>302.19069313220098</c:v>
                </c:pt>
                <c:pt idx="4">
                  <c:v>307.71758775778568</c:v>
                </c:pt>
                <c:pt idx="5">
                  <c:v>325.32597483541969</c:v>
                </c:pt>
                <c:pt idx="6">
                  <c:v>366.77814079268416</c:v>
                </c:pt>
                <c:pt idx="7">
                  <c:v>381.18856382815608</c:v>
                </c:pt>
                <c:pt idx="8">
                  <c:v>331.83920460084528</c:v>
                </c:pt>
                <c:pt idx="9">
                  <c:v>321.84710133425381</c:v>
                </c:pt>
                <c:pt idx="10">
                  <c:v>353.55905638844183</c:v>
                </c:pt>
                <c:pt idx="11">
                  <c:v>312.69064257900766</c:v>
                </c:pt>
                <c:pt idx="12">
                  <c:v>301.25176673049418</c:v>
                </c:pt>
                <c:pt idx="13">
                  <c:v>282.18086245880295</c:v>
                </c:pt>
                <c:pt idx="14">
                  <c:v>303.32171970211323</c:v>
                </c:pt>
                <c:pt idx="15">
                  <c:v>335.04249865220868</c:v>
                </c:pt>
                <c:pt idx="16">
                  <c:v>335.82453059888655</c:v>
                </c:pt>
                <c:pt idx="17">
                  <c:v>341.70269771804527</c:v>
                </c:pt>
                <c:pt idx="18">
                  <c:v>333.03359951880361</c:v>
                </c:pt>
                <c:pt idx="19">
                  <c:v>309.8019849852094</c:v>
                </c:pt>
                <c:pt idx="20">
                  <c:v>377.1372065514015</c:v>
                </c:pt>
                <c:pt idx="21">
                  <c:v>396.25647633590035</c:v>
                </c:pt>
                <c:pt idx="22">
                  <c:v>406.47789236023038</c:v>
                </c:pt>
                <c:pt idx="23">
                  <c:v>449.93987067296939</c:v>
                </c:pt>
                <c:pt idx="24">
                  <c:v>445.56684906918889</c:v>
                </c:pt>
                <c:pt idx="25">
                  <c:v>462.98649920751041</c:v>
                </c:pt>
                <c:pt idx="26">
                  <c:v>520.02500990084081</c:v>
                </c:pt>
                <c:pt idx="27">
                  <c:v>583.54090449226737</c:v>
                </c:pt>
                <c:pt idx="28">
                  <c:v>605.73693072965727</c:v>
                </c:pt>
                <c:pt idx="29">
                  <c:v>664.00502546265398</c:v>
                </c:pt>
                <c:pt idx="30">
                  <c:v>739.62794124540198</c:v>
                </c:pt>
                <c:pt idx="31">
                  <c:v>727.70011897303584</c:v>
                </c:pt>
                <c:pt idx="32">
                  <c:v>618.33897911797453</c:v>
                </c:pt>
                <c:pt idx="33">
                  <c:v>567.24745764575175</c:v>
                </c:pt>
                <c:pt idx="34">
                  <c:v>517.45851921729661</c:v>
                </c:pt>
                <c:pt idx="35">
                  <c:v>391.88856283043225</c:v>
                </c:pt>
                <c:pt idx="36">
                  <c:v>293.15589906117839</c:v>
                </c:pt>
                <c:pt idx="37">
                  <c:v>317.08111674832571</c:v>
                </c:pt>
                <c:pt idx="38">
                  <c:v>317.58011926113369</c:v>
                </c:pt>
                <c:pt idx="39">
                  <c:v>341.9113817501588</c:v>
                </c:pt>
                <c:pt idx="40">
                  <c:v>336.15574428377261</c:v>
                </c:pt>
                <c:pt idx="41">
                  <c:v>348.03444564760395</c:v>
                </c:pt>
                <c:pt idx="42">
                  <c:v>401.1573928354407</c:v>
                </c:pt>
                <c:pt idx="43">
                  <c:v>376.19566561081007</c:v>
                </c:pt>
                <c:pt idx="44">
                  <c:v>419.44830867630344</c:v>
                </c:pt>
                <c:pt idx="45">
                  <c:v>373.36213040529742</c:v>
                </c:pt>
                <c:pt idx="46">
                  <c:v>396.05754463060958</c:v>
                </c:pt>
                <c:pt idx="47">
                  <c:v>419.02153601477727</c:v>
                </c:pt>
                <c:pt idx="48">
                  <c:v>404.58869099247823</c:v>
                </c:pt>
                <c:pt idx="49">
                  <c:v>415.03489652549308</c:v>
                </c:pt>
                <c:pt idx="50">
                  <c:v>407.03517765951665</c:v>
                </c:pt>
                <c:pt idx="51">
                  <c:v>425.72441801551815</c:v>
                </c:pt>
                <c:pt idx="52">
                  <c:v>455.2235357554415</c:v>
                </c:pt>
                <c:pt idx="53">
                  <c:v>421.95043483239044</c:v>
                </c:pt>
                <c:pt idx="54">
                  <c:v>413.69005293795243</c:v>
                </c:pt>
                <c:pt idx="55">
                  <c:v>430.10018205075164</c:v>
                </c:pt>
                <c:pt idx="56">
                  <c:v>409.54644018416468</c:v>
                </c:pt>
                <c:pt idx="57">
                  <c:v>402.3903608433356</c:v>
                </c:pt>
                <c:pt idx="58">
                  <c:v>414.80494015704545</c:v>
                </c:pt>
                <c:pt idx="59">
                  <c:v>428.72442371853163</c:v>
                </c:pt>
                <c:pt idx="60">
                  <c:v>451.07988221429406</c:v>
                </c:pt>
                <c:pt idx="61">
                  <c:v>475.70859032575976</c:v>
                </c:pt>
                <c:pt idx="62">
                  <c:v>529.94423859934352</c:v>
                </c:pt>
                <c:pt idx="63">
                  <c:v>567.83060351367681</c:v>
                </c:pt>
                <c:pt idx="64">
                  <c:v>596.00350919368407</c:v>
                </c:pt>
                <c:pt idx="65">
                  <c:v>568.19461203312858</c:v>
                </c:pt>
                <c:pt idx="66">
                  <c:v>557.62416474607153</c:v>
                </c:pt>
                <c:pt idx="67">
                  <c:v>568.56574382298368</c:v>
                </c:pt>
                <c:pt idx="68">
                  <c:v>558.10574801454095</c:v>
                </c:pt>
                <c:pt idx="69">
                  <c:v>612.24899563574365</c:v>
                </c:pt>
                <c:pt idx="70">
                  <c:v>622.50249472064797</c:v>
                </c:pt>
                <c:pt idx="71">
                  <c:v>639.89461339120749</c:v>
                </c:pt>
                <c:pt idx="72">
                  <c:v>630.94891813210575</c:v>
                </c:pt>
                <c:pt idx="73">
                  <c:v>635.13633512753256</c:v>
                </c:pt>
                <c:pt idx="74">
                  <c:v>688.99119606800366</c:v>
                </c:pt>
                <c:pt idx="75">
                  <c:v>678.66563124909169</c:v>
                </c:pt>
                <c:pt idx="76">
                  <c:v>670.53100162362512</c:v>
                </c:pt>
                <c:pt idx="77">
                  <c:v>635.74642761396092</c:v>
                </c:pt>
                <c:pt idx="78">
                  <c:v>572.22794129691908</c:v>
                </c:pt>
                <c:pt idx="79">
                  <c:v>601.11394344662187</c:v>
                </c:pt>
                <c:pt idx="80">
                  <c:v>667.44803719633342</c:v>
                </c:pt>
                <c:pt idx="81">
                  <c:v>666.776872206289</c:v>
                </c:pt>
                <c:pt idx="82">
                  <c:v>669.98337739808585</c:v>
                </c:pt>
                <c:pt idx="83">
                  <c:v>683.28856875772226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3E-479D-AF88-1720FF4DA121}"/>
            </c:ext>
          </c:extLst>
        </c:ser>
        <c:ser>
          <c:idx val="1"/>
          <c:order val="5"/>
          <c:tx>
            <c:strRef>
              <c:f>'Liq Fuel Prices'!$P$25</c:f>
              <c:strCache>
                <c:ptCount val="1"/>
                <c:pt idx="0">
                  <c:v>Crude Price Model Diesel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Prices'!$P$27:$P$110</c:f>
              <c:numCache>
                <c:formatCode>General</c:formatCode>
                <c:ptCount val="84"/>
                <c:pt idx="0">
                  <c:v>259.3226866225329</c:v>
                </c:pt>
                <c:pt idx="1">
                  <c:v>254.34912438136848</c:v>
                </c:pt>
                <c:pt idx="2">
                  <c:v>280.47202480000971</c:v>
                </c:pt>
                <c:pt idx="3">
                  <c:v>308.16630151996668</c:v>
                </c:pt>
                <c:pt idx="4">
                  <c:v>314.28847126737639</c:v>
                </c:pt>
                <c:pt idx="5">
                  <c:v>333.79337265781425</c:v>
                </c:pt>
                <c:pt idx="6">
                  <c:v>379.71015117090604</c:v>
                </c:pt>
                <c:pt idx="7">
                  <c:v>395.67265126033169</c:v>
                </c:pt>
                <c:pt idx="8">
                  <c:v>341.00811093837234</c:v>
                </c:pt>
                <c:pt idx="9">
                  <c:v>329.93980649693418</c:v>
                </c:pt>
                <c:pt idx="10">
                  <c:v>365.06730304178217</c:v>
                </c:pt>
                <c:pt idx="11">
                  <c:v>319.79714980048198</c:v>
                </c:pt>
                <c:pt idx="12">
                  <c:v>307.12624789112346</c:v>
                </c:pt>
                <c:pt idx="13">
                  <c:v>286.00130864451307</c:v>
                </c:pt>
                <c:pt idx="14">
                  <c:v>309.41914549817096</c:v>
                </c:pt>
                <c:pt idx="15">
                  <c:v>344.55641631812978</c:v>
                </c:pt>
                <c:pt idx="16">
                  <c:v>345.42267714808952</c:v>
                </c:pt>
                <c:pt idx="17">
                  <c:v>351.93395325249412</c:v>
                </c:pt>
                <c:pt idx="18">
                  <c:v>342.33114836328269</c:v>
                </c:pt>
                <c:pt idx="19">
                  <c:v>316.5973688512467</c:v>
                </c:pt>
                <c:pt idx="20">
                  <c:v>391.18494186184267</c:v>
                </c:pt>
                <c:pt idx="21">
                  <c:v>412.36345583701001</c:v>
                </c:pt>
                <c:pt idx="22">
                  <c:v>423.68577120560127</c:v>
                </c:pt>
                <c:pt idx="23">
                  <c:v>471.82882925434723</c:v>
                </c:pt>
                <c:pt idx="24">
                  <c:v>466.98481061800464</c:v>
                </c:pt>
                <c:pt idx="25">
                  <c:v>486.28064712511207</c:v>
                </c:pt>
                <c:pt idx="26">
                  <c:v>549.46250027417022</c:v>
                </c:pt>
                <c:pt idx="27">
                  <c:v>619.81938505124447</c:v>
                </c:pt>
                <c:pt idx="28">
                  <c:v>644.40603805421972</c:v>
                </c:pt>
                <c:pt idx="29">
                  <c:v>708.94990780021033</c:v>
                </c:pt>
                <c:pt idx="30">
                  <c:v>792.71780253677241</c:v>
                </c:pt>
                <c:pt idx="31">
                  <c:v>779.50529214615972</c:v>
                </c:pt>
                <c:pt idx="32">
                  <c:v>658.36539219880638</c:v>
                </c:pt>
                <c:pt idx="33">
                  <c:v>601.77104975224961</c:v>
                </c:pt>
                <c:pt idx="34">
                  <c:v>546.61958527682827</c:v>
                </c:pt>
                <c:pt idx="35">
                  <c:v>407.52509546757381</c:v>
                </c:pt>
                <c:pt idx="36">
                  <c:v>298.1584134231606</c:v>
                </c:pt>
                <c:pt idx="37">
                  <c:v>324.66050073388953</c:v>
                </c:pt>
                <c:pt idx="38">
                  <c:v>325.21324839686338</c:v>
                </c:pt>
                <c:pt idx="39">
                  <c:v>352.16511363363446</c:v>
                </c:pt>
                <c:pt idx="40">
                  <c:v>345.78956425900907</c:v>
                </c:pt>
                <c:pt idx="41">
                  <c:v>358.94766316531286</c:v>
                </c:pt>
                <c:pt idx="42">
                  <c:v>417.79222637827809</c:v>
                </c:pt>
                <c:pt idx="43">
                  <c:v>390.14199209476135</c:v>
                </c:pt>
                <c:pt idx="44">
                  <c:v>438.05316840799873</c:v>
                </c:pt>
                <c:pt idx="45">
                  <c:v>387.0032704999789</c:v>
                </c:pt>
                <c:pt idx="46">
                  <c:v>412.14309815870473</c:v>
                </c:pt>
                <c:pt idx="47">
                  <c:v>437.58043012467374</c:v>
                </c:pt>
                <c:pt idx="48">
                  <c:v>421.5930930845318</c:v>
                </c:pt>
                <c:pt idx="49">
                  <c:v>433.1644089539169</c:v>
                </c:pt>
                <c:pt idx="50">
                  <c:v>424.30307901244322</c:v>
                </c:pt>
                <c:pt idx="51">
                  <c:v>445.00524716667616</c:v>
                </c:pt>
                <c:pt idx="52">
                  <c:v>477.68157237950379</c:v>
                </c:pt>
                <c:pt idx="53">
                  <c:v>440.82478648555127</c:v>
                </c:pt>
                <c:pt idx="54">
                  <c:v>431.67471875998297</c:v>
                </c:pt>
                <c:pt idx="55">
                  <c:v>449.85230360851585</c:v>
                </c:pt>
                <c:pt idx="56">
                  <c:v>427.0848174926802</c:v>
                </c:pt>
                <c:pt idx="57">
                  <c:v>419.15799141431029</c:v>
                </c:pt>
                <c:pt idx="58">
                  <c:v>432.90968509585429</c:v>
                </c:pt>
                <c:pt idx="59">
                  <c:v>448.32836899209047</c:v>
                </c:pt>
                <c:pt idx="60">
                  <c:v>473.0916259318318</c:v>
                </c:pt>
                <c:pt idx="61">
                  <c:v>500.37297322219149</c:v>
                </c:pt>
                <c:pt idx="62">
                  <c:v>560.45008117981968</c:v>
                </c:pt>
                <c:pt idx="63">
                  <c:v>602.41700344465596</c:v>
                </c:pt>
                <c:pt idx="64">
                  <c:v>633.62427670301315</c:v>
                </c:pt>
                <c:pt idx="65">
                  <c:v>602.82021756335314</c:v>
                </c:pt>
                <c:pt idx="66">
                  <c:v>591.11127846076204</c:v>
                </c:pt>
                <c:pt idx="67">
                  <c:v>603.23132216549891</c:v>
                </c:pt>
                <c:pt idx="68">
                  <c:v>591.64473073673514</c:v>
                </c:pt>
                <c:pt idx="69">
                  <c:v>651.61948601406618</c:v>
                </c:pt>
                <c:pt idx="70">
                  <c:v>662.97733995470537</c:v>
                </c:pt>
                <c:pt idx="71">
                  <c:v>682.24267971265192</c:v>
                </c:pt>
                <c:pt idx="72">
                  <c:v>672.33348683039662</c:v>
                </c:pt>
                <c:pt idx="73">
                  <c:v>676.97191028260409</c:v>
                </c:pt>
                <c:pt idx="74">
                  <c:v>736.62721814290671</c:v>
                </c:pt>
                <c:pt idx="75">
                  <c:v>725.18953661617184</c:v>
                </c:pt>
                <c:pt idx="76">
                  <c:v>716.17876532900516</c:v>
                </c:pt>
                <c:pt idx="77">
                  <c:v>677.64771288362408</c:v>
                </c:pt>
                <c:pt idx="78">
                  <c:v>607.28795723868814</c:v>
                </c:pt>
                <c:pt idx="79">
                  <c:v>639.28513114279747</c:v>
                </c:pt>
                <c:pt idx="80">
                  <c:v>712.7637496958622</c:v>
                </c:pt>
                <c:pt idx="81">
                  <c:v>712.02029676687948</c:v>
                </c:pt>
                <c:pt idx="82">
                  <c:v>715.57215914349456</c:v>
                </c:pt>
                <c:pt idx="83">
                  <c:v>730.31038839222856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3E-479D-AF88-1720FF4DA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1248"/>
        <c:axId val="618491640"/>
      </c:lineChart>
      <c:dateAx>
        <c:axId val="61849124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618491640"/>
        <c:crosses val="autoZero"/>
        <c:auto val="1"/>
        <c:lblOffset val="100"/>
        <c:baseTimeUnit val="months"/>
      </c:dateAx>
      <c:valAx>
        <c:axId val="618491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8491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'Liq Fuel Prices'!$Z$25</c:f>
              <c:strCache>
                <c:ptCount val="1"/>
                <c:pt idx="0">
                  <c:v>Average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Prices'!$Z$75:$Z$110</c:f>
              <c:numCache>
                <c:formatCode>0.0</c:formatCode>
                <c:ptCount val="36"/>
                <c:pt idx="0">
                  <c:v>772</c:v>
                </c:pt>
                <c:pt idx="1">
                  <c:v>790</c:v>
                </c:pt>
                <c:pt idx="2">
                  <c:v>796</c:v>
                </c:pt>
                <c:pt idx="3">
                  <c:v>844.33333333333337</c:v>
                </c:pt>
                <c:pt idx="4">
                  <c:v>858</c:v>
                </c:pt>
                <c:pt idx="5">
                  <c:v>831</c:v>
                </c:pt>
                <c:pt idx="6">
                  <c:v>814</c:v>
                </c:pt>
                <c:pt idx="7">
                  <c:v>804</c:v>
                </c:pt>
                <c:pt idx="8">
                  <c:v>794</c:v>
                </c:pt>
                <c:pt idx="9">
                  <c:v>798.66666666666663</c:v>
                </c:pt>
                <c:pt idx="10">
                  <c:v>818.66666666666663</c:v>
                </c:pt>
                <c:pt idx="11">
                  <c:v>831.66666666666663</c:v>
                </c:pt>
                <c:pt idx="12">
                  <c:v>855</c:v>
                </c:pt>
                <c:pt idx="13">
                  <c:v>886</c:v>
                </c:pt>
                <c:pt idx="14">
                  <c:v>929</c:v>
                </c:pt>
                <c:pt idx="15">
                  <c:v>980.66666666666663</c:v>
                </c:pt>
                <c:pt idx="16">
                  <c:v>1009.6666666666666</c:v>
                </c:pt>
                <c:pt idx="17">
                  <c:v>1007.6666666666666</c:v>
                </c:pt>
                <c:pt idx="18">
                  <c:v>976</c:v>
                </c:pt>
                <c:pt idx="19">
                  <c:v>993</c:v>
                </c:pt>
                <c:pt idx="20">
                  <c:v>1002</c:v>
                </c:pt>
                <c:pt idx="21">
                  <c:v>1038.3333333333333</c:v>
                </c:pt>
                <c:pt idx="22">
                  <c:v>1061.3333333333333</c:v>
                </c:pt>
                <c:pt idx="23">
                  <c:v>1050.3333333333333</c:v>
                </c:pt>
                <c:pt idx="24">
                  <c:v>1045</c:v>
                </c:pt>
                <c:pt idx="25" formatCode="General">
                  <c:v>1079</c:v>
                </c:pt>
                <c:pt idx="26" formatCode="General">
                  <c:v>1107</c:v>
                </c:pt>
                <c:pt idx="27" formatCode="General">
                  <c:v>1178.3333333333333</c:v>
                </c:pt>
                <c:pt idx="28" formatCode="General">
                  <c:v>1204.6666666666667</c:v>
                </c:pt>
                <c:pt idx="29" formatCode="General">
                  <c:v>1149.6666666666667</c:v>
                </c:pt>
                <c:pt idx="30" formatCode="General">
                  <c:v>1063.3333333333333</c:v>
                </c:pt>
                <c:pt idx="31" formatCode="General">
                  <c:v>1085.3333333333333</c:v>
                </c:pt>
                <c:pt idx="32" formatCode="General">
                  <c:v>1178.3333333333333</c:v>
                </c:pt>
                <c:pt idx="33" formatCode="General">
                  <c:v>1200.6666666666667</c:v>
                </c:pt>
                <c:pt idx="34" formatCode="General">
                  <c:v>1190.6666666666667</c:v>
                </c:pt>
                <c:pt idx="35" formatCode="General">
                  <c:v>1181.6666666666667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2-446E-9CCF-49FBE3FE9A73}"/>
            </c:ext>
          </c:extLst>
        </c:ser>
        <c:ser>
          <c:idx val="1"/>
          <c:order val="1"/>
          <c:tx>
            <c:strRef>
              <c:f>'Liq Fuel Prices'!$AA$25</c:f>
              <c:strCache>
                <c:ptCount val="1"/>
                <c:pt idx="0">
                  <c:v>Average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Prices'!$AA$75:$AA$110</c:f>
              <c:numCache>
                <c:formatCode>0.0</c:formatCode>
                <c:ptCount val="36"/>
                <c:pt idx="0">
                  <c:v>682.8</c:v>
                </c:pt>
                <c:pt idx="1">
                  <c:v>692.8</c:v>
                </c:pt>
                <c:pt idx="2">
                  <c:v>696.8</c:v>
                </c:pt>
                <c:pt idx="3">
                  <c:v>745.3</c:v>
                </c:pt>
                <c:pt idx="4">
                  <c:v>774.55</c:v>
                </c:pt>
                <c:pt idx="5">
                  <c:v>759.55</c:v>
                </c:pt>
                <c:pt idx="6">
                  <c:v>744.55</c:v>
                </c:pt>
                <c:pt idx="7">
                  <c:v>731.55</c:v>
                </c:pt>
                <c:pt idx="8">
                  <c:v>731.55</c:v>
                </c:pt>
                <c:pt idx="9">
                  <c:v>728.55</c:v>
                </c:pt>
                <c:pt idx="10">
                  <c:v>739.55</c:v>
                </c:pt>
                <c:pt idx="11">
                  <c:v>753.55</c:v>
                </c:pt>
                <c:pt idx="12">
                  <c:v>777.15100000000007</c:v>
                </c:pt>
                <c:pt idx="13">
                  <c:v>807.15100000000007</c:v>
                </c:pt>
                <c:pt idx="14">
                  <c:v>871.15100000000007</c:v>
                </c:pt>
                <c:pt idx="15">
                  <c:v>938.25099999999998</c:v>
                </c:pt>
                <c:pt idx="16">
                  <c:v>954.25099999999998</c:v>
                </c:pt>
                <c:pt idx="17">
                  <c:v>916.25099999999998</c:v>
                </c:pt>
                <c:pt idx="18">
                  <c:v>905.25099999999998</c:v>
                </c:pt>
                <c:pt idx="19">
                  <c:v>920.25099999999998</c:v>
                </c:pt>
                <c:pt idx="20">
                  <c:v>920.25099999999998</c:v>
                </c:pt>
                <c:pt idx="21">
                  <c:v>955.25099999999998</c:v>
                </c:pt>
                <c:pt idx="22">
                  <c:v>991.25099999999998</c:v>
                </c:pt>
                <c:pt idx="23">
                  <c:v>1038.49</c:v>
                </c:pt>
                <c:pt idx="24">
                  <c:v>1017.49</c:v>
                </c:pt>
                <c:pt idx="25" formatCode="General">
                  <c:v>1016.49</c:v>
                </c:pt>
                <c:pt idx="26" formatCode="General">
                  <c:v>1026.8699999999999</c:v>
                </c:pt>
                <c:pt idx="27" formatCode="General">
                  <c:v>1076.6199999999999</c:v>
                </c:pt>
                <c:pt idx="28" formatCode="General">
                  <c:v>1086.02</c:v>
                </c:pt>
                <c:pt idx="29" formatCode="General">
                  <c:v>1061.1999999999998</c:v>
                </c:pt>
                <c:pt idx="30" formatCode="General">
                  <c:v>998.62</c:v>
                </c:pt>
                <c:pt idx="31" formatCode="General">
                  <c:v>1013.24</c:v>
                </c:pt>
                <c:pt idx="32" formatCode="General">
                  <c:v>1082.24</c:v>
                </c:pt>
                <c:pt idx="33" formatCode="General">
                  <c:v>1121.4000000000001</c:v>
                </c:pt>
                <c:pt idx="34" formatCode="General">
                  <c:v>1131.5999999999999</c:v>
                </c:pt>
                <c:pt idx="35" formatCode="General">
                  <c:v>1126.5999999999999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2-446E-9CCF-49FBE3FE9A73}"/>
            </c:ext>
          </c:extLst>
        </c:ser>
        <c:ser>
          <c:idx val="2"/>
          <c:order val="2"/>
          <c:tx>
            <c:strRef>
              <c:f>'Liq Fuel Prices'!$AB$25</c:f>
              <c:strCache>
                <c:ptCount val="1"/>
                <c:pt idx="0">
                  <c:v>Average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Prices'!$AB$75:$AB$110</c:f>
              <c:numCache>
                <c:formatCode>0.0</c:formatCode>
                <c:ptCount val="36"/>
                <c:pt idx="0">
                  <c:v>497.65000000000003</c:v>
                </c:pt>
                <c:pt idx="1">
                  <c:v>502.65000000000003</c:v>
                </c:pt>
                <c:pt idx="2">
                  <c:v>500.65000000000003</c:v>
                </c:pt>
                <c:pt idx="3">
                  <c:v>521.65000000000009</c:v>
                </c:pt>
                <c:pt idx="4">
                  <c:v>552.15000000000009</c:v>
                </c:pt>
                <c:pt idx="5">
                  <c:v>539.15000000000009</c:v>
                </c:pt>
                <c:pt idx="6">
                  <c:v>527.15000000000009</c:v>
                </c:pt>
                <c:pt idx="7">
                  <c:v>512.15000000000009</c:v>
                </c:pt>
                <c:pt idx="8">
                  <c:v>507.15000000000003</c:v>
                </c:pt>
                <c:pt idx="9">
                  <c:v>506.15000000000003</c:v>
                </c:pt>
                <c:pt idx="10">
                  <c:v>520.15000000000009</c:v>
                </c:pt>
                <c:pt idx="11">
                  <c:v>534.15000000000009</c:v>
                </c:pt>
                <c:pt idx="12">
                  <c:v>555.76299999999992</c:v>
                </c:pt>
                <c:pt idx="13">
                  <c:v>587.76299999999992</c:v>
                </c:pt>
                <c:pt idx="14">
                  <c:v>657.76299999999992</c:v>
                </c:pt>
                <c:pt idx="15">
                  <c:v>702.46299999999997</c:v>
                </c:pt>
                <c:pt idx="16">
                  <c:v>717.46299999999997</c:v>
                </c:pt>
                <c:pt idx="17">
                  <c:v>685.46299999999997</c:v>
                </c:pt>
                <c:pt idx="18">
                  <c:v>673.46299999999997</c:v>
                </c:pt>
                <c:pt idx="19">
                  <c:v>683.46299999999997</c:v>
                </c:pt>
                <c:pt idx="20">
                  <c:v>681.46299999999997</c:v>
                </c:pt>
                <c:pt idx="21">
                  <c:v>711.46299999999997</c:v>
                </c:pt>
                <c:pt idx="22">
                  <c:v>752.47199999999998</c:v>
                </c:pt>
                <c:pt idx="23">
                  <c:v>795.47800000000007</c:v>
                </c:pt>
                <c:pt idx="24">
                  <c:v>770.47800000000007</c:v>
                </c:pt>
                <c:pt idx="25" formatCode="General">
                  <c:v>767.47800000000007</c:v>
                </c:pt>
                <c:pt idx="26" formatCode="General">
                  <c:v>771.47800000000007</c:v>
                </c:pt>
                <c:pt idx="27" formatCode="General">
                  <c:v>795.07799999999997</c:v>
                </c:pt>
                <c:pt idx="28" formatCode="General">
                  <c:v>804.07799999999997</c:v>
                </c:pt>
                <c:pt idx="29" formatCode="General">
                  <c:v>783.07799999999997</c:v>
                </c:pt>
                <c:pt idx="30" formatCode="General">
                  <c:v>725.07799999999997</c:v>
                </c:pt>
                <c:pt idx="31" formatCode="General">
                  <c:v>740.07799999999997</c:v>
                </c:pt>
                <c:pt idx="32" formatCode="General">
                  <c:v>813.07799999999997</c:v>
                </c:pt>
                <c:pt idx="33" formatCode="General">
                  <c:v>846.07799999999997</c:v>
                </c:pt>
                <c:pt idx="34" formatCode="General">
                  <c:v>849.07799999999997</c:v>
                </c:pt>
                <c:pt idx="35" formatCode="General">
                  <c:v>845.07799999999997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2-446E-9CCF-49FBE3FE9A73}"/>
            </c:ext>
          </c:extLst>
        </c:ser>
        <c:ser>
          <c:idx val="3"/>
          <c:order val="3"/>
          <c:tx>
            <c:strRef>
              <c:f>'Liq Fuel Prices'!$AD$25</c:f>
              <c:strCache>
                <c:ptCount val="1"/>
                <c:pt idx="0">
                  <c:v>Crude Price Model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Prices'!$AD$75:$AD$110</c:f>
              <c:numCache>
                <c:formatCode>General</c:formatCode>
                <c:ptCount val="36"/>
                <c:pt idx="0">
                  <c:v>789.22523227507838</c:v>
                </c:pt>
                <c:pt idx="1">
                  <c:v>803.38272704595818</c:v>
                </c:pt>
                <c:pt idx="2">
                  <c:v>792.54089767015</c:v>
                </c:pt>
                <c:pt idx="3">
                  <c:v>817.86998216648431</c:v>
                </c:pt>
                <c:pt idx="4">
                  <c:v>857.84943727375912</c:v>
                </c:pt>
                <c:pt idx="5">
                  <c:v>812.75519220646925</c:v>
                </c:pt>
                <c:pt idx="6">
                  <c:v>801.56009240622382</c:v>
                </c:pt>
                <c:pt idx="7">
                  <c:v>823.80035145240652</c:v>
                </c:pt>
                <c:pt idx="8">
                  <c:v>795.9443522497719</c:v>
                </c:pt>
                <c:pt idx="9">
                  <c:v>786.24588752709383</c:v>
                </c:pt>
                <c:pt idx="10">
                  <c:v>803.07107263005207</c:v>
                </c:pt>
                <c:pt idx="11">
                  <c:v>821.93581879192595</c:v>
                </c:pt>
                <c:pt idx="12">
                  <c:v>852.23364183916544</c:v>
                </c:pt>
                <c:pt idx="13">
                  <c:v>885.6123462117348</c:v>
                </c:pt>
                <c:pt idx="14">
                  <c:v>959.11663486485452</c:v>
                </c:pt>
                <c:pt idx="15">
                  <c:v>1010.4631272794564</c:v>
                </c:pt>
                <c:pt idx="16">
                  <c:v>1048.6451986147963</c:v>
                </c:pt>
                <c:pt idx="17">
                  <c:v>1010.9564593984163</c:v>
                </c:pt>
                <c:pt idx="18">
                  <c:v>996.63058272296678</c:v>
                </c:pt>
                <c:pt idx="19">
                  <c:v>1011.4594455169237</c:v>
                </c:pt>
                <c:pt idx="20">
                  <c:v>997.2832611126031</c:v>
                </c:pt>
                <c:pt idx="21">
                  <c:v>1070.6623213515609</c:v>
                </c:pt>
                <c:pt idx="22">
                  <c:v>1084.5586456406982</c:v>
                </c:pt>
                <c:pt idx="23">
                  <c:v>1108.129771860144</c:v>
                </c:pt>
                <c:pt idx="24">
                  <c:v>1096.0058830995458</c:v>
                </c:pt>
                <c:pt idx="25">
                  <c:v>1101.6809901064762</c:v>
                </c:pt>
                <c:pt idx="26">
                  <c:v>1174.6692067121598</c:v>
                </c:pt>
                <c:pt idx="27">
                  <c:v>1160.6752134417693</c:v>
                </c:pt>
                <c:pt idx="28">
                  <c:v>1149.6505427111765</c:v>
                </c:pt>
                <c:pt idx="29">
                  <c:v>1102.5078339933848</c:v>
                </c:pt>
                <c:pt idx="30">
                  <c:v>1016.4227349547303</c:v>
                </c:pt>
                <c:pt idx="31">
                  <c:v>1055.5712490341784</c:v>
                </c:pt>
                <c:pt idx="32">
                  <c:v>1145.4722740929451</c:v>
                </c:pt>
                <c:pt idx="33">
                  <c:v>1144.5626600893797</c:v>
                </c:pt>
                <c:pt idx="34">
                  <c:v>1148.9083605776757</c:v>
                </c:pt>
                <c:pt idx="35">
                  <c:v>1166.9405710778692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72-446E-9CCF-49FBE3FE9A73}"/>
            </c:ext>
          </c:extLst>
        </c:ser>
        <c:ser>
          <c:idx val="4"/>
          <c:order val="4"/>
          <c:tx>
            <c:strRef>
              <c:f>'Liq Fuel Prices'!$AE$25</c:f>
              <c:strCache>
                <c:ptCount val="1"/>
                <c:pt idx="0">
                  <c:v>Crude Price Model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Prices'!$AE$75:$AE$110</c:f>
              <c:numCache>
                <c:formatCode>General</c:formatCode>
                <c:ptCount val="36"/>
                <c:pt idx="0">
                  <c:v>710.35635681148051</c:v>
                </c:pt>
                <c:pt idx="1">
                  <c:v>724.86549267425937</c:v>
                </c:pt>
                <c:pt idx="2">
                  <c:v>713.75437605649267</c:v>
                </c:pt>
                <c:pt idx="3">
                  <c:v>739.71257940988733</c:v>
                </c:pt>
                <c:pt idx="4">
                  <c:v>780.68503642003895</c:v>
                </c:pt>
                <c:pt idx="5">
                  <c:v>734.47074929513576</c:v>
                </c:pt>
                <c:pt idx="6">
                  <c:v>722.99758779107992</c:v>
                </c:pt>
                <c:pt idx="7">
                  <c:v>745.79024605066047</c:v>
                </c:pt>
                <c:pt idx="8">
                  <c:v>717.24236497668653</c:v>
                </c:pt>
                <c:pt idx="9">
                  <c:v>707.30301168014569</c:v>
                </c:pt>
                <c:pt idx="10">
                  <c:v>724.54609744679874</c:v>
                </c:pt>
                <c:pt idx="11">
                  <c:v>743.87940249187318</c:v>
                </c:pt>
                <c:pt idx="12">
                  <c:v>774.92975695451594</c:v>
                </c:pt>
                <c:pt idx="13">
                  <c:v>809.13751507152938</c:v>
                </c:pt>
                <c:pt idx="14">
                  <c:v>884.46748889985474</c:v>
                </c:pt>
                <c:pt idx="15">
                  <c:v>937.08931547138627</c:v>
                </c:pt>
                <c:pt idx="16">
                  <c:v>976.21974564228378</c:v>
                </c:pt>
                <c:pt idx="17">
                  <c:v>937.59490087722975</c:v>
                </c:pt>
                <c:pt idx="18">
                  <c:v>922.91320087299971</c:v>
                </c:pt>
                <c:pt idx="19">
                  <c:v>938.11038006677722</c:v>
                </c:pt>
                <c:pt idx="20">
                  <c:v>923.58209036108997</c:v>
                </c:pt>
                <c:pt idx="21">
                  <c:v>998.78372537634391</c:v>
                </c:pt>
                <c:pt idx="22">
                  <c:v>1013.0252038559292</c:v>
                </c:pt>
                <c:pt idx="23">
                  <c:v>1037.1817851078677</c:v>
                </c:pt>
                <c:pt idx="24">
                  <c:v>1024.7567655645403</c:v>
                </c:pt>
                <c:pt idx="25">
                  <c:v>1030.5728297716573</c:v>
                </c:pt>
                <c:pt idx="26">
                  <c:v>1105.3739134557579</c:v>
                </c:pt>
                <c:pt idx="27">
                  <c:v>1091.0323401118258</c:v>
                </c:pt>
                <c:pt idx="28">
                  <c:v>1079.7338407613904</c:v>
                </c:pt>
                <c:pt idx="29">
                  <c:v>1031.4202106456478</c:v>
                </c:pt>
                <c:pt idx="30">
                  <c:v>943.19694671891921</c:v>
                </c:pt>
                <c:pt idx="31">
                  <c:v>983.31782395017558</c:v>
                </c:pt>
                <c:pt idx="32">
                  <c:v>1075.4517931227222</c:v>
                </c:pt>
                <c:pt idx="33">
                  <c:v>1074.5195863040724</c:v>
                </c:pt>
                <c:pt idx="34">
                  <c:v>1078.973224452915</c:v>
                </c:pt>
                <c:pt idx="35">
                  <c:v>1097.4533154780361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72-446E-9CCF-49FBE3FE9A73}"/>
            </c:ext>
          </c:extLst>
        </c:ser>
        <c:ser>
          <c:idx val="5"/>
          <c:order val="5"/>
          <c:tx>
            <c:strRef>
              <c:f>'Liq Fuel Prices'!$AF$25</c:f>
              <c:strCache>
                <c:ptCount val="1"/>
                <c:pt idx="0">
                  <c:v>Crude Price Model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Prices'!$AF$75:$AF$110</c:f>
              <c:numCache>
                <c:formatCode>General</c:formatCode>
                <c:ptCount val="36"/>
                <c:pt idx="0">
                  <c:v>502.55261762128106</c:v>
                </c:pt>
                <c:pt idx="1">
                  <c:v>514.73147064117984</c:v>
                </c:pt>
                <c:pt idx="2">
                  <c:v>505.40488789672565</c:v>
                </c:pt>
                <c:pt idx="3">
                  <c:v>527.19399693061723</c:v>
                </c:pt>
                <c:pt idx="4">
                  <c:v>561.5859508353883</c:v>
                </c:pt>
                <c:pt idx="5">
                  <c:v>522.79404650444394</c:v>
                </c:pt>
                <c:pt idx="6">
                  <c:v>513.1635661675748</c:v>
                </c:pt>
                <c:pt idx="7">
                  <c:v>532.29554187595068</c:v>
                </c:pt>
                <c:pt idx="8">
                  <c:v>508.33267800054921</c:v>
                </c:pt>
                <c:pt idx="9">
                  <c:v>499.98966405014897</c:v>
                </c:pt>
                <c:pt idx="10">
                  <c:v>514.46337283251023</c:v>
                </c:pt>
                <c:pt idx="11">
                  <c:v>530.69159502021876</c:v>
                </c:pt>
                <c:pt idx="12">
                  <c:v>556.75501511585605</c:v>
                </c:pt>
                <c:pt idx="13">
                  <c:v>585.4687346776193</c:v>
                </c:pt>
                <c:pt idx="14">
                  <c:v>648.70011440448036</c:v>
                </c:pt>
                <c:pt idx="15">
                  <c:v>692.87045628523651</c:v>
                </c:pt>
                <c:pt idx="16">
                  <c:v>725.71622754025145</c:v>
                </c:pt>
                <c:pt idx="17">
                  <c:v>693.29484064589087</c:v>
                </c:pt>
                <c:pt idx="18">
                  <c:v>680.97113866082191</c:v>
                </c:pt>
                <c:pt idx="19">
                  <c:v>693.72752976974277</c:v>
                </c:pt>
                <c:pt idx="20">
                  <c:v>681.53259916674381</c:v>
                </c:pt>
                <c:pt idx="21">
                  <c:v>744.65625231664501</c:v>
                </c:pt>
                <c:pt idx="22">
                  <c:v>756.61043586205301</c:v>
                </c:pt>
                <c:pt idx="23">
                  <c:v>776.88727766111037</c:v>
                </c:pt>
                <c:pt idx="24">
                  <c:v>766.45781527143424</c:v>
                </c:pt>
                <c:pt idx="25">
                  <c:v>771.33977321866701</c:v>
                </c:pt>
                <c:pt idx="26">
                  <c:v>834.12720677319192</c:v>
                </c:pt>
                <c:pt idx="27">
                  <c:v>822.08900439630725</c:v>
                </c:pt>
                <c:pt idx="28">
                  <c:v>812.60513407930432</c:v>
                </c:pt>
                <c:pt idx="29">
                  <c:v>772.05105797151566</c:v>
                </c:pt>
                <c:pt idx="30">
                  <c:v>697.99715328269622</c:v>
                </c:pt>
                <c:pt idx="31">
                  <c:v>731.67429790730284</c:v>
                </c:pt>
                <c:pt idx="32">
                  <c:v>809.010817415048</c:v>
                </c:pt>
                <c:pt idx="33">
                  <c:v>808.22833044023037</c:v>
                </c:pt>
                <c:pt idx="34">
                  <c:v>811.96667881132203</c:v>
                </c:pt>
                <c:pt idx="35">
                  <c:v>827.47871994994523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72-446E-9CCF-49FBE3FE9A73}"/>
            </c:ext>
          </c:extLst>
        </c:ser>
        <c:ser>
          <c:idx val="6"/>
          <c:order val="6"/>
          <c:tx>
            <c:strRef>
              <c:f>'Liq Fuel Prices'!$AH$25</c:f>
              <c:strCache>
                <c:ptCount val="1"/>
                <c:pt idx="0">
                  <c:v>BFP Model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Prices'!$AH$75:$AH$110</c:f>
              <c:numCache>
                <c:formatCode>0.0</c:formatCode>
                <c:ptCount val="36"/>
                <c:pt idx="0">
                  <c:v>785.35960832452008</c:v>
                </c:pt>
                <c:pt idx="1">
                  <c:v>809.77797005609966</c:v>
                </c:pt>
                <c:pt idx="2">
                  <c:v>818.32439666215248</c:v>
                </c:pt>
                <c:pt idx="3">
                  <c:v>849.52563665250409</c:v>
                </c:pt>
                <c:pt idx="4">
                  <c:v>865.80454447355714</c:v>
                </c:pt>
                <c:pt idx="5">
                  <c:v>829.17700187618777</c:v>
                </c:pt>
                <c:pt idx="6">
                  <c:v>806.79350362223988</c:v>
                </c:pt>
                <c:pt idx="7">
                  <c:v>793.22774710469571</c:v>
                </c:pt>
                <c:pt idx="8">
                  <c:v>779.66199058715154</c:v>
                </c:pt>
                <c:pt idx="9">
                  <c:v>774.23568798013378</c:v>
                </c:pt>
                <c:pt idx="10">
                  <c:v>801.36720101522224</c:v>
                </c:pt>
                <c:pt idx="11">
                  <c:v>819.00268448802967</c:v>
                </c:pt>
                <c:pt idx="12">
                  <c:v>852.77124389932658</c:v>
                </c:pt>
                <c:pt idx="13">
                  <c:v>888.04221084494145</c:v>
                </c:pt>
                <c:pt idx="14">
                  <c:v>946.37496387038163</c:v>
                </c:pt>
                <c:pt idx="15">
                  <c:v>985.30868507573337</c:v>
                </c:pt>
                <c:pt idx="16">
                  <c:v>1024.6493789766114</c:v>
                </c:pt>
                <c:pt idx="17">
                  <c:v>1021.9362276731026</c:v>
                </c:pt>
                <c:pt idx="18">
                  <c:v>978.52580681696122</c:v>
                </c:pt>
                <c:pt idx="19">
                  <c:v>1001.5875928967864</c:v>
                </c:pt>
                <c:pt idx="20">
                  <c:v>1013.7967737625761</c:v>
                </c:pt>
                <c:pt idx="21">
                  <c:v>1057.8854824445948</c:v>
                </c:pt>
                <c:pt idx="22">
                  <c:v>1089.0867224349463</c:v>
                </c:pt>
                <c:pt idx="23">
                  <c:v>1054.2023795500813</c:v>
                </c:pt>
                <c:pt idx="24">
                  <c:v>1046.7412134654323</c:v>
                </c:pt>
                <c:pt idx="25">
                  <c:v>1092.8647856250823</c:v>
                </c:pt>
                <c:pt idx="26">
                  <c:v>1124.9071025195217</c:v>
                </c:pt>
                <c:pt idx="27">
                  <c:v>1177.6778953727689</c:v>
                </c:pt>
                <c:pt idx="28">
                  <c:v>1209.693080754173</c:v>
                </c:pt>
                <c:pt idx="29">
                  <c:v>1132.1240849868555</c:v>
                </c:pt>
                <c:pt idx="30">
                  <c:v>1023.0282710727651</c:v>
                </c:pt>
                <c:pt idx="31">
                  <c:v>1058.8147367660467</c:v>
                </c:pt>
                <c:pt idx="32">
                  <c:v>1180.2282575980671</c:v>
                </c:pt>
                <c:pt idx="33">
                  <c:v>1192.2203863595762</c:v>
                </c:pt>
                <c:pt idx="34">
                  <c:v>1175.6701634081724</c:v>
                </c:pt>
                <c:pt idx="35">
                  <c:v>1144.6045809829961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72-446E-9CCF-49FBE3FE9A73}"/>
            </c:ext>
          </c:extLst>
        </c:ser>
        <c:ser>
          <c:idx val="7"/>
          <c:order val="7"/>
          <c:tx>
            <c:strRef>
              <c:f>'Liq Fuel Prices'!$AI$25</c:f>
              <c:strCache>
                <c:ptCount val="1"/>
                <c:pt idx="0">
                  <c:v>BFP Model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Prices'!$AI$75:$AI$110</c:f>
              <c:numCache>
                <c:formatCode>0.0</c:formatCode>
                <c:ptCount val="36"/>
                <c:pt idx="0">
                  <c:v>697.28841299445492</c:v>
                </c:pt>
                <c:pt idx="1">
                  <c:v>706.71592718939928</c:v>
                </c:pt>
                <c:pt idx="2">
                  <c:v>707.9729290820585</c:v>
                </c:pt>
                <c:pt idx="3">
                  <c:v>735.62697072056187</c:v>
                </c:pt>
                <c:pt idx="4">
                  <c:v>772.08052840843686</c:v>
                </c:pt>
                <c:pt idx="5">
                  <c:v>754.48199911045037</c:v>
                </c:pt>
                <c:pt idx="6">
                  <c:v>736.88397261322109</c:v>
                </c:pt>
                <c:pt idx="7">
                  <c:v>719.3198851670935</c:v>
                </c:pt>
                <c:pt idx="8">
                  <c:v>717.40044327700286</c:v>
                </c:pt>
                <c:pt idx="9">
                  <c:v>714.88643949168431</c:v>
                </c:pt>
                <c:pt idx="10">
                  <c:v>731.22746409625449</c:v>
                </c:pt>
                <c:pt idx="11">
                  <c:v>749.4539915398135</c:v>
                </c:pt>
                <c:pt idx="12">
                  <c:v>773.33702750033899</c:v>
                </c:pt>
                <c:pt idx="13">
                  <c:v>813.56108806543477</c:v>
                </c:pt>
                <c:pt idx="14">
                  <c:v>897.15171392727427</c:v>
                </c:pt>
                <c:pt idx="15">
                  <c:v>949.94579341896235</c:v>
                </c:pt>
                <c:pt idx="16">
                  <c:v>969.42932275518058</c:v>
                </c:pt>
                <c:pt idx="17">
                  <c:v>926.06275745843675</c:v>
                </c:pt>
                <c:pt idx="18">
                  <c:v>910.9787347465259</c:v>
                </c:pt>
                <c:pt idx="19">
                  <c:v>926.69125840476636</c:v>
                </c:pt>
                <c:pt idx="20">
                  <c:v>925.43425651210714</c:v>
                </c:pt>
                <c:pt idx="21">
                  <c:v>967.54381991619175</c:v>
                </c:pt>
                <c:pt idx="22">
                  <c:v>1015.9383927835725</c:v>
                </c:pt>
                <c:pt idx="23">
                  <c:v>1060.5619599729755</c:v>
                </c:pt>
                <c:pt idx="24">
                  <c:v>1032.2794173881425</c:v>
                </c:pt>
                <c:pt idx="25">
                  <c:v>1029.1369126564946</c:v>
                </c:pt>
                <c:pt idx="26">
                  <c:v>1034.793421173461</c:v>
                </c:pt>
                <c:pt idx="27">
                  <c:v>1061.8189618656347</c:v>
                </c:pt>
                <c:pt idx="28">
                  <c:v>1069.98947416792</c:v>
                </c:pt>
                <c:pt idx="29">
                  <c:v>1039.8214287440981</c:v>
                </c:pt>
                <c:pt idx="30">
                  <c:v>968.80082180885097</c:v>
                </c:pt>
                <c:pt idx="31">
                  <c:v>990.79835493038775</c:v>
                </c:pt>
                <c:pt idx="32">
                  <c:v>1080.0454893091937</c:v>
                </c:pt>
                <c:pt idx="33">
                  <c:v>1117.755546088971</c:v>
                </c:pt>
                <c:pt idx="34">
                  <c:v>1124.0405555522671</c:v>
                </c:pt>
                <c:pt idx="35">
                  <c:v>1105.1855271623785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A72-446E-9CCF-49FBE3FE9A73}"/>
            </c:ext>
          </c:extLst>
        </c:ser>
        <c:ser>
          <c:idx val="8"/>
          <c:order val="8"/>
          <c:tx>
            <c:strRef>
              <c:f>'Liq Fuel Prices'!$AJ$25</c:f>
              <c:strCache>
                <c:ptCount val="1"/>
                <c:pt idx="0">
                  <c:v>BFP Model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Prices'!$AJ$75:$AJ$110</c:f>
              <c:numCache>
                <c:formatCode>0.0</c:formatCode>
                <c:ptCount val="36"/>
                <c:pt idx="0">
                  <c:v>496.18505630617784</c:v>
                </c:pt>
                <c:pt idx="1">
                  <c:v>501.52979789622339</c:v>
                </c:pt>
                <c:pt idx="2">
                  <c:v>499.39190126020515</c:v>
                </c:pt>
                <c:pt idx="3">
                  <c:v>521.83981593839644</c:v>
                </c:pt>
                <c:pt idx="4">
                  <c:v>553.90912063732435</c:v>
                </c:pt>
                <c:pt idx="5">
                  <c:v>540.01193734455137</c:v>
                </c:pt>
                <c:pt idx="6">
                  <c:v>527.18455752844216</c:v>
                </c:pt>
                <c:pt idx="7">
                  <c:v>511.20805596747795</c:v>
                </c:pt>
                <c:pt idx="8">
                  <c:v>505.80559116825981</c:v>
                </c:pt>
                <c:pt idx="9">
                  <c:v>504.73664285025075</c:v>
                </c:pt>
                <c:pt idx="10">
                  <c:v>519.70191930237831</c:v>
                </c:pt>
                <c:pt idx="11">
                  <c:v>534.66719575450588</c:v>
                </c:pt>
                <c:pt idx="12">
                  <c:v>553.90826547866993</c:v>
                </c:pt>
                <c:pt idx="13">
                  <c:v>588.11461165496155</c:v>
                </c:pt>
                <c:pt idx="14">
                  <c:v>662.94099391559951</c:v>
                </c:pt>
                <c:pt idx="15">
                  <c:v>705.69892663596397</c:v>
                </c:pt>
                <c:pt idx="16">
                  <c:v>721.73315140610066</c:v>
                </c:pt>
                <c:pt idx="17">
                  <c:v>687.52680522980904</c:v>
                </c:pt>
                <c:pt idx="18">
                  <c:v>674.69942541369971</c:v>
                </c:pt>
                <c:pt idx="19">
                  <c:v>685.3889085937908</c:v>
                </c:pt>
                <c:pt idx="20">
                  <c:v>683.25101195777268</c:v>
                </c:pt>
                <c:pt idx="21">
                  <c:v>715.31946149804605</c:v>
                </c:pt>
                <c:pt idx="22">
                  <c:v>759.14634253641964</c:v>
                </c:pt>
                <c:pt idx="23">
                  <c:v>796.55953366673862</c:v>
                </c:pt>
                <c:pt idx="24">
                  <c:v>769.83582571651073</c:v>
                </c:pt>
                <c:pt idx="25">
                  <c:v>766.62898076248348</c:v>
                </c:pt>
                <c:pt idx="26">
                  <c:v>770.90477403451985</c:v>
                </c:pt>
                <c:pt idx="27">
                  <c:v>793.35268871271126</c:v>
                </c:pt>
                <c:pt idx="28">
                  <c:v>802.97322357479322</c:v>
                </c:pt>
                <c:pt idx="29">
                  <c:v>780.52530889660193</c:v>
                </c:pt>
                <c:pt idx="30">
                  <c:v>718.5263064520733</c:v>
                </c:pt>
                <c:pt idx="31">
                  <c:v>734.56053122220999</c:v>
                </c:pt>
                <c:pt idx="32">
                  <c:v>812.59375843687531</c:v>
                </c:pt>
                <c:pt idx="33">
                  <c:v>847.86905293117604</c:v>
                </c:pt>
                <c:pt idx="34">
                  <c:v>851.07589788520329</c:v>
                </c:pt>
                <c:pt idx="35">
                  <c:v>836.11062143307572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72-446E-9CCF-49FBE3FE9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2424"/>
        <c:axId val="618492816"/>
      </c:lineChart>
      <c:dateAx>
        <c:axId val="6184924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618492816"/>
        <c:crosses val="autoZero"/>
        <c:auto val="1"/>
        <c:lblOffset val="100"/>
        <c:baseTimeUnit val="months"/>
      </c:dateAx>
      <c:valAx>
        <c:axId val="618492816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618492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avg</a:t>
            </a:r>
            <a:r>
              <a:rPr lang="en-GB" baseline="0"/>
              <a:t> tax vs crude price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'Liq Fuel Prices'!$AR$74</c:f>
              <c:strCache>
                <c:ptCount val="1"/>
                <c:pt idx="0">
                  <c:v>avg diesel (R/GJ)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8952628001793843"/>
                  <c:y val="-0.173769573261533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'Liq Fuel Prices'!$AL$75:$AL$110</c:f>
              <c:numCache>
                <c:formatCode>General</c:formatCode>
                <c:ptCount val="36"/>
                <c:pt idx="0">
                  <c:v>90.9191912195122</c:v>
                </c:pt>
                <c:pt idx="1">
                  <c:v>93.37621788617885</c:v>
                </c:pt>
                <c:pt idx="2">
                  <c:v>91.494623414634148</c:v>
                </c:pt>
                <c:pt idx="3">
                  <c:v>95.890474308943084</c:v>
                </c:pt>
                <c:pt idx="4">
                  <c:v>102.82889024390244</c:v>
                </c:pt>
                <c:pt idx="5">
                  <c:v>95.002804878048778</c:v>
                </c:pt>
                <c:pt idx="6">
                  <c:v>93.059900487804882</c:v>
                </c:pt>
                <c:pt idx="7">
                  <c:v>96.919687154471546</c:v>
                </c:pt>
                <c:pt idx="8">
                  <c:v>92.085291382113823</c:v>
                </c:pt>
                <c:pt idx="9">
                  <c:v>90.40212731707318</c:v>
                </c:pt>
                <c:pt idx="10">
                  <c:v>93.322130406504058</c:v>
                </c:pt>
                <c:pt idx="11">
                  <c:v>96.596098373983736</c:v>
                </c:pt>
                <c:pt idx="12">
                  <c:v>101.85427154471544</c:v>
                </c:pt>
                <c:pt idx="13">
                  <c:v>107.64713024390244</c:v>
                </c:pt>
                <c:pt idx="14">
                  <c:v>120.40376552845528</c:v>
                </c:pt>
                <c:pt idx="15">
                  <c:v>129.31492552845526</c:v>
                </c:pt>
                <c:pt idx="16">
                  <c:v>135.94140634146339</c:v>
                </c:pt>
                <c:pt idx="17">
                  <c:v>129.4005430894309</c:v>
                </c:pt>
                <c:pt idx="18">
                  <c:v>126.91429382113822</c:v>
                </c:pt>
                <c:pt idx="19">
                  <c:v>129.48783609756094</c:v>
                </c:pt>
                <c:pt idx="20">
                  <c:v>127.02756585365854</c:v>
                </c:pt>
                <c:pt idx="21">
                  <c:v>139.76246780487804</c:v>
                </c:pt>
                <c:pt idx="22">
                  <c:v>142.17416845528456</c:v>
                </c:pt>
                <c:pt idx="23">
                  <c:v>146.26492650406502</c:v>
                </c:pt>
                <c:pt idx="24">
                  <c:v>144.16083121951218</c:v>
                </c:pt>
                <c:pt idx="25">
                  <c:v>145.14574341463413</c:v>
                </c:pt>
                <c:pt idx="26">
                  <c:v>157.81281463414632</c:v>
                </c:pt>
                <c:pt idx="27">
                  <c:v>155.38416357723577</c:v>
                </c:pt>
                <c:pt idx="28">
                  <c:v>153.47083707317074</c:v>
                </c:pt>
                <c:pt idx="29">
                  <c:v>145.28924178861786</c:v>
                </c:pt>
                <c:pt idx="30">
                  <c:v>130.34921268292683</c:v>
                </c:pt>
                <c:pt idx="31">
                  <c:v>137.14341918699188</c:v>
                </c:pt>
                <c:pt idx="32">
                  <c:v>152.74570048780487</c:v>
                </c:pt>
                <c:pt idx="33">
                  <c:v>152.58783739837395</c:v>
                </c:pt>
                <c:pt idx="34">
                  <c:v>153.34203170731706</c:v>
                </c:pt>
                <c:pt idx="35">
                  <c:v>156.47151349593497</c:v>
                </c:pt>
              </c:numCache>
            </c:numRef>
          </c:xVal>
          <c:yVal>
            <c:numRef>
              <c:f>'Liq Fuel Prices'!$AR$75:$AR$110</c:f>
              <c:numCache>
                <c:formatCode>0.000000</c:formatCode>
                <c:ptCount val="36"/>
                <c:pt idx="0">
                  <c:v>75.7600558659218</c:v>
                </c:pt>
                <c:pt idx="1">
                  <c:v>76.458379888268155</c:v>
                </c:pt>
                <c:pt idx="2">
                  <c:v>77.296368715083801</c:v>
                </c:pt>
                <c:pt idx="3">
                  <c:v>84.698603351955327</c:v>
                </c:pt>
                <c:pt idx="4">
                  <c:v>84.768324022346363</c:v>
                </c:pt>
                <c:pt idx="5">
                  <c:v>84.489106145251398</c:v>
                </c:pt>
                <c:pt idx="6">
                  <c:v>84.209776536312845</c:v>
                </c:pt>
                <c:pt idx="7">
                  <c:v>84.481564245810063</c:v>
                </c:pt>
                <c:pt idx="8">
                  <c:v>84.908100558659228</c:v>
                </c:pt>
                <c:pt idx="9">
                  <c:v>84.628770949720689</c:v>
                </c:pt>
                <c:pt idx="10">
                  <c:v>84.070111731843582</c:v>
                </c:pt>
                <c:pt idx="11">
                  <c:v>83.930446927374319</c:v>
                </c:pt>
                <c:pt idx="12">
                  <c:v>85.215642458100604</c:v>
                </c:pt>
                <c:pt idx="13">
                  <c:v>84.656983240223497</c:v>
                </c:pt>
                <c:pt idx="14">
                  <c:v>83.958659217877141</c:v>
                </c:pt>
                <c:pt idx="15">
                  <c:v>90.969832402234658</c:v>
                </c:pt>
                <c:pt idx="16">
                  <c:v>91.109497206703921</c:v>
                </c:pt>
                <c:pt idx="17">
                  <c:v>90.131843575419012</c:v>
                </c:pt>
                <c:pt idx="18">
                  <c:v>90.411173184357551</c:v>
                </c:pt>
                <c:pt idx="19">
                  <c:v>91.109497206703921</c:v>
                </c:pt>
                <c:pt idx="20">
                  <c:v>91.388826815642474</c:v>
                </c:pt>
                <c:pt idx="21">
                  <c:v>91.80782122905029</c:v>
                </c:pt>
                <c:pt idx="22">
                  <c:v>91.109497206703921</c:v>
                </c:pt>
                <c:pt idx="23">
                  <c:v>94.388547486033545</c:v>
                </c:pt>
                <c:pt idx="24">
                  <c:v>94.807541899441361</c:v>
                </c:pt>
                <c:pt idx="25">
                  <c:v>95.226536312849177</c:v>
                </c:pt>
                <c:pt idx="26">
                  <c:v>96.868994413407819</c:v>
                </c:pt>
                <c:pt idx="27">
                  <c:v>104.76005586592179</c:v>
                </c:pt>
                <c:pt idx="28">
                  <c:v>105.57011173184358</c:v>
                </c:pt>
                <c:pt idx="29">
                  <c:v>105.34106145251394</c:v>
                </c:pt>
                <c:pt idx="30">
                  <c:v>103.64273743016761</c:v>
                </c:pt>
                <c:pt idx="31">
                  <c:v>102.83826815642459</c:v>
                </c:pt>
                <c:pt idx="32">
                  <c:v>102.27960893854751</c:v>
                </c:pt>
                <c:pt idx="33">
                  <c:v>104.83826815642462</c:v>
                </c:pt>
                <c:pt idx="34">
                  <c:v>106.29078212290503</c:v>
                </c:pt>
                <c:pt idx="35">
                  <c:v>109.08407821229049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6A-41BE-9E81-644BF64D3586}"/>
            </c:ext>
          </c:extLst>
        </c:ser>
        <c:ser>
          <c:idx val="1"/>
          <c:order val="1"/>
          <c:tx>
            <c:strRef>
              <c:f>'Liq Fuel Prices'!$AQ$74</c:f>
              <c:strCache>
                <c:ptCount val="1"/>
                <c:pt idx="0">
                  <c:v>avg petrol (R/GJ)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0410783027121611"/>
                  <c:y val="-0.119288422280548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'Liq Fuel Prices'!$AL$75:$AL$110</c:f>
              <c:numCache>
                <c:formatCode>General</c:formatCode>
                <c:ptCount val="36"/>
                <c:pt idx="0">
                  <c:v>90.9191912195122</c:v>
                </c:pt>
                <c:pt idx="1">
                  <c:v>93.37621788617885</c:v>
                </c:pt>
                <c:pt idx="2">
                  <c:v>91.494623414634148</c:v>
                </c:pt>
                <c:pt idx="3">
                  <c:v>95.890474308943084</c:v>
                </c:pt>
                <c:pt idx="4">
                  <c:v>102.82889024390244</c:v>
                </c:pt>
                <c:pt idx="5">
                  <c:v>95.002804878048778</c:v>
                </c:pt>
                <c:pt idx="6">
                  <c:v>93.059900487804882</c:v>
                </c:pt>
                <c:pt idx="7">
                  <c:v>96.919687154471546</c:v>
                </c:pt>
                <c:pt idx="8">
                  <c:v>92.085291382113823</c:v>
                </c:pt>
                <c:pt idx="9">
                  <c:v>90.40212731707318</c:v>
                </c:pt>
                <c:pt idx="10">
                  <c:v>93.322130406504058</c:v>
                </c:pt>
                <c:pt idx="11">
                  <c:v>96.596098373983736</c:v>
                </c:pt>
                <c:pt idx="12">
                  <c:v>101.85427154471544</c:v>
                </c:pt>
                <c:pt idx="13">
                  <c:v>107.64713024390244</c:v>
                </c:pt>
                <c:pt idx="14">
                  <c:v>120.40376552845528</c:v>
                </c:pt>
                <c:pt idx="15">
                  <c:v>129.31492552845526</c:v>
                </c:pt>
                <c:pt idx="16">
                  <c:v>135.94140634146339</c:v>
                </c:pt>
                <c:pt idx="17">
                  <c:v>129.4005430894309</c:v>
                </c:pt>
                <c:pt idx="18">
                  <c:v>126.91429382113822</c:v>
                </c:pt>
                <c:pt idx="19">
                  <c:v>129.48783609756094</c:v>
                </c:pt>
                <c:pt idx="20">
                  <c:v>127.02756585365854</c:v>
                </c:pt>
                <c:pt idx="21">
                  <c:v>139.76246780487804</c:v>
                </c:pt>
                <c:pt idx="22">
                  <c:v>142.17416845528456</c:v>
                </c:pt>
                <c:pt idx="23">
                  <c:v>146.26492650406502</c:v>
                </c:pt>
                <c:pt idx="24">
                  <c:v>144.16083121951218</c:v>
                </c:pt>
                <c:pt idx="25">
                  <c:v>145.14574341463413</c:v>
                </c:pt>
                <c:pt idx="26">
                  <c:v>157.81281463414632</c:v>
                </c:pt>
                <c:pt idx="27">
                  <c:v>155.38416357723577</c:v>
                </c:pt>
                <c:pt idx="28">
                  <c:v>153.47083707317074</c:v>
                </c:pt>
                <c:pt idx="29">
                  <c:v>145.28924178861786</c:v>
                </c:pt>
                <c:pt idx="30">
                  <c:v>130.34921268292683</c:v>
                </c:pt>
                <c:pt idx="31">
                  <c:v>137.14341918699188</c:v>
                </c:pt>
                <c:pt idx="32">
                  <c:v>152.74570048780487</c:v>
                </c:pt>
                <c:pt idx="33">
                  <c:v>152.58783739837395</c:v>
                </c:pt>
                <c:pt idx="34">
                  <c:v>153.34203170731706</c:v>
                </c:pt>
                <c:pt idx="35">
                  <c:v>156.47151349593497</c:v>
                </c:pt>
              </c:numCache>
            </c:numRef>
          </c:xVal>
          <c:yVal>
            <c:numRef>
              <c:f>'Liq Fuel Prices'!$AQ$75:$AQ$110</c:f>
              <c:numCache>
                <c:formatCode>0.000000</c:formatCode>
                <c:ptCount val="36"/>
                <c:pt idx="0">
                  <c:v>115.30451713395638</c:v>
                </c:pt>
                <c:pt idx="1">
                  <c:v>115.30451713395638</c:v>
                </c:pt>
                <c:pt idx="2">
                  <c:v>115.21105919003114</c:v>
                </c:pt>
                <c:pt idx="3">
                  <c:v>123.10306334371757</c:v>
                </c:pt>
                <c:pt idx="4">
                  <c:v>123.62227414330218</c:v>
                </c:pt>
                <c:pt idx="5">
                  <c:v>123.62227414330218</c:v>
                </c:pt>
                <c:pt idx="6">
                  <c:v>123.46651090342678</c:v>
                </c:pt>
                <c:pt idx="7">
                  <c:v>123.46651090342678</c:v>
                </c:pt>
                <c:pt idx="8">
                  <c:v>123.46651090342678</c:v>
                </c:pt>
                <c:pt idx="9">
                  <c:v>126.16640706126685</c:v>
                </c:pt>
                <c:pt idx="10">
                  <c:v>126.16640706126685</c:v>
                </c:pt>
                <c:pt idx="11">
                  <c:v>126.16640706126685</c:v>
                </c:pt>
                <c:pt idx="12">
                  <c:v>125.68068535825545</c:v>
                </c:pt>
                <c:pt idx="13">
                  <c:v>127.23831775700933</c:v>
                </c:pt>
                <c:pt idx="14">
                  <c:v>127.23831775700931</c:v>
                </c:pt>
                <c:pt idx="15">
                  <c:v>134.39304257528556</c:v>
                </c:pt>
                <c:pt idx="16">
                  <c:v>134.39304257528556</c:v>
                </c:pt>
                <c:pt idx="17">
                  <c:v>134.39304257528556</c:v>
                </c:pt>
                <c:pt idx="18">
                  <c:v>134.49688473520249</c:v>
                </c:pt>
                <c:pt idx="19">
                  <c:v>134.49688473520249</c:v>
                </c:pt>
                <c:pt idx="20">
                  <c:v>134.49688473520249</c:v>
                </c:pt>
                <c:pt idx="21">
                  <c:v>135.69106957424711</c:v>
                </c:pt>
                <c:pt idx="22">
                  <c:v>135.69106957424711</c:v>
                </c:pt>
                <c:pt idx="23">
                  <c:v>140.27518172377984</c:v>
                </c:pt>
                <c:pt idx="24">
                  <c:v>140.32710280373831</c:v>
                </c:pt>
                <c:pt idx="25">
                  <c:v>140.32710280373831</c:v>
                </c:pt>
                <c:pt idx="26">
                  <c:v>141.69158878504672</c:v>
                </c:pt>
                <c:pt idx="27">
                  <c:v>151.79543094496361</c:v>
                </c:pt>
                <c:pt idx="28">
                  <c:v>152.64693665628249</c:v>
                </c:pt>
                <c:pt idx="29">
                  <c:v>153.32606438213918</c:v>
                </c:pt>
                <c:pt idx="30">
                  <c:v>151.48390446521285</c:v>
                </c:pt>
                <c:pt idx="31">
                  <c:v>150.11941848390444</c:v>
                </c:pt>
                <c:pt idx="32">
                  <c:v>151.20976116303214</c:v>
                </c:pt>
                <c:pt idx="33">
                  <c:v>155.41329179646939</c:v>
                </c:pt>
                <c:pt idx="34">
                  <c:v>156.09865005192108</c:v>
                </c:pt>
                <c:pt idx="35">
                  <c:v>160.42886812045691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6A-41BE-9E81-644BF64D3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493208"/>
        <c:axId val="618493992"/>
      </c:scatterChart>
      <c:valAx>
        <c:axId val="618493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93992"/>
        <c:crosses val="autoZero"/>
        <c:crossBetween val="midCat"/>
      </c:valAx>
      <c:valAx>
        <c:axId val="61849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93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250565819492855"/>
          <c:y val="0.36436468665711635"/>
          <c:w val="0.34138695584990875"/>
          <c:h val="0.511132454948609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'Liq Fuel Prices'!$L$114:$L$116</c:f>
              <c:numCache>
                <c:formatCode>0.00</c:formatCode>
                <c:ptCount val="3"/>
                <c:pt idx="0">
                  <c:v>734.99880000000007</c:v>
                </c:pt>
                <c:pt idx="1">
                  <c:v>801.11969999999997</c:v>
                </c:pt>
                <c:pt idx="2">
                  <c:v>885.78</c:v>
                </c:pt>
              </c:numCache>
            </c:numRef>
          </c:xVal>
          <c:yVal>
            <c:numRef>
              <c:f>'Liq Fuel Prices'!$M$114:$M$116</c:f>
              <c:numCache>
                <c:formatCode>General</c:formatCode>
                <c:ptCount val="3"/>
                <c:pt idx="0">
                  <c:v>515.66999999999996</c:v>
                </c:pt>
                <c:pt idx="1">
                  <c:v>596.66999999999996</c:v>
                </c:pt>
                <c:pt idx="2">
                  <c:v>661.67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BB-4983-BC68-BFF0C9C647E5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'Liq Fuel Prices'!$L$114:$L$116</c:f>
              <c:numCache>
                <c:formatCode>0.00</c:formatCode>
                <c:ptCount val="3"/>
                <c:pt idx="0">
                  <c:v>734.99880000000007</c:v>
                </c:pt>
                <c:pt idx="1">
                  <c:v>801.11969999999997</c:v>
                </c:pt>
                <c:pt idx="2">
                  <c:v>885.78</c:v>
                </c:pt>
              </c:numCache>
            </c:numRef>
          </c:xVal>
          <c:yVal>
            <c:numRef>
              <c:f>'Liq Fuel Prices'!$N$114:$N$116</c:f>
              <c:numCache>
                <c:formatCode>General</c:formatCode>
                <c:ptCount val="3"/>
                <c:pt idx="0">
                  <c:v>535.07899999999995</c:v>
                </c:pt>
                <c:pt idx="1">
                  <c:v>594.07899999999995</c:v>
                </c:pt>
                <c:pt idx="2">
                  <c:v>645.57899999999995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BB-4983-BC68-BFF0C9C64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527407"/>
        <c:axId val="1002528655"/>
      </c:scatterChart>
      <c:valAx>
        <c:axId val="1002527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28655"/>
        <c:crosses val="autoZero"/>
        <c:crossBetween val="midCat"/>
      </c:valAx>
      <c:valAx>
        <c:axId val="100252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27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IEA_WEO!$C$76</c:f>
              <c:strCache>
                <c:ptCount val="1"/>
                <c:pt idx="0">
                  <c:v>  Moderate Low Sulfur Light (dollars per barrel)</c:v>
                </c:pt>
              </c:strCache>
            </c:strRef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IEA_WEO!$D$75:$BB$75</c:f>
              <c:numCache>
                <c:formatCode>General</c:formatCode>
                <c:ptCount val="5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IEA_WEO!$D$76:$BB$76</c:f>
              <c:numCache>
                <c:formatCode>General</c:formatCode>
                <c:ptCount val="51"/>
                <c:pt idx="0">
                  <c:v>62.37</c:v>
                </c:pt>
                <c:pt idx="1">
                  <c:v>79.39</c:v>
                </c:pt>
                <c:pt idx="2" formatCode="0.00">
                  <c:v>94.859168999999994</c:v>
                </c:pt>
                <c:pt idx="3" formatCode="0.00">
                  <c:v>92.33717892988723</c:v>
                </c:pt>
                <c:pt idx="4" formatCode="0.00">
                  <c:v>90.028939491256082</c:v>
                </c:pt>
                <c:pt idx="5" formatCode="0.00">
                  <c:v>85.470846918531095</c:v>
                </c:pt>
                <c:pt idx="6" formatCode="0.00">
                  <c:v>85.953105081231584</c:v>
                </c:pt>
                <c:pt idx="7" formatCode="0.00">
                  <c:v>85.863028332544943</c:v>
                </c:pt>
                <c:pt idx="8" formatCode="0.00">
                  <c:v>88.902546477037802</c:v>
                </c:pt>
                <c:pt idx="9" formatCode="0.00">
                  <c:v>93.522189921013762</c:v>
                </c:pt>
                <c:pt idx="10" formatCode="0.00">
                  <c:v>96.072765473515915</c:v>
                </c:pt>
                <c:pt idx="11" formatCode="0.00">
                  <c:v>98.57016734982632</c:v>
                </c:pt>
                <c:pt idx="12" formatCode="0.00">
                  <c:v>100.82064346844696</c:v>
                </c:pt>
                <c:pt idx="13" formatCode="0.00">
                  <c:v>103.01987618949572</c:v>
                </c:pt>
                <c:pt idx="14" formatCode="0.00">
                  <c:v>105.26615592328017</c:v>
                </c:pt>
                <c:pt idx="15" formatCode="0.00">
                  <c:v>107.5605164347495</c:v>
                </c:pt>
                <c:pt idx="16" formatCode="0.00">
                  <c:v>109.9039729939998</c:v>
                </c:pt>
                <c:pt idx="17" formatCode="0.00">
                  <c:v>112.29758856837999</c:v>
                </c:pt>
                <c:pt idx="18" formatCode="0.00">
                  <c:v>114.74241736451903</c:v>
                </c:pt>
                <c:pt idx="19" formatCode="0.00">
                  <c:v>117.2395661533654</c:v>
                </c:pt>
                <c:pt idx="20" formatCode="0.00">
                  <c:v>119.79015728048071</c:v>
                </c:pt>
                <c:pt idx="21" formatCode="0.00">
                  <c:v>122.39531795849319</c:v>
                </c:pt>
                <c:pt idx="22" formatCode="0.00">
                  <c:v>125.05625229968362</c:v>
                </c:pt>
                <c:pt idx="23" formatCode="0.00">
                  <c:v>127.77411866590658</c:v>
                </c:pt>
                <c:pt idx="24" formatCode="0.00">
                  <c:v>130.55013479722936</c:v>
                </c:pt>
                <c:pt idx="25" formatCode="0.00">
                  <c:v>133.38557878534527</c:v>
                </c:pt>
                <c:pt idx="26" formatCode="0.00">
                  <c:v>136.45761769555207</c:v>
                </c:pt>
                <c:pt idx="27" formatCode="0.00">
                  <c:v>139.59939193623111</c:v>
                </c:pt>
                <c:pt idx="28" formatCode="0.00">
                  <c:v>142.81250569253899</c:v>
                </c:pt>
                <c:pt idx="29" formatCode="0.00">
                  <c:v>146.09853297381929</c:v>
                </c:pt>
                <c:pt idx="30" formatCode="0.00">
                  <c:v>149.45916751925429</c:v>
                </c:pt>
                <c:pt idx="31" formatCode="0.00">
                  <c:v>152.89610209461301</c:v>
                </c:pt>
                <c:pt idx="32">
                  <c:v>155.27101346119434</c:v>
                </c:pt>
                <c:pt idx="33">
                  <c:v>158.49110875989118</c:v>
                </c:pt>
                <c:pt idx="34">
                  <c:v>161.71787616588426</c:v>
                </c:pt>
                <c:pt idx="35">
                  <c:v>164.93669887188025</c:v>
                </c:pt>
                <c:pt idx="36">
                  <c:v>168.1306741474591</c:v>
                </c:pt>
                <c:pt idx="46">
                  <c:v>171.28066006182507</c:v>
                </c:pt>
                <c:pt idx="47">
                  <c:v>174.40702666770994</c:v>
                </c:pt>
                <c:pt idx="48">
                  <c:v>177.51341636719098</c:v>
                </c:pt>
                <c:pt idx="49">
                  <c:v>180.61026731443872</c:v>
                </c:pt>
                <c:pt idx="50">
                  <c:v>183.71716629037019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07-4A27-B50F-610619276C3E}"/>
            </c:ext>
          </c:extLst>
        </c:ser>
        <c:ser>
          <c:idx val="2"/>
          <c:order val="1"/>
          <c:tx>
            <c:strRef>
              <c:f>IEA_WEO!$C$77</c:f>
              <c:strCache>
                <c:ptCount val="1"/>
                <c:pt idx="0">
                  <c:v>high</c:v>
                </c:pt>
              </c:strCache>
            </c:strRef>
          </c:tx>
          <c:spPr>
            <a:ln w="381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IEA_WEO!$D$75:$BB$75</c:f>
              <c:numCache>
                <c:formatCode>General</c:formatCode>
                <c:ptCount val="5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IEA_WEO!$D$77:$BB$77</c:f>
              <c:numCache>
                <c:formatCode>General</c:formatCode>
                <c:ptCount val="51"/>
                <c:pt idx="0">
                  <c:v>62.37</c:v>
                </c:pt>
                <c:pt idx="1">
                  <c:v>79.39</c:v>
                </c:pt>
                <c:pt idx="2">
                  <c:v>94.859168999999994</c:v>
                </c:pt>
                <c:pt idx="3" formatCode="0.00">
                  <c:v>92.33717892988723</c:v>
                </c:pt>
                <c:pt idx="4" formatCode="0.00">
                  <c:v>98.513554427606991</c:v>
                </c:pt>
                <c:pt idx="5" formatCode="0.00">
                  <c:v>105.10306377596994</c:v>
                </c:pt>
                <c:pt idx="6" formatCode="0.00">
                  <c:v>112.13334123694902</c:v>
                </c:pt>
                <c:pt idx="7" formatCode="0.00">
                  <c:v>119.63386951082258</c:v>
                </c:pt>
                <c:pt idx="8" formatCode="0.00">
                  <c:v>127.63610337704354</c:v>
                </c:pt>
                <c:pt idx="9" formatCode="0.00">
                  <c:v>136.17360160536808</c:v>
                </c:pt>
                <c:pt idx="10" formatCode="0.00">
                  <c:v>145.28216769043632</c:v>
                </c:pt>
                <c:pt idx="11">
                  <c:v>155</c:v>
                </c:pt>
                <c:pt idx="12" formatCode="0.00">
                  <c:v>159.00161221441482</c:v>
                </c:pt>
                <c:pt idx="13" formatCode="0.00">
                  <c:v>163.10653346311707</c:v>
                </c:pt>
                <c:pt idx="14" formatCode="0.00">
                  <c:v>167.31743086025816</c:v>
                </c:pt>
                <c:pt idx="15" formatCode="0.00">
                  <c:v>171.63704037648341</c:v>
                </c:pt>
                <c:pt idx="16" formatCode="0.00">
                  <c:v>176.06816861659016</c:v>
                </c:pt>
                <c:pt idx="17" formatCode="0.00">
                  <c:v>180.61369464307916</c:v>
                </c:pt>
                <c:pt idx="18" formatCode="0.00">
                  <c:v>185.27657184678452</c:v>
                </c:pt>
                <c:pt idx="19" formatCode="0.00">
                  <c:v>190.05982986579741</c:v>
                </c:pt>
                <c:pt idx="20" formatCode="0.00">
                  <c:v>194.96657655393017</c:v>
                </c:pt>
                <c:pt idx="21">
                  <c:v>200</c:v>
                </c:pt>
                <c:pt idx="22" formatCode="0.00">
                  <c:v>204.1002818892168</c:v>
                </c:pt>
                <c:pt idx="23" formatCode="0.00">
                  <c:v>208.2846253362888</c:v>
                </c:pt>
                <c:pt idx="24" formatCode="0.00">
                  <c:v>212.55475372163227</c:v>
                </c:pt>
                <c:pt idx="25" formatCode="0.00">
                  <c:v>216.91242575739099</c:v>
                </c:pt>
                <c:pt idx="26" formatCode="0.00">
                  <c:v>221.35943621178657</c:v>
                </c:pt>
                <c:pt idx="27" formatCode="0.00">
                  <c:v>225.89761664831872</c:v>
                </c:pt>
                <c:pt idx="28" formatCode="0.00">
                  <c:v>230.52883618012044</c:v>
                </c:pt>
                <c:pt idx="29" formatCode="0.00">
                  <c:v>235.25500223977832</c:v>
                </c:pt>
                <c:pt idx="30" formatCode="0.00">
                  <c:v>240.07806136493542</c:v>
                </c:pt>
                <c:pt idx="31">
                  <c:v>245</c:v>
                </c:pt>
                <c:pt idx="32">
                  <c:v>248.8022183638368</c:v>
                </c:pt>
                <c:pt idx="33">
                  <c:v>253.45915016798972</c:v>
                </c:pt>
                <c:pt idx="34">
                  <c:v>258.116730073074</c:v>
                </c:pt>
                <c:pt idx="35">
                  <c:v>262.76470012501886</c:v>
                </c:pt>
                <c:pt idx="36">
                  <c:v>267.39402937401974</c:v>
                </c:pt>
                <c:pt idx="46">
                  <c:v>271.99802193637879</c:v>
                </c:pt>
                <c:pt idx="47">
                  <c:v>276.57376315881811</c:v>
                </c:pt>
                <c:pt idx="48">
                  <c:v>281.12396643489228</c:v>
                </c:pt>
                <c:pt idx="49">
                  <c:v>285.65928752739273</c:v>
                </c:pt>
                <c:pt idx="50">
                  <c:v>290.20117570827824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7-4A27-B50F-610619276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5952"/>
        <c:axId val="618496344"/>
      </c:lineChart>
      <c:catAx>
        <c:axId val="618495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6344"/>
        <c:crosses val="autoZero"/>
        <c:auto val="1"/>
        <c:lblAlgn val="ctr"/>
        <c:lblOffset val="100"/>
        <c:noMultiLvlLbl val="0"/>
      </c:catAx>
      <c:valAx>
        <c:axId val="618496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59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2754828985690057"/>
          <c:y val="0.44087646237298211"/>
          <c:w val="0.26236138053092112"/>
          <c:h val="0.103649764332720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ZA"/>
              <a:t>Fuel Price Projections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IEA_WEO!$BI$18</c:f>
              <c:strCache>
                <c:ptCount val="1"/>
                <c:pt idx="0">
                  <c:v>Coal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IEA_WEO!$BJ$18:$BP$18</c:f>
              <c:numCache>
                <c:formatCode>General</c:formatCode>
                <c:ptCount val="7"/>
                <c:pt idx="0">
                  <c:v>12.09</c:v>
                </c:pt>
                <c:pt idx="1">
                  <c:v>15.98453488</c:v>
                </c:pt>
                <c:pt idx="2">
                  <c:v>19.88</c:v>
                </c:pt>
                <c:pt idx="3">
                  <c:v>21.242425820000001</c:v>
                </c:pt>
                <c:pt idx="4">
                  <c:v>22.6</c:v>
                </c:pt>
                <c:pt idx="5">
                  <c:v>23.378894710000001</c:v>
                </c:pt>
                <c:pt idx="6">
                  <c:v>24.154876730000002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F-451C-983D-EDD01E7B7039}"/>
            </c:ext>
          </c:extLst>
        </c:ser>
        <c:ser>
          <c:idx val="1"/>
          <c:order val="1"/>
          <c:tx>
            <c:strRef>
              <c:f>IEA_WEO!$BI$19</c:f>
              <c:strCache>
                <c:ptCount val="1"/>
                <c:pt idx="0">
                  <c:v>Coal Discard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IEA_WEO!$BJ$19:$BP$19</c:f>
              <c:numCache>
                <c:formatCode>General</c:formatCode>
                <c:ptCount val="7"/>
                <c:pt idx="0">
                  <c:v>6.05</c:v>
                </c:pt>
                <c:pt idx="1">
                  <c:v>7.99</c:v>
                </c:pt>
                <c:pt idx="2">
                  <c:v>9.94</c:v>
                </c:pt>
                <c:pt idx="3">
                  <c:v>10.62</c:v>
                </c:pt>
                <c:pt idx="4">
                  <c:v>11.3</c:v>
                </c:pt>
                <c:pt idx="5">
                  <c:v>11.69</c:v>
                </c:pt>
                <c:pt idx="6">
                  <c:v>12.08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1F-451C-983D-EDD01E7B7039}"/>
            </c:ext>
          </c:extLst>
        </c:ser>
        <c:ser>
          <c:idx val="3"/>
          <c:order val="2"/>
          <c:tx>
            <c:strRef>
              <c:f>IEA_WEO!$BI$21</c:f>
              <c:strCache>
                <c:ptCount val="1"/>
                <c:pt idx="0">
                  <c:v>Nuclear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IEA_WEO!$BJ$21:$BP$21</c:f>
              <c:numCache>
                <c:formatCode>General</c:formatCode>
                <c:ptCount val="7"/>
                <c:pt idx="0">
                  <c:v>6.25</c:v>
                </c:pt>
                <c:pt idx="1">
                  <c:v>6.25</c:v>
                </c:pt>
                <c:pt idx="2">
                  <c:v>6.25</c:v>
                </c:pt>
                <c:pt idx="3">
                  <c:v>6.25</c:v>
                </c:pt>
                <c:pt idx="4">
                  <c:v>6.25</c:v>
                </c:pt>
                <c:pt idx="5">
                  <c:v>6.25</c:v>
                </c:pt>
                <c:pt idx="6">
                  <c:v>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1F-451C-983D-EDD01E7B7039}"/>
            </c:ext>
          </c:extLst>
        </c:ser>
        <c:ser>
          <c:idx val="5"/>
          <c:order val="3"/>
          <c:tx>
            <c:strRef>
              <c:f>IEA_WEO!$BI$23</c:f>
              <c:strCache>
                <c:ptCount val="1"/>
                <c:pt idx="0">
                  <c:v>Gas Indigenous Ibhubezi Piped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IEA_WEO!$BJ$23:$BP$23</c:f>
              <c:numCache>
                <c:formatCode>General</c:formatCode>
                <c:ptCount val="7"/>
                <c:pt idx="0">
                  <c:v>68.779678025794695</c:v>
                </c:pt>
                <c:pt idx="1">
                  <c:v>73.365306398604005</c:v>
                </c:pt>
                <c:pt idx="2">
                  <c:v>82.222700744763003</c:v>
                </c:pt>
                <c:pt idx="3">
                  <c:v>90.169470927502701</c:v>
                </c:pt>
                <c:pt idx="4">
                  <c:v>98.945645803416596</c:v>
                </c:pt>
                <c:pt idx="5">
                  <c:v>108.814679329317</c:v>
                </c:pt>
                <c:pt idx="6">
                  <c:v>120.341316729211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1F-451C-983D-EDD01E7B7039}"/>
            </c:ext>
          </c:extLst>
        </c:ser>
        <c:ser>
          <c:idx val="6"/>
          <c:order val="4"/>
          <c:tx>
            <c:strRef>
              <c:f>IEA_WEO!$BI$24</c:f>
              <c:strCache>
                <c:ptCount val="1"/>
                <c:pt idx="0">
                  <c:v>Gas Indigenous Piped Shale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IEA_WEO!$BJ$24:$BP$24</c:f>
              <c:numCache>
                <c:formatCode>General</c:formatCode>
                <c:ptCount val="7"/>
                <c:pt idx="0">
                  <c:v>57.641519276979601</c:v>
                </c:pt>
                <c:pt idx="1">
                  <c:v>61.310021975227002</c:v>
                </c:pt>
                <c:pt idx="2">
                  <c:v>68.395937452154101</c:v>
                </c:pt>
                <c:pt idx="3">
                  <c:v>74.753353598345996</c:v>
                </c:pt>
                <c:pt idx="4">
                  <c:v>81.774293499077103</c:v>
                </c:pt>
                <c:pt idx="5">
                  <c:v>89.6695203197974</c:v>
                </c:pt>
                <c:pt idx="6">
                  <c:v>98.890830239712699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1F-451C-983D-EDD01E7B7039}"/>
            </c:ext>
          </c:extLst>
        </c:ser>
        <c:ser>
          <c:idx val="7"/>
          <c:order val="5"/>
          <c:tx>
            <c:strRef>
              <c:f>IEA_WEO!$BI$25</c:f>
              <c:strCache>
                <c:ptCount val="1"/>
                <c:pt idx="0">
                  <c:v>Gas Northern Mozambique Piped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IEA_WEO!$BJ$25:$BP$25</c:f>
              <c:numCache>
                <c:formatCode>General</c:formatCode>
                <c:ptCount val="7"/>
                <c:pt idx="0">
                  <c:v>98.858897655040195</c:v>
                </c:pt>
                <c:pt idx="1">
                  <c:v>101.61027467872501</c:v>
                </c:pt>
                <c:pt idx="2">
                  <c:v>106.924711286421</c:v>
                </c:pt>
                <c:pt idx="3">
                  <c:v>111.69277339606499</c:v>
                </c:pt>
                <c:pt idx="4">
                  <c:v>116.958478321613</c:v>
                </c:pt>
                <c:pt idx="5">
                  <c:v>122.879898437153</c:v>
                </c:pt>
                <c:pt idx="6">
                  <c:v>129.79588087709001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1F-451C-983D-EDD01E7B7039}"/>
            </c:ext>
          </c:extLst>
        </c:ser>
        <c:ser>
          <c:idx val="8"/>
          <c:order val="6"/>
          <c:tx>
            <c:strRef>
              <c:f>IEA_WEO!$BI$26</c:f>
              <c:strCache>
                <c:ptCount val="1"/>
                <c:pt idx="0">
                  <c:v>Gas Regasified LNG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IEA_WEO!$BJ$26:$BP$26</c:f>
              <c:numCache>
                <c:formatCode>General</c:formatCode>
                <c:ptCount val="7"/>
                <c:pt idx="0">
                  <c:v>69.726846827097404</c:v>
                </c:pt>
                <c:pt idx="1">
                  <c:v>74.862750604643693</c:v>
                </c:pt>
                <c:pt idx="2">
                  <c:v>84.783032272341799</c:v>
                </c:pt>
                <c:pt idx="3">
                  <c:v>93.683414877010307</c:v>
                </c:pt>
                <c:pt idx="4">
                  <c:v>103.512730738033</c:v>
                </c:pt>
                <c:pt idx="5">
                  <c:v>114.56604828704199</c:v>
                </c:pt>
                <c:pt idx="6">
                  <c:v>127.475882174923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1F-451C-983D-EDD01E7B7039}"/>
            </c:ext>
          </c:extLst>
        </c:ser>
        <c:ser>
          <c:idx val="9"/>
          <c:order val="7"/>
          <c:tx>
            <c:strRef>
              <c:f>IEA_WEO!$BI$27</c:f>
              <c:strCache>
                <c:ptCount val="1"/>
                <c:pt idx="0">
                  <c:v>FSRU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IEA_WEO!$BJ$27:$BP$27</c:f>
              <c:numCache>
                <c:formatCode>General</c:formatCode>
                <c:ptCount val="7"/>
                <c:pt idx="0">
                  <c:v>72.5910425278975</c:v>
                </c:pt>
                <c:pt idx="1">
                  <c:v>77.726946305443803</c:v>
                </c:pt>
                <c:pt idx="2">
                  <c:v>87.647227973141895</c:v>
                </c:pt>
                <c:pt idx="3">
                  <c:v>96.547610577810403</c:v>
                </c:pt>
                <c:pt idx="4">
                  <c:v>106.376926438834</c:v>
                </c:pt>
                <c:pt idx="5">
                  <c:v>117.430243987842</c:v>
                </c:pt>
                <c:pt idx="6">
                  <c:v>130.34007787572301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F1F-451C-983D-EDD01E7B7039}"/>
            </c:ext>
          </c:extLst>
        </c:ser>
        <c:ser>
          <c:idx val="2"/>
          <c:order val="8"/>
          <c:tx>
            <c:strRef>
              <c:f>IEA_WEO!$BI$28</c:f>
              <c:strCache>
                <c:ptCount val="1"/>
                <c:pt idx="0">
                  <c:v>IRP21010 Gas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IEA_WEO!$BJ$28:$BP$28</c:f>
              <c:numCache>
                <c:formatCode>General</c:formatCode>
                <c:ptCount val="7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F1F-451C-983D-EDD01E7B7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7128"/>
        <c:axId val="553958024"/>
      </c:lineChart>
      <c:dateAx>
        <c:axId val="618497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53958024"/>
        <c:crosses val="autoZero"/>
        <c:auto val="0"/>
        <c:lblOffset val="100"/>
        <c:baseTimeUnit val="days"/>
        <c:majorUnit val="5"/>
        <c:majorTimeUnit val="days"/>
      </c:dateAx>
      <c:valAx>
        <c:axId val="553958024"/>
        <c:scaling>
          <c:orientation val="minMax"/>
          <c:max val="15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ZA"/>
                  <a:t>2010 R/GJ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71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9037199124726475"/>
          <c:y val="0.8715450614301723"/>
          <c:w val="0.61487964989059096"/>
          <c:h val="0.10731711577311825"/>
        </c:manualLayout>
      </c:layout>
      <c:overlay val="0"/>
      <c:txPr>
        <a:bodyPr/>
        <a:lstStyle/>
        <a:p>
          <a:pPr>
            <a:defRPr sz="6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IEA_WEO!$BY$94</c:f>
              <c:strCache>
                <c:ptCount val="1"/>
                <c:pt idx="0">
                  <c:v>Current Policies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IEA_WEO!$BZ$94:$CC$94</c:f>
              <c:numCache>
                <c:formatCode>General</c:formatCode>
                <c:ptCount val="4"/>
                <c:pt idx="0">
                  <c:v>62</c:v>
                </c:pt>
                <c:pt idx="1">
                  <c:v>105</c:v>
                </c:pt>
                <c:pt idx="2">
                  <c:v>127</c:v>
                </c:pt>
                <c:pt idx="3">
                  <c:v>140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4-4102-AABE-71058A99AF40}"/>
            </c:ext>
          </c:extLst>
        </c:ser>
        <c:ser>
          <c:idx val="1"/>
          <c:order val="1"/>
          <c:tx>
            <c:strRef>
              <c:f>IEA_WEO!$BY$95</c:f>
              <c:strCache>
                <c:ptCount val="1"/>
                <c:pt idx="0">
                  <c:v>Stated Policies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IEA_WEO!$BZ$95:$CC$95</c:f>
              <c:numCache>
                <c:formatCode>General</c:formatCode>
                <c:ptCount val="4"/>
                <c:pt idx="0">
                  <c:v>62</c:v>
                </c:pt>
                <c:pt idx="1">
                  <c:v>84</c:v>
                </c:pt>
                <c:pt idx="2">
                  <c:v>96</c:v>
                </c:pt>
                <c:pt idx="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04-4102-AABE-71058A99AF40}"/>
            </c:ext>
          </c:extLst>
        </c:ser>
        <c:ser>
          <c:idx val="2"/>
          <c:order val="2"/>
          <c:tx>
            <c:strRef>
              <c:f>IEA_WEO!$BY$96</c:f>
              <c:strCache>
                <c:ptCount val="1"/>
                <c:pt idx="0">
                  <c:v>Sustainable Dev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IEA_WEO!$BZ$96:$CC$96</c:f>
              <c:numCache>
                <c:formatCode>General</c:formatCode>
                <c:ptCount val="4"/>
                <c:pt idx="0">
                  <c:v>62</c:v>
                </c:pt>
                <c:pt idx="1">
                  <c:v>60</c:v>
                </c:pt>
                <c:pt idx="2">
                  <c:v>58</c:v>
                </c:pt>
                <c:pt idx="3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04-4102-AABE-71058A99A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28176"/>
        <c:axId val="685854304"/>
      </c:scatterChart>
      <c:valAx>
        <c:axId val="41342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854304"/>
        <c:crosses val="autoZero"/>
        <c:crossBetween val="midCat"/>
      </c:valAx>
      <c:valAx>
        <c:axId val="68585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28176"/>
        <c:crosses val="autoZero"/>
        <c:crossBetween val="midCat"/>
      </c:valAx>
      <c:spPr>
        <a:noFill/>
        <a:ln>
          <a:solidFill>
            <a:schemeClr val="accent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2">
          <a:alpha val="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IEA_WEO!$CJ$94</c:f>
              <c:strCache>
                <c:ptCount val="1"/>
                <c:pt idx="0">
                  <c:v>Stated Policies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IEA_WEO!$CK$94:$CR$94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71</c:v>
                </c:pt>
                <c:pt idx="4">
                  <c:v>76</c:v>
                </c:pt>
                <c:pt idx="5">
                  <c:v>81</c:v>
                </c:pt>
                <c:pt idx="6">
                  <c:v>85</c:v>
                </c:pt>
                <c:pt idx="7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1D-422C-A74D-6172D887029C}"/>
            </c:ext>
          </c:extLst>
        </c:ser>
        <c:ser>
          <c:idx val="1"/>
          <c:order val="1"/>
          <c:tx>
            <c:strRef>
              <c:f>IEA_WEO!$CJ$95</c:f>
              <c:strCache>
                <c:ptCount val="1"/>
                <c:pt idx="0">
                  <c:v>Sustainable Development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IEA_WEO!$CK$95:$CR$95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57</c:v>
                </c:pt>
                <c:pt idx="4" formatCode="0.00">
                  <c:v>55.666666666666664</c:v>
                </c:pt>
                <c:pt idx="5" formatCode="0.00">
                  <c:v>54.333333333333336</c:v>
                </c:pt>
                <c:pt idx="6">
                  <c:v>53</c:v>
                </c:pt>
                <c:pt idx="7" formatCode="0.00">
                  <c:v>50.333333333333329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1D-422C-A74D-6172D887029C}"/>
            </c:ext>
          </c:extLst>
        </c:ser>
        <c:ser>
          <c:idx val="2"/>
          <c:order val="2"/>
          <c:tx>
            <c:strRef>
              <c:f>IEA_WEO!$CJ$96</c:f>
              <c:strCache>
                <c:ptCount val="1"/>
                <c:pt idx="0">
                  <c:v>Delayed Recovery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IEA_WEO!$CK$96:$CR$96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59</c:v>
                </c:pt>
                <c:pt idx="4" formatCode="0.00">
                  <c:v>63.333333333333336</c:v>
                </c:pt>
                <c:pt idx="5" formatCode="0.00">
                  <c:v>67.666666666666671</c:v>
                </c:pt>
                <c:pt idx="6">
                  <c:v>72</c:v>
                </c:pt>
                <c:pt idx="7" formatCode="0.00">
                  <c:v>80.666666666666657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1D-422C-A74D-6172D8870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534016"/>
        <c:axId val="822506544"/>
      </c:scatterChart>
      <c:valAx>
        <c:axId val="67653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06544"/>
        <c:crosses val="autoZero"/>
        <c:crossBetween val="midCat"/>
      </c:valAx>
      <c:valAx>
        <c:axId val="82250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534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emf"/><Relationship Id="rId13" Type="http://schemas.openxmlformats.org/officeDocument/2006/relationships/image" Target="../media/image15.png"/><Relationship Id="rId3" Type="http://schemas.openxmlformats.org/officeDocument/2006/relationships/image" Target="../media/image8.png"/><Relationship Id="rId7" Type="http://schemas.openxmlformats.org/officeDocument/2006/relationships/image" Target="../media/image11.png"/><Relationship Id="rId12" Type="http://schemas.openxmlformats.org/officeDocument/2006/relationships/image" Target="../media/image14.png"/><Relationship Id="rId2" Type="http://schemas.openxmlformats.org/officeDocument/2006/relationships/image" Target="../media/image7.png"/><Relationship Id="rId1" Type="http://schemas.openxmlformats.org/officeDocument/2006/relationships/chart" Target="../charts/chart5.xml"/><Relationship Id="rId6" Type="http://schemas.openxmlformats.org/officeDocument/2006/relationships/image" Target="../media/image10.emf"/><Relationship Id="rId11" Type="http://schemas.openxmlformats.org/officeDocument/2006/relationships/chart" Target="../charts/chart8.xml"/><Relationship Id="rId5" Type="http://schemas.openxmlformats.org/officeDocument/2006/relationships/image" Target="../media/image9.emf"/><Relationship Id="rId10" Type="http://schemas.openxmlformats.org/officeDocument/2006/relationships/image" Target="../media/image13.png"/><Relationship Id="rId4" Type="http://schemas.openxmlformats.org/officeDocument/2006/relationships/chart" Target="../charts/chart6.xml"/><Relationship Id="rId9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0</xdr:colOff>
      <xdr:row>115</xdr:row>
      <xdr:rowOff>0</xdr:rowOff>
    </xdr:from>
    <xdr:ext cx="5709285" cy="3507105"/>
    <xdr:pic>
      <xdr:nvPicPr>
        <xdr:cNvPr id="2" name="Picture 1">
          <a:extLst>
            <a:ext uri="{FF2B5EF4-FFF2-40B4-BE49-F238E27FC236}">
              <a16:creationId xmlns:a16="http://schemas.microsoft.com/office/drawing/2014/main" id="{DA21A80F-5FD8-40F0-9498-0A2B44B46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23622000"/>
          <a:ext cx="5709285" cy="350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0</xdr:colOff>
      <xdr:row>141</xdr:row>
      <xdr:rowOff>0</xdr:rowOff>
    </xdr:from>
    <xdr:ext cx="4945380" cy="3145155"/>
    <xdr:pic>
      <xdr:nvPicPr>
        <xdr:cNvPr id="3" name="Picture 2">
          <a:extLst>
            <a:ext uri="{FF2B5EF4-FFF2-40B4-BE49-F238E27FC236}">
              <a16:creationId xmlns:a16="http://schemas.microsoft.com/office/drawing/2014/main" id="{E7146EDB-8331-4BCD-8056-A15178D3E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575000"/>
          <a:ext cx="4945380" cy="31451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0</xdr:colOff>
      <xdr:row>161</xdr:row>
      <xdr:rowOff>0</xdr:rowOff>
    </xdr:from>
    <xdr:ext cx="4853940" cy="3507105"/>
    <xdr:pic>
      <xdr:nvPicPr>
        <xdr:cNvPr id="4" name="Picture 3">
          <a:extLst>
            <a:ext uri="{FF2B5EF4-FFF2-40B4-BE49-F238E27FC236}">
              <a16:creationId xmlns:a16="http://schemas.microsoft.com/office/drawing/2014/main" id="{1E22727F-FCA1-40D6-9973-16EF235E2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385000"/>
          <a:ext cx="4853940" cy="350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0</xdr:colOff>
      <xdr:row>161</xdr:row>
      <xdr:rowOff>0</xdr:rowOff>
    </xdr:from>
    <xdr:ext cx="4939665" cy="3491865"/>
    <xdr:pic>
      <xdr:nvPicPr>
        <xdr:cNvPr id="5" name="Picture 4">
          <a:extLst>
            <a:ext uri="{FF2B5EF4-FFF2-40B4-BE49-F238E27FC236}">
              <a16:creationId xmlns:a16="http://schemas.microsoft.com/office/drawing/2014/main" id="{950F1404-8148-4E31-8A90-485991F65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0" y="32385000"/>
          <a:ext cx="4939665" cy="3491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14</xdr:col>
      <xdr:colOff>434340</xdr:colOff>
      <xdr:row>139</xdr:row>
      <xdr:rowOff>68580</xdr:rowOff>
    </xdr:from>
    <xdr:ext cx="4852035" cy="3438525"/>
    <xdr:pic>
      <xdr:nvPicPr>
        <xdr:cNvPr id="6" name="Picture 5">
          <a:extLst>
            <a:ext uri="{FF2B5EF4-FFF2-40B4-BE49-F238E27FC236}">
              <a16:creationId xmlns:a16="http://schemas.microsoft.com/office/drawing/2014/main" id="{80DD0B58-4B58-4C31-90B7-D165EC5D1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2340" y="28262580"/>
          <a:ext cx="4852035" cy="3438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102870</xdr:colOff>
      <xdr:row>31</xdr:row>
      <xdr:rowOff>171450</xdr:rowOff>
    </xdr:from>
    <xdr:to>
      <xdr:col>47</xdr:col>
      <xdr:colOff>213360</xdr:colOff>
      <xdr:row>60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B6ED2-606A-4AC2-BB0B-8285A232A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117687</xdr:colOff>
      <xdr:row>82</xdr:row>
      <xdr:rowOff>151553</xdr:rowOff>
    </xdr:from>
    <xdr:to>
      <xdr:col>29</xdr:col>
      <xdr:colOff>365337</xdr:colOff>
      <xdr:row>106</xdr:row>
      <xdr:rowOff>170603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427791-84FA-4FF8-93BB-9BDC56429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467783</xdr:colOff>
      <xdr:row>83</xdr:row>
      <xdr:rowOff>93131</xdr:rowOff>
    </xdr:from>
    <xdr:to>
      <xdr:col>33</xdr:col>
      <xdr:colOff>459316</xdr:colOff>
      <xdr:row>97</xdr:row>
      <xdr:rowOff>184148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3E781F-6653-45C8-8681-CC3B61E37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39</xdr:col>
      <xdr:colOff>0</xdr:colOff>
      <xdr:row>82</xdr:row>
      <xdr:rowOff>42334</xdr:rowOff>
    </xdr:from>
    <xdr:ext cx="9154033" cy="2712955"/>
    <xdr:pic>
      <xdr:nvPicPr>
        <xdr:cNvPr id="5" name="Picture 4">
          <a:extLst>
            <a:ext uri="{FF2B5EF4-FFF2-40B4-BE49-F238E27FC236}">
              <a16:creationId xmlns:a16="http://schemas.microsoft.com/office/drawing/2014/main" id="{54EFE54D-1FA8-47D5-BCCF-41FB21563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659975" y="15663334"/>
          <a:ext cx="9154033" cy="2712955"/>
        </a:xfrm>
        <a:prstGeom prst="rect">
          <a:avLst/>
        </a:prstGeom>
      </xdr:spPr>
    </xdr:pic>
    <xdr:clientData/>
  </xdr:oneCellAnchor>
  <xdr:twoCellAnchor>
    <xdr:from>
      <xdr:col>14</xdr:col>
      <xdr:colOff>561975</xdr:colOff>
      <xdr:row>101</xdr:row>
      <xdr:rowOff>171450</xdr:rowOff>
    </xdr:from>
    <xdr:to>
      <xdr:col>22</xdr:col>
      <xdr:colOff>485775</xdr:colOff>
      <xdr:row>116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6A45D6-352F-48F2-94D2-2DAAAACFB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87</xdr:row>
      <xdr:rowOff>99060</xdr:rowOff>
    </xdr:from>
    <xdr:to>
      <xdr:col>20</xdr:col>
      <xdr:colOff>525780</xdr:colOff>
      <xdr:row>116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B517D3-A088-4399-BFF9-E727ACDCA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76200</xdr:colOff>
      <xdr:row>114</xdr:row>
      <xdr:rowOff>0</xdr:rowOff>
    </xdr:from>
    <xdr:ext cx="6004560" cy="5379720"/>
    <xdr:pic>
      <xdr:nvPicPr>
        <xdr:cNvPr id="3" name="Picture 2" descr="temp.tiff">
          <a:extLst>
            <a:ext uri="{FF2B5EF4-FFF2-40B4-BE49-F238E27FC236}">
              <a16:creationId xmlns:a16="http://schemas.microsoft.com/office/drawing/2014/main" id="{707FAABF-8CCF-4EBC-8ED1-AC548110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21717000"/>
          <a:ext cx="6004560" cy="5379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21</xdr:col>
      <xdr:colOff>411480</xdr:colOff>
      <xdr:row>87</xdr:row>
      <xdr:rowOff>60960</xdr:rowOff>
    </xdr:from>
    <xdr:ext cx="7970520" cy="3764280"/>
    <xdr:pic>
      <xdr:nvPicPr>
        <xdr:cNvPr id="4" name="Picture 1">
          <a:extLst>
            <a:ext uri="{FF2B5EF4-FFF2-40B4-BE49-F238E27FC236}">
              <a16:creationId xmlns:a16="http://schemas.microsoft.com/office/drawing/2014/main" id="{3217A35E-7399-49B1-A329-D26D5561E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13480" y="16634460"/>
          <a:ext cx="7970520" cy="3764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59</xdr:col>
      <xdr:colOff>403860</xdr:colOff>
      <xdr:row>30</xdr:row>
      <xdr:rowOff>68580</xdr:rowOff>
    </xdr:from>
    <xdr:to>
      <xdr:col>67</xdr:col>
      <xdr:colOff>541020</xdr:colOff>
      <xdr:row>55</xdr:row>
      <xdr:rowOff>175260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34A04C80-8922-4D94-81DC-E00C2447A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38</xdr:col>
      <xdr:colOff>0</xdr:colOff>
      <xdr:row>53</xdr:row>
      <xdr:rowOff>0</xdr:rowOff>
    </xdr:from>
    <xdr:ext cx="5530850" cy="5000625"/>
    <xdr:pic>
      <xdr:nvPicPr>
        <xdr:cNvPr id="6" name="Picture 5">
          <a:extLst>
            <a:ext uri="{FF2B5EF4-FFF2-40B4-BE49-F238E27FC236}">
              <a16:creationId xmlns:a16="http://schemas.microsoft.com/office/drawing/2014/main" id="{398DFC5D-11FB-40DD-A55C-20D15F2C5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00" y="10096500"/>
          <a:ext cx="553085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50</xdr:col>
      <xdr:colOff>0</xdr:colOff>
      <xdr:row>55</xdr:row>
      <xdr:rowOff>0</xdr:rowOff>
    </xdr:from>
    <xdr:ext cx="7283450" cy="4975225"/>
    <xdr:pic>
      <xdr:nvPicPr>
        <xdr:cNvPr id="7" name="Picture 6">
          <a:extLst>
            <a:ext uri="{FF2B5EF4-FFF2-40B4-BE49-F238E27FC236}">
              <a16:creationId xmlns:a16="http://schemas.microsoft.com/office/drawing/2014/main" id="{0D7FD712-2A9E-495D-AD78-79BC7605A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0" y="10477500"/>
          <a:ext cx="7283450" cy="497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62</xdr:col>
      <xdr:colOff>0</xdr:colOff>
      <xdr:row>68</xdr:row>
      <xdr:rowOff>0</xdr:rowOff>
    </xdr:from>
    <xdr:ext cx="6855179" cy="5398843"/>
    <xdr:pic>
      <xdr:nvPicPr>
        <xdr:cNvPr id="8" name="Picture 7">
          <a:extLst>
            <a:ext uri="{FF2B5EF4-FFF2-40B4-BE49-F238E27FC236}">
              <a16:creationId xmlns:a16="http://schemas.microsoft.com/office/drawing/2014/main" id="{6A665D4C-0CEF-43C9-A7CC-382B3CFB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0" y="12954000"/>
          <a:ext cx="6855179" cy="5398843"/>
        </a:xfrm>
        <a:prstGeom prst="rect">
          <a:avLst/>
        </a:prstGeom>
      </xdr:spPr>
    </xdr:pic>
    <xdr:clientData/>
  </xdr:oneCellAnchor>
  <xdr:oneCellAnchor>
    <xdr:from>
      <xdr:col>75</xdr:col>
      <xdr:colOff>266700</xdr:colOff>
      <xdr:row>68</xdr:row>
      <xdr:rowOff>114300</xdr:rowOff>
    </xdr:from>
    <xdr:ext cx="8026977" cy="4800600"/>
    <xdr:pic>
      <xdr:nvPicPr>
        <xdr:cNvPr id="9" name="Picture 8">
          <a:extLst>
            <a:ext uri="{FF2B5EF4-FFF2-40B4-BE49-F238E27FC236}">
              <a16:creationId xmlns:a16="http://schemas.microsoft.com/office/drawing/2014/main" id="{8DB73561-0546-48A3-8A6A-6C61387C0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16700" y="13068300"/>
          <a:ext cx="8026977" cy="480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78</xdr:col>
      <xdr:colOff>85726</xdr:colOff>
      <xdr:row>76</xdr:row>
      <xdr:rowOff>38099</xdr:rowOff>
    </xdr:from>
    <xdr:to>
      <xdr:col>84</xdr:col>
      <xdr:colOff>171450</xdr:colOff>
      <xdr:row>85</xdr:row>
      <xdr:rowOff>4761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95448D5-2581-492A-B73A-E7E50DCEB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87</xdr:col>
      <xdr:colOff>0</xdr:colOff>
      <xdr:row>68</xdr:row>
      <xdr:rowOff>0</xdr:rowOff>
    </xdr:from>
    <xdr:ext cx="6676190" cy="5247619"/>
    <xdr:pic>
      <xdr:nvPicPr>
        <xdr:cNvPr id="11" name="Picture 10">
          <a:extLst>
            <a:ext uri="{FF2B5EF4-FFF2-40B4-BE49-F238E27FC236}">
              <a16:creationId xmlns:a16="http://schemas.microsoft.com/office/drawing/2014/main" id="{5B48C7E8-13AD-4424-B5B1-6209EE0BA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294000" y="12954000"/>
          <a:ext cx="6676190" cy="5247619"/>
        </a:xfrm>
        <a:prstGeom prst="rect">
          <a:avLst/>
        </a:prstGeom>
      </xdr:spPr>
    </xdr:pic>
    <xdr:clientData/>
  </xdr:oneCellAnchor>
  <xdr:twoCellAnchor>
    <xdr:from>
      <xdr:col>89</xdr:col>
      <xdr:colOff>209550</xdr:colOff>
      <xdr:row>91</xdr:row>
      <xdr:rowOff>176212</xdr:rowOff>
    </xdr:from>
    <xdr:to>
      <xdr:col>95</xdr:col>
      <xdr:colOff>209550</xdr:colOff>
      <xdr:row>106</xdr:row>
      <xdr:rowOff>61912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6AE6DA5-3E87-4AA0-B02D-8F082A9F6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98</xdr:col>
      <xdr:colOff>0</xdr:colOff>
      <xdr:row>69</xdr:row>
      <xdr:rowOff>0</xdr:rowOff>
    </xdr:from>
    <xdr:ext cx="6904762" cy="5457143"/>
    <xdr:pic>
      <xdr:nvPicPr>
        <xdr:cNvPr id="13" name="Picture 12">
          <a:extLst>
            <a:ext uri="{FF2B5EF4-FFF2-40B4-BE49-F238E27FC236}">
              <a16:creationId xmlns:a16="http://schemas.microsoft.com/office/drawing/2014/main" id="{40F884EC-0AEA-4195-8284-2A1D4065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676000" y="13144500"/>
          <a:ext cx="6904762" cy="5457143"/>
        </a:xfrm>
        <a:prstGeom prst="rect">
          <a:avLst/>
        </a:prstGeom>
      </xdr:spPr>
    </xdr:pic>
    <xdr:clientData/>
  </xdr:oneCellAnchor>
  <xdr:oneCellAnchor>
    <xdr:from>
      <xdr:col>109</xdr:col>
      <xdr:colOff>0</xdr:colOff>
      <xdr:row>69</xdr:row>
      <xdr:rowOff>0</xdr:rowOff>
    </xdr:from>
    <xdr:ext cx="6296025" cy="5445554"/>
    <xdr:pic>
      <xdr:nvPicPr>
        <xdr:cNvPr id="14" name="Picture 13">
          <a:extLst>
            <a:ext uri="{FF2B5EF4-FFF2-40B4-BE49-F238E27FC236}">
              <a16:creationId xmlns:a16="http://schemas.microsoft.com/office/drawing/2014/main" id="{34026F38-1910-42EF-8B04-8861C4870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058000" y="13144500"/>
          <a:ext cx="6296025" cy="5445554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33536/Google%20Drive/SATIM/Model%20Files/DMD_PRJ%20-%20Copy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888E3125F2D\Mydata\D\Modelling%20Group\_03_SECTORS\+FUELS\Oil%20&amp;%20Gas\SASOL\SASOL%202018%20NIR%202017%20v1.0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\SATIM\DataSpreadsheets\TCH_SUP.xlsx" TargetMode="External"/><Relationship Id="rId1" Type="http://schemas.openxmlformats.org/officeDocument/2006/relationships/externalLinkPath" Target="/Models/SATIMGE/SATIM/DataSpreadsheets/TCH_SUP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Mydata/D/GoogleDrive-ERC/1.Projects/DEFF-DEA/NDC-2020/A.3_NDC_2020%20%5bmodel%20calibration%5d/satim%20petrol-diesel%20%20check%20v02.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odelling%20Group\_02_PROJECTS\WB\water-energy\task2\Costing%20options%20v6.1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_Veda\VT_REGION1_SUP.xlsx" TargetMode="External"/><Relationship Id="rId1" Type="http://schemas.openxmlformats.org/officeDocument/2006/relationships/externalLinkPath" Target="/Models/SATIMGE_Veda/VT_REGION1_SUP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AnswerTIMESv6/Answer_Databases/WB/SATIM_20140819runs-copy/TCH_PWR-WAT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Deflator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SATIMGE_03/MCSimTra3.xlsm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_Veda\VT_REGION1_SUP_v01.xlsx" TargetMode="External"/><Relationship Id="rId1" Type="http://schemas.openxmlformats.org/officeDocument/2006/relationships/externalLinkPath" Target="/Models/SATIMGE_Veda/VT_REGION1_SUP_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Log"/>
      <sheetName val="REGIONS"/>
      <sheetName val="Index"/>
      <sheetName val="FromCGE"/>
      <sheetName val="ITEMS_AGR"/>
      <sheetName val="AGR"/>
      <sheetName val="ITEMS_IND"/>
      <sheetName val="IND"/>
      <sheetName val="ITEMS_RES"/>
      <sheetName val="RES"/>
      <sheetName val="ITEMS_COM"/>
      <sheetName val="COM"/>
      <sheetName val="ITEMS_TRA"/>
      <sheetName val="FTRA"/>
      <sheetName val="PTRA"/>
      <sheetName val="OtherTRA"/>
    </sheetNames>
    <sheetDataSet>
      <sheetData sheetId="0" refreshError="1"/>
      <sheetData sheetId="1" refreshError="1"/>
      <sheetData sheetId="2">
        <row r="7">
          <cell r="C7">
            <v>1</v>
          </cell>
        </row>
        <row r="8">
          <cell r="C8">
            <v>1</v>
          </cell>
        </row>
        <row r="9">
          <cell r="C9">
            <v>1</v>
          </cell>
        </row>
        <row r="10">
          <cell r="C10">
            <v>1</v>
          </cell>
        </row>
        <row r="11">
          <cell r="C11">
            <v>1</v>
          </cell>
        </row>
      </sheetData>
      <sheetData sheetId="3">
        <row r="5">
          <cell r="J5" t="str">
            <v>Greenshoots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SOL NIR 2017"/>
      <sheetName val="SASOL Commodities"/>
      <sheetName val="NERSA2017"/>
      <sheetName val="GAS 2000-2029 CY"/>
      <sheetName val="SASOL CC 2019 report"/>
      <sheetName val="FTS-Unallocated"/>
      <sheetName val="Secunda Emissions 2019 etc"/>
      <sheetName val="Calorific values"/>
    </sheetNames>
    <sheetDataSet>
      <sheetData sheetId="0">
        <row r="11">
          <cell r="U11">
            <v>30.761111</v>
          </cell>
        </row>
      </sheetData>
      <sheetData sheetId="1">
        <row r="10">
          <cell r="D10">
            <v>3809</v>
          </cell>
        </row>
      </sheetData>
      <sheetData sheetId="2"/>
      <sheetData sheetId="3"/>
      <sheetData sheetId="4">
        <row r="97">
          <cell r="E97">
            <v>296</v>
          </cell>
        </row>
        <row r="98">
          <cell r="E98">
            <v>23</v>
          </cell>
        </row>
      </sheetData>
      <sheetData sheetId="5"/>
      <sheetData sheetId="6"/>
      <sheetData sheetId="7">
        <row r="8">
          <cell r="B8">
            <v>41</v>
          </cell>
        </row>
        <row r="18">
          <cell r="B18">
            <v>24.3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REGIONS"/>
      <sheetName val="2006EB"/>
      <sheetName val="2012EB"/>
      <sheetName val="Liq Fuel Prices"/>
      <sheetName val="Coal price"/>
      <sheetName val="Oil price"/>
      <sheetName val="Gas Price"/>
      <sheetName val="Fugitive emissions"/>
      <sheetName val="Distribution"/>
      <sheetName val="SUP"/>
      <sheetName val="ITEMS_STech"/>
      <sheetName val="TS STech"/>
      <sheetName val="TS STechPEX"/>
      <sheetName val="TID STech"/>
      <sheetName val="ITEMS_Comm"/>
      <sheetName val="TS ZTech"/>
      <sheetName val="TID ZTech"/>
      <sheetName val="Crude refineries"/>
      <sheetName val="Cleaner Fuels Phase-2"/>
      <sheetName val="GTL and CTL"/>
      <sheetName val="SummaryRef"/>
      <sheetName val="RefineriesRES"/>
      <sheetName val="SasolRES2012"/>
      <sheetName val="SasolRES-2017"/>
      <sheetName val="GAS 2000-2029 CY"/>
      <sheetName val="SASOL CC 2019 report"/>
      <sheetName val="Secunda Emissions 2019"/>
      <sheetName val="RefineriesData"/>
      <sheetName val="Aviation Synfuel Data"/>
      <sheetName val="Aviation Synfuel-Items"/>
      <sheetName val="Aviation Synfuel-TSData"/>
      <sheetName val="Aviation Synfuel-TIDData"/>
      <sheetName val="Hydrogen-Other"/>
      <sheetName val="Hydrogen-ELT"/>
      <sheetName val="H2Storage"/>
      <sheetName val="H2Storage-Items"/>
      <sheetName val="H2Storage-TSData"/>
      <sheetName val="H2Storage-TIDData"/>
      <sheetName val="UPS"/>
      <sheetName val="ITEMS_UPS"/>
      <sheetName val="ITEMS_GRP"/>
      <sheetName val="TS_TTech"/>
      <sheetName val="TID_TTech"/>
      <sheetName val="ITEMS_XTech"/>
      <sheetName val="ITEMS_CommX"/>
      <sheetName val="TS_XTech"/>
      <sheetName val="TID_XTech"/>
      <sheetName val="ITEMS_XEmiss"/>
      <sheetName val="TS XEmiss"/>
      <sheetName val="TID XEmiss"/>
      <sheetName val="ExchangeRateDetail"/>
      <sheetName val="Deflator"/>
      <sheetName val="SUPRES"/>
      <sheetName val="ITEMS_XFEmiss"/>
      <sheetName val="TS XFEmiss"/>
      <sheetName val="TID XFEmiss"/>
      <sheetName val="Emission Control_Technologies"/>
      <sheetName val="Items_TEmiss"/>
      <sheetName val="TS TEmiss"/>
      <sheetName val="ITEMS UC"/>
      <sheetName val="TS UC"/>
      <sheetName val="TID UC"/>
      <sheetName val="WAT-Items"/>
      <sheetName val="WAT-TSData"/>
      <sheetName val="WAT-TIDData"/>
      <sheetName val="HGN-TSData xtras"/>
      <sheetName val="HGN-TIDData xtras"/>
      <sheetName val="CPI_1960-2013"/>
      <sheetName val="Sheet1"/>
    </sheetNames>
    <sheetDataSet>
      <sheetData sheetId="0">
        <row r="2">
          <cell r="A2">
            <v>1</v>
          </cell>
          <cell r="D2">
            <v>1</v>
          </cell>
          <cell r="E2">
            <v>1</v>
          </cell>
          <cell r="F2">
            <v>1</v>
          </cell>
          <cell r="G2">
            <v>1</v>
          </cell>
          <cell r="H2">
            <v>1</v>
          </cell>
          <cell r="I2">
            <v>1</v>
          </cell>
          <cell r="J2">
            <v>1</v>
          </cell>
        </row>
      </sheetData>
      <sheetData sheetId="1" refreshError="1"/>
      <sheetData sheetId="2">
        <row r="3">
          <cell r="AX3">
            <v>16</v>
          </cell>
        </row>
        <row r="4">
          <cell r="AY4" t="str">
            <v>CO2S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6">
          <cell r="F56">
            <v>0.34416826003824091</v>
          </cell>
          <cell r="G56">
            <v>0.55066921606118546</v>
          </cell>
          <cell r="H56">
            <v>0.74187380497131927</v>
          </cell>
          <cell r="J56">
            <v>0.74187380497131927</v>
          </cell>
          <cell r="L56">
            <v>0.74187380497131927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>
        <row r="39">
          <cell r="D39">
            <v>120.1</v>
          </cell>
        </row>
      </sheetData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el.comparison"/>
      <sheetName val="FCS2018"/>
      <sheetName val="SATIM"/>
      <sheetName val="SAPIAAR2018"/>
      <sheetName val="NIR2017"/>
      <sheetName val="DoE.Petrol"/>
      <sheetName val="DoE.Diesel"/>
      <sheetName val="units"/>
      <sheetName val="scr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B2">
            <v>38.6</v>
          </cell>
        </row>
        <row r="3">
          <cell r="B3">
            <v>34.659999999999997</v>
          </cell>
        </row>
      </sheetData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version"/>
      <sheetName val="units"/>
      <sheetName val="AMD"/>
      <sheetName val="AMD.v2"/>
      <sheetName val="coal mining"/>
      <sheetName val="TDS  vs Capex"/>
      <sheetName val="WTP energy costs"/>
      <sheetName val="Shale gas"/>
      <sheetName val="Shale-AMD wtp"/>
      <sheetName val="Uranium-Gold"/>
      <sheetName val="fgd costs"/>
      <sheetName val="Coal dist"/>
      <sheetName val="steam"/>
      <sheetName val="refineries"/>
      <sheetName val="cooling water"/>
      <sheetName val="seasonal"/>
      <sheetName val="PWR station GIS data"/>
      <sheetName val="Existing Plants by Water Supply"/>
      <sheetName val="Existing Plants by Coal Supply"/>
      <sheetName val="Eskom coal pwr plants"/>
      <sheetName val="charts"/>
      <sheetName val="TechWATv4"/>
      <sheetName val="TechWATv5 (supwat5)"/>
      <sheetName val="FromCGE"/>
      <sheetName val="Non-Energy Water Demand"/>
      <sheetName val="non-power liquid fuels"/>
      <sheetName val="CPI_1960-2013"/>
      <sheetName val="JHB return flows"/>
      <sheetName val="misc calcs"/>
      <sheetName val="WSR-A"/>
      <sheetName val="WSR-B"/>
      <sheetName val="WSR-C"/>
      <sheetName val="WSR-D"/>
      <sheetName val="WSR-R"/>
      <sheetName val="WSR-Z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3">
          <cell r="E3">
            <v>0.08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EnergyBalance2017"/>
      <sheetName val="ITEMS_Tech"/>
      <sheetName val="ITEMS_Comm"/>
      <sheetName val="SUP"/>
      <sheetName val="LNG"/>
      <sheetName val="GasPipeLines"/>
      <sheetName val="FugitiveEmissions"/>
      <sheetName val="EmissionsAggregationCO2eq"/>
      <sheetName val="FuelTechs"/>
      <sheetName val="Liq Fuel Prices"/>
      <sheetName val="IEA_WEO"/>
      <sheetName val="FuelDistribution"/>
    </sheetNames>
    <sheetDataSet>
      <sheetData sheetId="0"/>
      <sheetData sheetId="1"/>
      <sheetData sheetId="2">
        <row r="5">
          <cell r="B5" t="str">
            <v>Biogas</v>
          </cell>
          <cell r="C5" t="str">
            <v>BIG</v>
          </cell>
        </row>
        <row r="6">
          <cell r="B6" t="str">
            <v>Bioethanol</v>
          </cell>
          <cell r="C6" t="str">
            <v>BIE</v>
          </cell>
        </row>
        <row r="7">
          <cell r="B7" t="str">
            <v>Biodiesel</v>
          </cell>
          <cell r="C7" t="str">
            <v>BID</v>
          </cell>
        </row>
        <row r="8">
          <cell r="B8" t="str">
            <v>Biomass bagasse</v>
          </cell>
          <cell r="C8" t="str">
            <v>BIB</v>
          </cell>
        </row>
        <row r="9">
          <cell r="B9" t="str">
            <v>Biomass Other</v>
          </cell>
          <cell r="C9" t="str">
            <v>BIO</v>
          </cell>
        </row>
        <row r="10">
          <cell r="B10" t="str">
            <v>Biomass Wood</v>
          </cell>
          <cell r="C10" t="str">
            <v>BIW</v>
          </cell>
        </row>
        <row r="11">
          <cell r="B11" t="str">
            <v>Coal</v>
          </cell>
          <cell r="C11" t="str">
            <v>COA</v>
          </cell>
        </row>
        <row r="12">
          <cell r="B12" t="str">
            <v>Coal Coking</v>
          </cell>
          <cell r="C12" t="str">
            <v>COK</v>
          </cell>
        </row>
        <row r="13">
          <cell r="B13" t="str">
            <v>Coal Discard</v>
          </cell>
          <cell r="C13" t="str">
            <v>CLD</v>
          </cell>
        </row>
        <row r="14">
          <cell r="B14" t="str">
            <v>Coal low grade</v>
          </cell>
          <cell r="C14" t="str">
            <v>CLE</v>
          </cell>
        </row>
        <row r="15">
          <cell r="B15" t="str">
            <v>Coal for plants in Botswana</v>
          </cell>
          <cell r="C15" t="str">
            <v>CRB</v>
          </cell>
        </row>
        <row r="16">
          <cell r="B16" t="str">
            <v>Coal for Material Use</v>
          </cell>
          <cell r="C16" t="str">
            <v>CMU</v>
          </cell>
        </row>
        <row r="17">
          <cell r="B17" t="str">
            <v>Electricity</v>
          </cell>
          <cell r="C17" t="str">
            <v>ELC</v>
          </cell>
        </row>
        <row r="18">
          <cell r="B18" t="str">
            <v>Electricity Upstream Transmission</v>
          </cell>
          <cell r="C18" t="str">
            <v>ELCC</v>
          </cell>
        </row>
        <row r="19">
          <cell r="B19" t="str">
            <v>Gas South Africa</v>
          </cell>
          <cell r="C19" t="str">
            <v>GAS</v>
          </cell>
        </row>
        <row r="20">
          <cell r="B20" t="str">
            <v>Gas Southern Mozambique</v>
          </cell>
          <cell r="C20" t="str">
            <v>GRS</v>
          </cell>
        </row>
        <row r="21">
          <cell r="B21" t="str">
            <v>Gas Namibia</v>
          </cell>
          <cell r="C21" t="str">
            <v>GRN</v>
          </cell>
        </row>
        <row r="22">
          <cell r="B22" t="str">
            <v>Gas Regional LNG</v>
          </cell>
          <cell r="C22" t="str">
            <v>GRL</v>
          </cell>
        </row>
        <row r="23">
          <cell r="B23" t="str">
            <v>Gas International LNG</v>
          </cell>
          <cell r="C23" t="str">
            <v>GWL</v>
          </cell>
        </row>
        <row r="24">
          <cell r="B24" t="str">
            <v>Gas Northern Mozambique</v>
          </cell>
          <cell r="C24" t="str">
            <v>GRM</v>
          </cell>
        </row>
        <row r="25">
          <cell r="B25" t="str">
            <v>Gas Indigenous Ibhubezi</v>
          </cell>
          <cell r="C25" t="str">
            <v>GIB</v>
          </cell>
        </row>
        <row r="26">
          <cell r="B26" t="str">
            <v>Gas Indigenous Shale</v>
          </cell>
          <cell r="C26" t="str">
            <v>GIH</v>
          </cell>
        </row>
        <row r="27">
          <cell r="B27" t="str">
            <v>Coastal Gas</v>
          </cell>
          <cell r="C27" t="str">
            <v>GIC</v>
          </cell>
        </row>
        <row r="28">
          <cell r="B28" t="str">
            <v>Gas Material Use</v>
          </cell>
          <cell r="C28" t="str">
            <v>GMU</v>
          </cell>
        </row>
        <row r="29">
          <cell r="B29" t="str">
            <v>Gas Methane Rich</v>
          </cell>
          <cell r="C29" t="str">
            <v>GIM</v>
          </cell>
        </row>
        <row r="30">
          <cell r="B30" t="str">
            <v>Heat-Steam</v>
          </cell>
          <cell r="C30" t="str">
            <v>HET</v>
          </cell>
        </row>
        <row r="31">
          <cell r="B31" t="str">
            <v>Heat-Steam Existing</v>
          </cell>
          <cell r="C31" t="str">
            <v>HEE</v>
          </cell>
        </row>
        <row r="32">
          <cell r="B32" t="str">
            <v>Heat-Steam New</v>
          </cell>
          <cell r="C32" t="str">
            <v>HEN</v>
          </cell>
        </row>
        <row r="33">
          <cell r="B33" t="str">
            <v>Hydro</v>
          </cell>
          <cell r="C33" t="str">
            <v>HYD</v>
          </cell>
        </row>
        <row r="34">
          <cell r="B34" t="str">
            <v>Hydrogen</v>
          </cell>
          <cell r="C34" t="str">
            <v>HGN</v>
          </cell>
        </row>
        <row r="35">
          <cell r="B35" t="str">
            <v>Nuclear</v>
          </cell>
          <cell r="C35" t="str">
            <v>NUC</v>
          </cell>
        </row>
        <row r="36">
          <cell r="B36" t="str">
            <v>Oil Av Gasoline</v>
          </cell>
          <cell r="C36" t="str">
            <v>OAG</v>
          </cell>
        </row>
        <row r="37">
          <cell r="B37" t="str">
            <v>Oil Crude</v>
          </cell>
          <cell r="C37" t="str">
            <v>OCR</v>
          </cell>
        </row>
        <row r="38">
          <cell r="B38" t="str">
            <v>Oil Diesel</v>
          </cell>
          <cell r="C38" t="str">
            <v>ODS</v>
          </cell>
        </row>
        <row r="39">
          <cell r="B39" t="str">
            <v>Oil Gasoline</v>
          </cell>
          <cell r="C39" t="str">
            <v>OGS</v>
          </cell>
        </row>
        <row r="40">
          <cell r="B40" t="str">
            <v>Oil HFO</v>
          </cell>
          <cell r="C40" t="str">
            <v>OHF</v>
          </cell>
        </row>
        <row r="41">
          <cell r="B41" t="str">
            <v>Oil Kerosene</v>
          </cell>
          <cell r="C41" t="str">
            <v>OKE</v>
          </cell>
        </row>
        <row r="42">
          <cell r="B42" t="str">
            <v>Oil LPG</v>
          </cell>
          <cell r="C42" t="str">
            <v>OLP</v>
          </cell>
        </row>
        <row r="43">
          <cell r="B43" t="str">
            <v>Oil Other</v>
          </cell>
          <cell r="C43" t="str">
            <v>OTH</v>
          </cell>
        </row>
        <row r="44">
          <cell r="B44" t="str">
            <v>Solar</v>
          </cell>
          <cell r="C44" t="str">
            <v>SOL</v>
          </cell>
        </row>
        <row r="45">
          <cell r="B45" t="str">
            <v>Wind</v>
          </cell>
          <cell r="C45" t="str">
            <v>WND</v>
          </cell>
        </row>
        <row r="46">
          <cell r="B46" t="str">
            <v>Waste</v>
          </cell>
          <cell r="C46" t="str">
            <v>WAS</v>
          </cell>
        </row>
        <row r="51">
          <cell r="B51" t="str">
            <v>AGR</v>
          </cell>
          <cell r="C51" t="str">
            <v>Agriculture</v>
          </cell>
        </row>
        <row r="52">
          <cell r="B52" t="str">
            <v>COM</v>
          </cell>
          <cell r="C52" t="str">
            <v>Commerce</v>
          </cell>
        </row>
        <row r="53">
          <cell r="B53" t="str">
            <v>IND</v>
          </cell>
          <cell r="C53" t="str">
            <v>Industry</v>
          </cell>
        </row>
        <row r="54">
          <cell r="B54" t="str">
            <v>PWR</v>
          </cell>
          <cell r="C54" t="str">
            <v>Power</v>
          </cell>
        </row>
        <row r="55">
          <cell r="B55" t="str">
            <v>RES</v>
          </cell>
          <cell r="C55" t="str">
            <v>Residential</v>
          </cell>
        </row>
        <row r="56">
          <cell r="B56" t="str">
            <v>TRA</v>
          </cell>
          <cell r="C56" t="str">
            <v>Transport</v>
          </cell>
        </row>
        <row r="57">
          <cell r="B57" t="str">
            <v>UPS</v>
          </cell>
          <cell r="C57" t="str">
            <v>Upstream</v>
          </cell>
        </row>
        <row r="58">
          <cell r="B58"/>
          <cell r="C58"/>
        </row>
        <row r="59">
          <cell r="B59"/>
          <cell r="C5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0">
          <cell r="A20">
            <v>2.54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isting capacity basic data"/>
      <sheetName val="PWR"/>
      <sheetName val="ITEMS_Teche"/>
      <sheetName val="TS ETech"/>
      <sheetName val="TID ETech"/>
      <sheetName val="ITEMS_Comm"/>
      <sheetName val="New Capacity basic data"/>
      <sheetName val="Inga"/>
      <sheetName val="OtherRegionalProjects"/>
      <sheetName val="NT_PWR"/>
      <sheetName val="ITEMS_Techn"/>
      <sheetName val="TS INVFX"/>
      <sheetName val="TS INVFX_5yr"/>
      <sheetName val="TS INVFX_IRP"/>
      <sheetName val="TS NTech"/>
      <sheetName val="TS NTechICost"/>
      <sheetName val="TID NTech"/>
      <sheetName val="ITEMS GRP"/>
      <sheetName val="TS Othere"/>
      <sheetName val="TID Othere"/>
      <sheetName val="ITEMS UC"/>
      <sheetName val="TS UC"/>
      <sheetName val="TID UC"/>
      <sheetName val="ITEMS UC_BLIPPP"/>
      <sheetName val="TS UC_BLIPPP"/>
      <sheetName val="TID UC_BLIPPP"/>
      <sheetName val="REAvail"/>
      <sheetName val="REAvail (2)"/>
      <sheetName val="TS REAvail"/>
      <sheetName val="REAvail_10TS"/>
      <sheetName val="REAvail_10TS (2)"/>
      <sheetName val="TS REAvail_10TS"/>
      <sheetName val="REGIONS"/>
      <sheetName val="NameConv"/>
      <sheetName val="Deflator"/>
      <sheetName val="EskomCoalEff"/>
      <sheetName val="Analytica_Input"/>
      <sheetName val="LogofChanges"/>
    </sheetNames>
    <sheetDataSet>
      <sheetData sheetId="0"/>
      <sheetData sheetId="1"/>
      <sheetData sheetId="2"/>
      <sheetData sheetId="3"/>
      <sheetData sheetId="4"/>
      <sheetData sheetId="5"/>
      <sheetData sheetId="6">
        <row r="9">
          <cell r="B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lator"/>
    </sheetNames>
    <sheetDataSet>
      <sheetData sheetId="0">
        <row r="4">
          <cell r="L4">
            <v>1.7734731669022814</v>
          </cell>
          <cell r="O4">
            <v>1.3925713075799215</v>
          </cell>
          <cell r="P4">
            <v>1.3094103081137336</v>
          </cell>
          <cell r="R4">
            <v>1.1636030437253695</v>
          </cell>
          <cell r="S4">
            <v>1.0978875034592741</v>
          </cell>
          <cell r="T4">
            <v>1.0377447099466544</v>
          </cell>
          <cell r="U4">
            <v>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IndexO"/>
      <sheetName val="Sets"/>
      <sheetName val="GDP_Y"/>
      <sheetName val="COM_S"/>
      <sheetName val="POP"/>
      <sheetName val="PV"/>
      <sheetName val="CSP"/>
      <sheetName val="NUC"/>
      <sheetName val="COAL"/>
      <sheetName val="OIL"/>
      <sheetName val="GAS"/>
      <sheetName val="Global_Com"/>
      <sheetName val="OPWR"/>
      <sheetName val="Scenarios"/>
      <sheetName val="Sheet1"/>
      <sheetName val="PAMs"/>
      <sheetName val="AltTariffs"/>
      <sheetName val="scenario.archive"/>
      <sheetName val="AnsTIMES case files"/>
      <sheetName val="GDP_Y(S)"/>
      <sheetName val="COM_S(S)"/>
      <sheetName val="POP(S)"/>
      <sheetName val="PV(S)"/>
      <sheetName val="CSP(S)"/>
      <sheetName val="NUC(S)"/>
      <sheetName val="COAL(S)"/>
      <sheetName val="GAS(S)"/>
      <sheetName val="Global_Com(S)"/>
      <sheetName val="OPWR(S)"/>
      <sheetName val="StatsSA"/>
      <sheetName val="GDP_SH3"/>
      <sheetName val="GAS_old"/>
      <sheetName val="COAL_old"/>
      <sheetName val="Coal_Volumes"/>
      <sheetName val="Coal_data"/>
      <sheetName val="CoalParams"/>
      <sheetName val="Imaclim_raw"/>
      <sheetName val="Imaclim_adj"/>
      <sheetName val="PVLiterature"/>
      <sheetName val="PVSamples"/>
      <sheetName val="CSPLiterature"/>
      <sheetName val="CSPSamples"/>
      <sheetName val="ExchangeRateDetail"/>
      <sheetName val="Ex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5">
          <cell r="D5" t="str">
            <v>Oil Price (2015$/bbl)</v>
          </cell>
        </row>
        <row r="6">
          <cell r="D6">
            <v>2010</v>
          </cell>
          <cell r="E6">
            <v>2015</v>
          </cell>
          <cell r="F6">
            <v>2020</v>
          </cell>
          <cell r="G6">
            <v>2030</v>
          </cell>
          <cell r="H6">
            <v>2050</v>
          </cell>
        </row>
        <row r="7">
          <cell r="C7">
            <v>0.05</v>
          </cell>
          <cell r="D7">
            <v>84.76347793442072</v>
          </cell>
          <cell r="E7">
            <v>51</v>
          </cell>
          <cell r="F7">
            <v>73.317017874156548</v>
          </cell>
          <cell r="G7">
            <v>98.605353881111654</v>
          </cell>
          <cell r="H7">
            <v>107.66021241145609</v>
          </cell>
        </row>
        <row r="8">
          <cell r="C8">
            <v>0.25</v>
          </cell>
          <cell r="D8">
            <v>84.76347793442072</v>
          </cell>
          <cell r="E8">
            <v>51</v>
          </cell>
          <cell r="F8">
            <v>75.881960716452127</v>
          </cell>
          <cell r="G8">
            <v>103.77027513658234</v>
          </cell>
          <cell r="H8">
            <v>116.71930911569734</v>
          </cell>
        </row>
        <row r="9">
          <cell r="C9">
            <v>0.5</v>
          </cell>
          <cell r="D9">
            <v>84.76347793442072</v>
          </cell>
          <cell r="E9">
            <v>51</v>
          </cell>
          <cell r="F9">
            <v>78.619821053733901</v>
          </cell>
          <cell r="G9">
            <v>107.433752652908</v>
          </cell>
          <cell r="H9">
            <v>125.49232908190987</v>
          </cell>
        </row>
        <row r="10">
          <cell r="C10">
            <v>0.75</v>
          </cell>
          <cell r="D10">
            <v>84.76347793442072</v>
          </cell>
          <cell r="E10">
            <v>51</v>
          </cell>
          <cell r="F10">
            <v>81.098305148536369</v>
          </cell>
          <cell r="G10">
            <v>114.76296804497092</v>
          </cell>
          <cell r="H10">
            <v>132.35817079459795</v>
          </cell>
        </row>
        <row r="11">
          <cell r="C11">
            <v>0.95</v>
          </cell>
          <cell r="D11">
            <v>84.76347793442072</v>
          </cell>
          <cell r="E11">
            <v>51</v>
          </cell>
          <cell r="F11">
            <v>84.210820058288292</v>
          </cell>
          <cell r="G11">
            <v>126.81972514636294</v>
          </cell>
          <cell r="H11">
            <v>141.25833597771214</v>
          </cell>
        </row>
        <row r="12">
          <cell r="D12" t="str">
            <v>LNG (2015$/MMBTU)</v>
          </cell>
        </row>
        <row r="13">
          <cell r="D13">
            <v>2010</v>
          </cell>
          <cell r="E13">
            <v>2015</v>
          </cell>
          <cell r="F13">
            <v>2020</v>
          </cell>
          <cell r="G13">
            <v>2030</v>
          </cell>
          <cell r="H13">
            <v>2050</v>
          </cell>
        </row>
        <row r="14">
          <cell r="C14">
            <v>0.05</v>
          </cell>
          <cell r="D14">
            <v>8.1503344167712228</v>
          </cell>
          <cell r="E14">
            <v>8.1503344167712228</v>
          </cell>
          <cell r="F14">
            <v>8.3428147519412956</v>
          </cell>
          <cell r="G14">
            <v>9.8008280757574973</v>
          </cell>
          <cell r="H14">
            <v>10.64026158109483</v>
          </cell>
        </row>
        <row r="15">
          <cell r="C15">
            <v>0.25</v>
          </cell>
          <cell r="D15">
            <v>8.1503344167712228</v>
          </cell>
          <cell r="E15">
            <v>8.1503344167712228</v>
          </cell>
          <cell r="F15">
            <v>8.6297778388377875</v>
          </cell>
          <cell r="G15">
            <v>10.297404179962657</v>
          </cell>
          <cell r="H15">
            <v>11.434919186730026</v>
          </cell>
        </row>
        <row r="16">
          <cell r="C16">
            <v>0.5</v>
          </cell>
          <cell r="D16">
            <v>8.1503344167712228</v>
          </cell>
          <cell r="E16">
            <v>8.1503344167712228</v>
          </cell>
          <cell r="F16">
            <v>9.0140661065885528</v>
          </cell>
          <cell r="G16">
            <v>10.959143415150999</v>
          </cell>
          <cell r="H16">
            <v>12.559665336244453</v>
          </cell>
        </row>
        <row r="17">
          <cell r="C17">
            <v>0.75</v>
          </cell>
          <cell r="D17">
            <v>8.1503344167712228</v>
          </cell>
          <cell r="E17">
            <v>8.1503344167712228</v>
          </cell>
          <cell r="F17">
            <v>9.7554918405642095</v>
          </cell>
          <cell r="G17">
            <v>11.953450254270349</v>
          </cell>
          <cell r="H17">
            <v>14.283461065391567</v>
          </cell>
        </row>
        <row r="18">
          <cell r="C18">
            <v>0.95</v>
          </cell>
          <cell r="D18">
            <v>8.1503344167712228</v>
          </cell>
          <cell r="E18">
            <v>8.1503344167712228</v>
          </cell>
          <cell r="F18">
            <v>10.091744074846128</v>
          </cell>
          <cell r="G18">
            <v>12.855473233969482</v>
          </cell>
          <cell r="H18">
            <v>15.974655456871597</v>
          </cell>
        </row>
        <row r="19">
          <cell r="D19" t="str">
            <v>Shale(2015$/MMBTU)</v>
          </cell>
        </row>
        <row r="20">
          <cell r="D20">
            <v>2010</v>
          </cell>
          <cell r="E20">
            <v>2015</v>
          </cell>
          <cell r="F20">
            <v>2020</v>
          </cell>
          <cell r="G20">
            <v>2030</v>
          </cell>
          <cell r="H20">
            <v>2050</v>
          </cell>
        </row>
        <row r="21">
          <cell r="C21">
            <v>0.05</v>
          </cell>
          <cell r="D21">
            <v>8.0869454986247469</v>
          </cell>
          <cell r="E21">
            <v>6.7049296712283812</v>
          </cell>
          <cell r="F21">
            <v>4.7692975220111435</v>
          </cell>
          <cell r="G21">
            <v>4.9613919398112687</v>
          </cell>
          <cell r="H21">
            <v>4.5057574706483354</v>
          </cell>
        </row>
        <row r="22">
          <cell r="C22">
            <v>0.25</v>
          </cell>
          <cell r="D22">
            <v>8.1465330338997113</v>
          </cell>
          <cell r="E22">
            <v>8.2025938686525883</v>
          </cell>
          <cell r="F22">
            <v>7.3517748968881653</v>
          </cell>
          <cell r="G22">
            <v>8.120572408201209</v>
          </cell>
          <cell r="H22">
            <v>7.4201738278995295</v>
          </cell>
        </row>
        <row r="23">
          <cell r="C23">
            <v>0.5</v>
          </cell>
          <cell r="D23">
            <v>8.1881379396328526</v>
          </cell>
          <cell r="E23">
            <v>9.39276444788484</v>
          </cell>
          <cell r="F23">
            <v>10.773557760174372</v>
          </cell>
          <cell r="G23">
            <v>10.8172157152895</v>
          </cell>
          <cell r="H23">
            <v>10.88496798036755</v>
          </cell>
        </row>
        <row r="24">
          <cell r="C24">
            <v>0.75</v>
          </cell>
          <cell r="D24">
            <v>8.2301326312875958</v>
          </cell>
          <cell r="E24">
            <v>10.507400823250775</v>
          </cell>
          <cell r="F24">
            <v>14.3817212159371</v>
          </cell>
          <cell r="G24">
            <v>13.406527739419724</v>
          </cell>
          <cell r="H24">
            <v>13.997003925763375</v>
          </cell>
        </row>
        <row r="25">
          <cell r="C25">
            <v>0.95</v>
          </cell>
          <cell r="D25">
            <v>8.2818014980867112</v>
          </cell>
          <cell r="E25">
            <v>12.017743499367629</v>
          </cell>
          <cell r="F25">
            <v>16.91401912191181</v>
          </cell>
          <cell r="G25">
            <v>16.545164815873392</v>
          </cell>
          <cell r="H25">
            <v>16.813949721541967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EnergyBalance2017"/>
      <sheetName val="PRI"/>
      <sheetName val="CombustionEmissions"/>
      <sheetName val="FugitiveEmissions"/>
      <sheetName val="EmissionsAggregationCO2eq"/>
      <sheetName val="FuelTechs"/>
      <sheetName val="Liq Fuel Prices"/>
      <sheetName val="Coal price"/>
      <sheetName val="Oil price"/>
      <sheetName val="Gas Price"/>
      <sheetName val="Distribution"/>
      <sheetName val="ITEMS_STech"/>
      <sheetName val="ITEMS_Comm"/>
      <sheetName val="TS ZTech"/>
      <sheetName val="TID ZTech"/>
      <sheetName val="Crude refineries"/>
      <sheetName val="Cleaner Fuels Phase-2"/>
      <sheetName val="GTL and CTL"/>
      <sheetName val="SummaryRef"/>
      <sheetName val="RefineriesRES"/>
      <sheetName val="SasolRES2012"/>
      <sheetName val="SasolRES-2017"/>
      <sheetName val="GAS 2000-2029 CY"/>
      <sheetName val="SASOL CC 2019 report"/>
      <sheetName val="Secunda Emissions 2019"/>
      <sheetName val="RefineriesData"/>
      <sheetName val="Aviation Synfuel Data"/>
      <sheetName val="Aviation Synfuel-Items"/>
      <sheetName val="Aviation Synfuel-TSData"/>
      <sheetName val="Aviation Synfuel-TIDData"/>
      <sheetName val="Hydrogen-Other"/>
      <sheetName val="Hydrogen-ELT"/>
      <sheetName val="H2Storage"/>
      <sheetName val="H2Storage-Items"/>
      <sheetName val="H2Storage-TSData"/>
      <sheetName val="H2Storage-TIDData"/>
      <sheetName val="UPS"/>
      <sheetName val="ITEMS_UPS"/>
      <sheetName val="ITEMS_GRP"/>
      <sheetName val="TS_TTech"/>
      <sheetName val="TID_TTech"/>
      <sheetName val="ITEMS_CommX"/>
      <sheetName val="TS_XTech"/>
      <sheetName val="TID_XTech"/>
      <sheetName val="ITEMS_XEmiss"/>
      <sheetName val="TS XEmiss"/>
      <sheetName val="TID XEmiss"/>
      <sheetName val="ExchangeRateDetail"/>
      <sheetName val="Deflator"/>
      <sheetName val="SUPRES"/>
      <sheetName val="ITEMS_XFEmiss"/>
      <sheetName val="TS XFEmiss"/>
      <sheetName val="TID XFEmiss"/>
      <sheetName val="Emission Control_Technologies"/>
      <sheetName val="Items_TEmiss"/>
      <sheetName val="ITEMS UC"/>
      <sheetName val="TS UC"/>
      <sheetName val="TID UC"/>
      <sheetName val="WAT-Items"/>
      <sheetName val="WAT-TSData"/>
      <sheetName val="WAT-TIDData"/>
      <sheetName val="HGN-TSData xtras"/>
      <sheetName val="HGN-TIDData xtras"/>
      <sheetName val="CPI_1960-201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>
        <row r="3">
          <cell r="U3">
            <v>0.7580705364703485</v>
          </cell>
        </row>
        <row r="17">
          <cell r="V17">
            <v>1.0273128343245979</v>
          </cell>
        </row>
        <row r="20">
          <cell r="U20">
            <v>1</v>
          </cell>
          <cell r="V20">
            <v>1.0273128343245979</v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uno Merven" id="{E6918664-D29B-4CF7-9EE8-C2435625ACC5}" userId="Bruno Merven" providerId="None"/>
  <person displayName="bruno merven" id="{EB18BC2C-6E64-47C8-8E01-8878A4AC10ED}" userId="144eb91ed0ec6402" providerId="Windows Live"/>
  <person displayName="Bruno Merven" id="{63E970A9-B7D2-44A4-BC47-A4EA4E7665BE}" userId="S::01405439@wf.uct.ac.za::c7f06137-2c3b-4c5c-8f38-fe1abbc9686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23" dT="2023-08-14T08:27:15.25" personId="{63E970A9-B7D2-44A4-BC47-A4EA4E7665BE}" id="{82D0923D-84D5-4B2A-8766-85D1885CBFE6}">
    <text>This looks ok, see: https://www.energy.gov.za/files/esources/petroleum/December2021/Basic-Fuel-Price.pdf</text>
    <extLst>
      <x:ext xmlns:xltc2="http://schemas.microsoft.com/office/spreadsheetml/2020/threadedcomments2" uri="{F7C98A9C-CBB3-438F-8F68-D28B6AF4A901}">
        <xltc2:checksum>3909590906</xltc2:checksum>
        <xltc2:hyperlink startIndex="20" length="84" url="https://www.energy.gov.za/files/esources/petroleum/December2021/Basic-Fuel-Price.pdf"/>
      </x:ext>
    </extLst>
  </threadedComment>
  <threadedComment ref="E53" dT="2021-04-07T08:55:07.46" personId="{E6918664-D29B-4CF7-9EE8-C2435625ACC5}" id="{3FFF6A51-26DB-4758-85D2-3FC6EB0096C7}">
    <text>Use this cell to do any currency conversion adjustments.</text>
  </threadedComment>
  <threadedComment ref="H57" dT="2021-03-24T15:36:11.21" personId="{E6918664-D29B-4CF7-9EE8-C2435625ACC5}" id="{3347D6CD-6874-4386-A4BD-153146ACFE52}">
    <text>from SUTCoal sheet in EB2017 google sheet. This includes transport costs, and then converted to 2022 Rands from 2017 rands.</text>
  </threadedComment>
  <threadedComment ref="M61" dT="2020-10-07T08:01:50.48" personId="{EB18BC2C-6E64-47C8-8E01-8878A4AC10ED}" id="{16F07B52-D983-4E21-9744-BDA551E01901}">
    <text>amount required to meet lower bound on production (calibrated on DEFF GHG Inventory)</text>
  </threadedComment>
  <threadedComment ref="R62" dT="2023-07-28T09:49:09.93" personId="{63E970A9-B7D2-44A4-BC47-A4EA4E7665BE}" id="{8AD1D602-0878-4F8F-B798-A688F31EE01D}">
    <text>https://www.offshore-technology.com/marketdata/oil-gas-field-profile-ibhubesi-conventional-gas-field-south-africa/</text>
    <extLst>
      <x:ext xmlns:xltc2="http://schemas.microsoft.com/office/spreadsheetml/2020/threadedcomments2" uri="{F7C98A9C-CBB3-438F-8F68-D28B6AF4A901}">
        <xltc2:checksum>735903094</xltc2:checksum>
        <xltc2:hyperlink startIndex="0" length="114" url="https://www.offshore-technology.com/marketdata/oil-gas-field-profile-ibhubesi-conventional-gas-field-south-africa/"/>
      </x:ext>
    </extLst>
  </threadedComment>
  <threadedComment ref="H65" dT="2023-08-14T09:39:46.85" personId="{63E970A9-B7D2-44A4-BC47-A4EA4E7665BE}" id="{64154AB5-04B8-4F42-9BFB-B337EF7C77A2}">
    <text>Needs to be checked</text>
  </threadedComment>
  <threadedComment ref="H66" dT="2023-08-14T09:42:24.18" personId="{63E970A9-B7D2-44A4-BC47-A4EA4E7665BE}" id="{0916AAB1-C044-4CDA-B604-D4F1FCE09653}">
    <text>Parity with coal in R/GJ assumed</text>
  </threadedComment>
  <threadedComment ref="H76" dT="2023-09-07T10:07:04.92" personId="{63E970A9-B7D2-44A4-BC47-A4EA4E7665BE}" id="{4E7774C3-4D41-4D64-B2ED-FB7954A2DFD1}">
    <text>IRP 2019 costs adjusted to 2022</text>
  </threadedComment>
  <threadedComment ref="H87" dT="2023-08-14T09:36:51.53" personId="{63E970A9-B7D2-44A4-BC47-A4EA4E7665BE}" id="{FF2DFFB8-6E67-4BCE-BF58-45A64DB2E0DB}">
    <text>LNG price minus liquefaction costs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M94" dT="2021-03-23T15:18:43.85" personId="{E6918664-D29B-4CF7-9EE8-C2435625ACC5}" id="{981C091B-92C8-428B-9930-BDE79AD863D6}">
    <text>average of Jan and Feb 2021</text>
  </threadedComment>
  <threadedComment ref="CK99" dT="2021-03-23T15:42:46.98" personId="{E6918664-D29B-4CF7-9EE8-C2435625ACC5}" id="{B02D5CD3-9A79-4435-918B-B8F9CCE6120B}">
    <text>Note, we're using 2021 as proxy for 2020, which is an outlier for interpolation purposes.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nergy.gov.za/files/media/explained/energy_price_report2010.PDF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ww.energy.gov.za/files/petroleum_frame.html" TargetMode="External"/><Relationship Id="rId1" Type="http://schemas.openxmlformats.org/officeDocument/2006/relationships/hyperlink" Target="http://www.politicsweb.co.za/politicsweb/view/politicsweb/en/page71654?oid=290797&amp;sn=Detail&amp;pid=71654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2C8B-07B4-4C09-BF69-4DE2ED505BAD}">
  <sheetPr>
    <tabColor theme="8"/>
  </sheetPr>
  <dimension ref="A1:BA140"/>
  <sheetViews>
    <sheetView tabSelected="1" topLeftCell="A47" workbookViewId="0">
      <selection activeCell="H59" sqref="H59:K59"/>
    </sheetView>
  </sheetViews>
  <sheetFormatPr defaultColWidth="11.42578125" defaultRowHeight="12.75" x14ac:dyDescent="0.2"/>
  <cols>
    <col min="1" max="1" width="43" style="1" customWidth="1"/>
    <col min="2" max="2" width="11" style="1" customWidth="1"/>
    <col min="3" max="3" width="12" style="1" customWidth="1"/>
    <col min="4" max="5" width="10" style="1" customWidth="1"/>
    <col min="6" max="6" width="19.28515625" style="1" customWidth="1"/>
    <col min="7" max="7" width="11.28515625" style="1" customWidth="1"/>
    <col min="8" max="8" width="11.5703125" style="1" customWidth="1"/>
    <col min="9" max="9" width="13.42578125" style="1" customWidth="1"/>
    <col min="10" max="10" width="11.140625" style="1" customWidth="1"/>
    <col min="11" max="11" width="12.42578125" style="1" customWidth="1"/>
    <col min="12" max="12" width="10.28515625" style="1" customWidth="1"/>
    <col min="13" max="13" width="10" style="1" customWidth="1"/>
    <col min="14" max="14" width="7.28515625" style="1" customWidth="1"/>
    <col min="15" max="15" width="9.42578125" style="1" customWidth="1"/>
    <col min="16" max="17" width="10.28515625" style="1" customWidth="1"/>
    <col min="18" max="20" width="9" style="1" customWidth="1"/>
    <col min="21" max="21" width="14.7109375" style="1" customWidth="1"/>
    <col min="22" max="22" width="14.140625" style="1" customWidth="1"/>
    <col min="23" max="25" width="9.7109375" style="1" customWidth="1"/>
    <col min="26" max="43" width="7.28515625" style="1" customWidth="1"/>
    <col min="44" max="16384" width="11.42578125" style="1"/>
  </cols>
  <sheetData>
    <row r="1" spans="1:53" ht="18" thickBot="1" x14ac:dyDescent="0.35">
      <c r="B1" s="142" t="s">
        <v>128</v>
      </c>
      <c r="C1" s="142"/>
      <c r="D1" s="142"/>
      <c r="E1" s="142"/>
    </row>
    <row r="2" spans="1:53" ht="13.5" thickTop="1" x14ac:dyDescent="0.2"/>
    <row r="3" spans="1:53" ht="15.75" x14ac:dyDescent="0.25">
      <c r="A3" s="140" t="s">
        <v>9</v>
      </c>
      <c r="B3" s="210" t="s">
        <v>127</v>
      </c>
      <c r="C3" s="210"/>
      <c r="D3" s="210"/>
      <c r="E3" s="141" t="s">
        <v>126</v>
      </c>
      <c r="F3" s="141"/>
      <c r="G3" s="44"/>
      <c r="H3" s="140"/>
      <c r="I3" s="44"/>
      <c r="J3" s="140"/>
    </row>
    <row r="4" spans="1:53" x14ac:dyDescent="0.2">
      <c r="A4" s="12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</row>
    <row r="5" spans="1:53" x14ac:dyDescent="0.2">
      <c r="A5" s="12"/>
      <c r="B5" s="12"/>
      <c r="C5" s="33" t="s">
        <v>125</v>
      </c>
      <c r="D5" s="33"/>
    </row>
    <row r="6" spans="1:53" x14ac:dyDescent="0.2">
      <c r="A6" s="44" t="s">
        <v>124</v>
      </c>
      <c r="B6" s="12">
        <f>COUNT(C6:BA6)</f>
        <v>48</v>
      </c>
      <c r="C6" s="12">
        <v>1</v>
      </c>
      <c r="D6" s="12">
        <f t="shared" ref="D6:AF6" si="0">C6+1</f>
        <v>2</v>
      </c>
      <c r="E6" s="12">
        <f t="shared" si="0"/>
        <v>3</v>
      </c>
      <c r="F6" s="12">
        <f t="shared" si="0"/>
        <v>4</v>
      </c>
      <c r="G6" s="12">
        <f t="shared" si="0"/>
        <v>5</v>
      </c>
      <c r="H6" s="12">
        <f t="shared" si="0"/>
        <v>6</v>
      </c>
      <c r="I6" s="12">
        <f t="shared" si="0"/>
        <v>7</v>
      </c>
      <c r="J6" s="12">
        <f t="shared" si="0"/>
        <v>8</v>
      </c>
      <c r="K6" s="12">
        <f t="shared" si="0"/>
        <v>9</v>
      </c>
      <c r="L6" s="12">
        <f t="shared" si="0"/>
        <v>10</v>
      </c>
      <c r="M6" s="12">
        <f t="shared" si="0"/>
        <v>11</v>
      </c>
      <c r="N6" s="12">
        <f t="shared" si="0"/>
        <v>12</v>
      </c>
      <c r="O6" s="12">
        <f t="shared" si="0"/>
        <v>13</v>
      </c>
      <c r="P6" s="12">
        <f t="shared" si="0"/>
        <v>14</v>
      </c>
      <c r="Q6" s="12">
        <f t="shared" si="0"/>
        <v>15</v>
      </c>
      <c r="R6" s="12">
        <f t="shared" si="0"/>
        <v>16</v>
      </c>
      <c r="S6" s="12">
        <f t="shared" si="0"/>
        <v>17</v>
      </c>
      <c r="T6" s="12">
        <f t="shared" si="0"/>
        <v>18</v>
      </c>
      <c r="U6" s="12">
        <f t="shared" si="0"/>
        <v>19</v>
      </c>
      <c r="V6" s="12">
        <f t="shared" si="0"/>
        <v>20</v>
      </c>
      <c r="W6" s="12">
        <f t="shared" si="0"/>
        <v>21</v>
      </c>
      <c r="X6" s="12">
        <f t="shared" si="0"/>
        <v>22</v>
      </c>
      <c r="Y6" s="12">
        <f t="shared" si="0"/>
        <v>23</v>
      </c>
      <c r="Z6" s="12">
        <f t="shared" si="0"/>
        <v>24</v>
      </c>
      <c r="AA6" s="12">
        <f t="shared" si="0"/>
        <v>25</v>
      </c>
      <c r="AB6" s="12">
        <f t="shared" si="0"/>
        <v>26</v>
      </c>
      <c r="AC6" s="12">
        <f t="shared" si="0"/>
        <v>27</v>
      </c>
      <c r="AD6" s="12">
        <f t="shared" si="0"/>
        <v>28</v>
      </c>
      <c r="AE6" s="12">
        <f t="shared" si="0"/>
        <v>29</v>
      </c>
      <c r="AF6" s="12">
        <f t="shared" si="0"/>
        <v>30</v>
      </c>
      <c r="AG6" s="12"/>
      <c r="AH6" s="12">
        <f>AF6+1</f>
        <v>31</v>
      </c>
      <c r="AI6" s="12">
        <f t="shared" ref="AI6:AY6" si="1">AH6+1</f>
        <v>32</v>
      </c>
      <c r="AJ6" s="12">
        <f t="shared" si="1"/>
        <v>33</v>
      </c>
      <c r="AK6" s="12">
        <f t="shared" si="1"/>
        <v>34</v>
      </c>
      <c r="AL6" s="12">
        <f t="shared" si="1"/>
        <v>35</v>
      </c>
      <c r="AM6" s="12">
        <f t="shared" si="1"/>
        <v>36</v>
      </c>
      <c r="AN6" s="12">
        <f t="shared" si="1"/>
        <v>37</v>
      </c>
      <c r="AO6" s="12">
        <f t="shared" si="1"/>
        <v>38</v>
      </c>
      <c r="AP6" s="12">
        <f t="shared" si="1"/>
        <v>39</v>
      </c>
      <c r="AQ6" s="12">
        <f t="shared" si="1"/>
        <v>40</v>
      </c>
      <c r="AR6" s="12">
        <f t="shared" si="1"/>
        <v>41</v>
      </c>
      <c r="AS6" s="12">
        <f t="shared" si="1"/>
        <v>42</v>
      </c>
      <c r="AT6" s="12">
        <f t="shared" si="1"/>
        <v>43</v>
      </c>
      <c r="AU6" s="12">
        <f t="shared" si="1"/>
        <v>44</v>
      </c>
      <c r="AV6" s="12">
        <f t="shared" si="1"/>
        <v>45</v>
      </c>
      <c r="AW6" s="12">
        <f t="shared" si="1"/>
        <v>46</v>
      </c>
      <c r="AX6" s="12">
        <f t="shared" si="1"/>
        <v>47</v>
      </c>
      <c r="AY6" s="12">
        <f t="shared" si="1"/>
        <v>48</v>
      </c>
      <c r="AZ6" s="12"/>
      <c r="BA6" s="12"/>
    </row>
    <row r="7" spans="1:53" s="23" customFormat="1" ht="63.75" x14ac:dyDescent="0.2">
      <c r="A7" s="139" t="s">
        <v>123</v>
      </c>
      <c r="B7" s="138"/>
      <c r="C7" s="23" t="s">
        <v>375</v>
      </c>
      <c r="D7" s="23" t="s">
        <v>376</v>
      </c>
      <c r="E7" s="23" t="s">
        <v>377</v>
      </c>
      <c r="F7" s="23" t="s">
        <v>378</v>
      </c>
      <c r="G7" s="23" t="s">
        <v>379</v>
      </c>
      <c r="H7" s="23" t="s">
        <v>380</v>
      </c>
      <c r="I7" s="23" t="s">
        <v>108</v>
      </c>
      <c r="J7" s="23" t="s">
        <v>381</v>
      </c>
      <c r="K7" s="23" t="s">
        <v>328</v>
      </c>
      <c r="L7" s="23" t="s">
        <v>382</v>
      </c>
      <c r="M7" s="23" t="s">
        <v>383</v>
      </c>
      <c r="O7" s="138"/>
      <c r="P7" s="138"/>
      <c r="Q7" s="138" t="s">
        <v>384</v>
      </c>
      <c r="R7" s="138" t="s">
        <v>385</v>
      </c>
      <c r="U7" s="138" t="s">
        <v>386</v>
      </c>
      <c r="V7" s="138" t="s">
        <v>387</v>
      </c>
      <c r="W7" s="23" t="s">
        <v>388</v>
      </c>
      <c r="X7" s="137" t="s">
        <v>343</v>
      </c>
      <c r="Y7" s="137" t="s">
        <v>344</v>
      </c>
      <c r="AA7" s="137" t="s">
        <v>342</v>
      </c>
      <c r="AC7" s="136" t="s">
        <v>340</v>
      </c>
      <c r="AE7" s="136" t="s">
        <v>341</v>
      </c>
      <c r="AH7" s="23" t="s">
        <v>389</v>
      </c>
      <c r="AJ7" s="23" t="s">
        <v>390</v>
      </c>
      <c r="AK7" s="23" t="s">
        <v>391</v>
      </c>
      <c r="AL7" s="23" t="s">
        <v>392</v>
      </c>
      <c r="AM7" s="23" t="s">
        <v>393</v>
      </c>
      <c r="AN7" s="23" t="s">
        <v>394</v>
      </c>
      <c r="AO7" s="23" t="s">
        <v>325</v>
      </c>
      <c r="AP7" s="23" t="s">
        <v>395</v>
      </c>
      <c r="AQ7" s="23" t="s">
        <v>101</v>
      </c>
      <c r="AR7" s="23" t="s">
        <v>99</v>
      </c>
      <c r="AS7" s="23" t="s">
        <v>97</v>
      </c>
      <c r="AT7" s="23" t="s">
        <v>94</v>
      </c>
      <c r="AU7" s="23" t="s">
        <v>98</v>
      </c>
      <c r="AV7" s="23" t="s">
        <v>96</v>
      </c>
      <c r="AW7" s="23" t="s">
        <v>396</v>
      </c>
      <c r="AX7" s="23" t="s">
        <v>397</v>
      </c>
      <c r="AY7" s="23" t="s">
        <v>398</v>
      </c>
    </row>
    <row r="8" spans="1:53" x14ac:dyDescent="0.2">
      <c r="A8" s="44" t="s">
        <v>122</v>
      </c>
      <c r="B8" s="12"/>
      <c r="C8" s="15" t="s">
        <v>352</v>
      </c>
      <c r="D8" s="15" t="s">
        <v>371</v>
      </c>
      <c r="E8" s="15" t="s">
        <v>370</v>
      </c>
      <c r="F8" s="15" t="s">
        <v>353</v>
      </c>
      <c r="G8" s="15" t="s">
        <v>354</v>
      </c>
      <c r="H8" s="15" t="s">
        <v>355</v>
      </c>
      <c r="I8" s="15" t="s">
        <v>345</v>
      </c>
      <c r="J8" s="15" t="s">
        <v>360</v>
      </c>
      <c r="K8" s="15" t="s">
        <v>347</v>
      </c>
      <c r="L8" s="15" t="s">
        <v>346</v>
      </c>
      <c r="M8" s="15" t="s">
        <v>399</v>
      </c>
      <c r="N8" s="15"/>
      <c r="O8" s="15"/>
      <c r="P8" s="15"/>
      <c r="Q8" s="15" t="s">
        <v>16</v>
      </c>
      <c r="R8" s="15" t="s">
        <v>19</v>
      </c>
      <c r="S8" s="15"/>
      <c r="T8" s="15"/>
      <c r="U8" s="15" t="s">
        <v>349</v>
      </c>
      <c r="V8" s="15" t="s">
        <v>372</v>
      </c>
      <c r="W8" s="15" t="s">
        <v>400</v>
      </c>
      <c r="X8" s="15" t="s">
        <v>361</v>
      </c>
      <c r="Y8" s="15" t="s">
        <v>362</v>
      </c>
      <c r="Z8" s="15"/>
      <c r="AA8" s="15" t="s">
        <v>373</v>
      </c>
      <c r="AB8" s="15"/>
      <c r="AC8" s="15" t="s">
        <v>350</v>
      </c>
      <c r="AD8" s="15"/>
      <c r="AE8" s="15" t="s">
        <v>351</v>
      </c>
      <c r="AF8" s="15"/>
      <c r="AG8" s="15"/>
      <c r="AH8" s="15" t="s">
        <v>401</v>
      </c>
      <c r="AI8" s="15"/>
      <c r="AJ8" s="15" t="s">
        <v>402</v>
      </c>
      <c r="AK8" s="15" t="s">
        <v>403</v>
      </c>
      <c r="AL8" s="15" t="s">
        <v>404</v>
      </c>
      <c r="AM8" s="15" t="s">
        <v>357</v>
      </c>
      <c r="AN8" s="15" t="s">
        <v>405</v>
      </c>
      <c r="AO8" s="15" t="s">
        <v>363</v>
      </c>
      <c r="AP8" s="15" t="s">
        <v>364</v>
      </c>
      <c r="AQ8" s="15" t="s">
        <v>348</v>
      </c>
      <c r="AR8" s="15" t="s">
        <v>365</v>
      </c>
      <c r="AS8" s="15" t="s">
        <v>366</v>
      </c>
      <c r="AT8" s="15" t="s">
        <v>367</v>
      </c>
      <c r="AU8" s="15" t="s">
        <v>369</v>
      </c>
      <c r="AV8" s="15" t="s">
        <v>368</v>
      </c>
      <c r="AW8" s="15" t="s">
        <v>406</v>
      </c>
      <c r="AX8" s="15" t="s">
        <v>358</v>
      </c>
      <c r="AY8" s="15" t="s">
        <v>359</v>
      </c>
      <c r="AZ8" s="15"/>
      <c r="BA8" s="15"/>
    </row>
    <row r="9" spans="1:53" x14ac:dyDescent="0.2">
      <c r="A9" s="44" t="s">
        <v>121</v>
      </c>
      <c r="B9" s="12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M9" s="15"/>
      <c r="AN9" s="15"/>
    </row>
    <row r="10" spans="1:53" x14ac:dyDescent="0.2">
      <c r="A10" s="1" t="s">
        <v>38</v>
      </c>
      <c r="B10" s="39" t="s">
        <v>4</v>
      </c>
      <c r="C10" s="135">
        <v>0</v>
      </c>
      <c r="D10" s="135">
        <v>0</v>
      </c>
      <c r="E10" s="135">
        <v>0</v>
      </c>
      <c r="F10" s="135">
        <v>0</v>
      </c>
      <c r="G10" s="135">
        <v>0</v>
      </c>
      <c r="H10" s="135">
        <v>0</v>
      </c>
      <c r="I10" s="135">
        <v>6136.3929900000003</v>
      </c>
      <c r="J10" s="135">
        <v>49.117144000000003</v>
      </c>
      <c r="K10" s="135">
        <v>0</v>
      </c>
      <c r="L10" s="135">
        <v>0</v>
      </c>
      <c r="M10" s="135">
        <v>0</v>
      </c>
      <c r="N10" s="135"/>
      <c r="O10" s="135"/>
      <c r="P10" s="135"/>
      <c r="Q10" s="135">
        <v>830.00738649024674</v>
      </c>
      <c r="R10" s="135">
        <v>0</v>
      </c>
      <c r="S10" s="135"/>
      <c r="T10" s="135"/>
      <c r="U10" s="135">
        <v>42.534198286413705</v>
      </c>
      <c r="V10" s="135">
        <v>0</v>
      </c>
      <c r="W10" s="135">
        <v>0</v>
      </c>
      <c r="X10" s="135">
        <v>0</v>
      </c>
      <c r="Y10" s="135">
        <v>0</v>
      </c>
      <c r="Z10" s="135"/>
      <c r="AA10" s="135">
        <v>0</v>
      </c>
      <c r="AB10" s="135"/>
      <c r="AC10" s="135">
        <v>0</v>
      </c>
      <c r="AD10" s="135"/>
      <c r="AE10" s="135">
        <v>0</v>
      </c>
      <c r="AF10" s="135">
        <v>0</v>
      </c>
      <c r="AG10" s="135"/>
      <c r="AH10" s="135">
        <v>0</v>
      </c>
      <c r="AI10" s="135"/>
      <c r="AJ10" s="135">
        <v>0</v>
      </c>
      <c r="AK10" s="135">
        <v>0</v>
      </c>
      <c r="AL10" s="135">
        <v>0</v>
      </c>
      <c r="AM10" s="135">
        <v>0</v>
      </c>
      <c r="AN10" s="135">
        <v>0</v>
      </c>
      <c r="AO10" s="135">
        <v>0</v>
      </c>
      <c r="AP10" s="135">
        <v>0</v>
      </c>
      <c r="AQ10" s="135">
        <v>0</v>
      </c>
      <c r="AR10" s="135">
        <v>0</v>
      </c>
      <c r="AS10" s="135">
        <v>0</v>
      </c>
      <c r="AT10" s="135">
        <v>0</v>
      </c>
      <c r="AU10" s="135">
        <v>0</v>
      </c>
      <c r="AV10" s="135">
        <v>0</v>
      </c>
      <c r="AW10" s="135">
        <v>0</v>
      </c>
      <c r="AX10" s="135">
        <v>0</v>
      </c>
      <c r="AY10" s="135">
        <v>0</v>
      </c>
      <c r="AZ10" s="135"/>
      <c r="BA10" s="135"/>
    </row>
    <row r="11" spans="1:53" x14ac:dyDescent="0.2">
      <c r="A11" s="1" t="s">
        <v>31</v>
      </c>
      <c r="B11" s="39" t="s">
        <v>4</v>
      </c>
      <c r="C11" s="135">
        <v>0</v>
      </c>
      <c r="D11" s="135">
        <v>0</v>
      </c>
      <c r="E11" s="135">
        <v>0</v>
      </c>
      <c r="F11" s="135">
        <v>0</v>
      </c>
      <c r="G11" s="135">
        <v>0</v>
      </c>
      <c r="H11" s="135">
        <v>0</v>
      </c>
      <c r="I11" s="135">
        <v>3.1614299999999997</v>
      </c>
      <c r="J11" s="135">
        <v>57.42812</v>
      </c>
      <c r="K11" s="135">
        <v>0</v>
      </c>
      <c r="L11" s="135">
        <v>0</v>
      </c>
      <c r="M11" s="135">
        <v>0</v>
      </c>
      <c r="N11" s="135"/>
      <c r="O11" s="135"/>
      <c r="P11" s="135"/>
      <c r="Q11" s="135">
        <v>36.021597656250002</v>
      </c>
      <c r="R11" s="135">
        <v>0</v>
      </c>
      <c r="S11" s="135"/>
      <c r="T11" s="135"/>
      <c r="U11" s="135">
        <v>121.2211171875</v>
      </c>
      <c r="V11" s="135">
        <v>0</v>
      </c>
      <c r="W11" s="135">
        <v>0</v>
      </c>
      <c r="X11" s="135">
        <v>0</v>
      </c>
      <c r="Y11" s="135">
        <v>0</v>
      </c>
      <c r="Z11" s="135"/>
      <c r="AA11" s="135">
        <v>0</v>
      </c>
      <c r="AB11" s="135"/>
      <c r="AC11" s="135">
        <v>0</v>
      </c>
      <c r="AD11" s="135"/>
      <c r="AE11" s="135">
        <v>0</v>
      </c>
      <c r="AF11" s="135">
        <v>0</v>
      </c>
      <c r="AG11" s="135"/>
      <c r="AH11" s="135">
        <v>0</v>
      </c>
      <c r="AI11" s="135"/>
      <c r="AJ11" s="135">
        <v>0</v>
      </c>
      <c r="AK11" s="135">
        <v>0</v>
      </c>
      <c r="AL11" s="135">
        <v>0</v>
      </c>
      <c r="AM11" s="135">
        <v>0</v>
      </c>
      <c r="AN11" s="135">
        <v>0</v>
      </c>
      <c r="AO11" s="135">
        <v>170.374545454545</v>
      </c>
      <c r="AP11" s="135">
        <v>1.394321535205479</v>
      </c>
      <c r="AQ11" s="135">
        <v>941.22622485351599</v>
      </c>
      <c r="AR11" s="135">
        <v>140.06492</v>
      </c>
      <c r="AS11" s="135">
        <v>63.331960000000002</v>
      </c>
      <c r="AT11" s="135">
        <v>4.206396917894736</v>
      </c>
      <c r="AU11" s="135">
        <v>9.3231960462962959</v>
      </c>
      <c r="AV11" s="135">
        <v>0.405131744444444</v>
      </c>
      <c r="AW11" s="135">
        <v>0</v>
      </c>
      <c r="AX11" s="135">
        <v>0</v>
      </c>
      <c r="AY11" s="135">
        <v>0</v>
      </c>
      <c r="AZ11" s="135"/>
      <c r="BA11" s="135"/>
    </row>
    <row r="12" spans="1:53" ht="13.5" thickBot="1" x14ac:dyDescent="0.25">
      <c r="A12" s="1" t="s">
        <v>28</v>
      </c>
      <c r="B12" s="39" t="s">
        <v>4</v>
      </c>
      <c r="C12" s="135">
        <v>0</v>
      </c>
      <c r="D12" s="135">
        <v>0</v>
      </c>
      <c r="E12" s="135">
        <v>0</v>
      </c>
      <c r="F12" s="135">
        <v>0</v>
      </c>
      <c r="G12" s="135">
        <v>0</v>
      </c>
      <c r="H12" s="135">
        <v>0</v>
      </c>
      <c r="I12" s="135">
        <v>2129.9962500000001</v>
      </c>
      <c r="J12" s="135">
        <v>20.834015000000001</v>
      </c>
      <c r="K12" s="135">
        <v>0</v>
      </c>
      <c r="L12" s="135">
        <v>0</v>
      </c>
      <c r="M12" s="135">
        <v>0</v>
      </c>
      <c r="N12" s="135"/>
      <c r="O12" s="135"/>
      <c r="P12" s="135"/>
      <c r="Q12" s="135">
        <v>54.125999999999998</v>
      </c>
      <c r="R12" s="135">
        <v>0</v>
      </c>
      <c r="S12" s="135"/>
      <c r="T12" s="135"/>
      <c r="U12" s="135">
        <v>0</v>
      </c>
      <c r="V12" s="135">
        <v>0</v>
      </c>
      <c r="W12" s="135">
        <v>0</v>
      </c>
      <c r="X12" s="135">
        <v>0</v>
      </c>
      <c r="Y12" s="135">
        <v>0</v>
      </c>
      <c r="Z12" s="135"/>
      <c r="AA12" s="135">
        <v>0</v>
      </c>
      <c r="AB12" s="135"/>
      <c r="AC12" s="135">
        <v>0</v>
      </c>
      <c r="AD12" s="135"/>
      <c r="AE12" s="135">
        <v>0</v>
      </c>
      <c r="AF12" s="135">
        <v>0</v>
      </c>
      <c r="AG12" s="135"/>
      <c r="AH12" s="135">
        <v>0</v>
      </c>
      <c r="AI12" s="135"/>
      <c r="AJ12" s="135">
        <v>0</v>
      </c>
      <c r="AK12" s="135">
        <v>0</v>
      </c>
      <c r="AL12" s="135">
        <v>0</v>
      </c>
      <c r="AM12" s="135">
        <v>0</v>
      </c>
      <c r="AN12" s="135">
        <v>0</v>
      </c>
      <c r="AO12" s="135">
        <v>0</v>
      </c>
      <c r="AP12" s="135">
        <v>0.22564281164383562</v>
      </c>
      <c r="AQ12" s="135">
        <v>20.83803412968</v>
      </c>
      <c r="AR12" s="135">
        <v>28.73659252275862</v>
      </c>
      <c r="AS12" s="135">
        <v>3.5488458656756761</v>
      </c>
      <c r="AT12" s="135">
        <v>61.88735509894736</v>
      </c>
      <c r="AU12" s="135">
        <v>5.0273560461728382</v>
      </c>
      <c r="AV12" s="135">
        <v>0.54993525222222217</v>
      </c>
      <c r="AW12" s="135">
        <v>0</v>
      </c>
      <c r="AX12" s="135">
        <v>0</v>
      </c>
      <c r="AY12" s="135">
        <v>0</v>
      </c>
      <c r="AZ12" s="135"/>
      <c r="BA12" s="135"/>
    </row>
    <row r="13" spans="1:53" ht="15.75" thickBot="1" x14ac:dyDescent="0.3">
      <c r="A13" s="44"/>
      <c r="B13" s="39"/>
      <c r="C13" s="112"/>
      <c r="D13" s="112"/>
      <c r="M13" s="134" t="s">
        <v>120</v>
      </c>
      <c r="N13" s="133"/>
      <c r="O13" s="133"/>
      <c r="P13" s="132"/>
      <c r="Q13" s="131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43"/>
    </row>
    <row r="14" spans="1:53" x14ac:dyDescent="0.2">
      <c r="A14" s="130" t="s">
        <v>119</v>
      </c>
      <c r="B14" s="76"/>
      <c r="C14" s="76"/>
      <c r="D14" s="76"/>
      <c r="E14" s="76"/>
      <c r="F14" s="129">
        <v>2017</v>
      </c>
      <c r="G14" s="129">
        <v>2021</v>
      </c>
      <c r="H14" s="129">
        <v>2030</v>
      </c>
      <c r="I14" s="129">
        <v>2050</v>
      </c>
      <c r="M14" s="128"/>
      <c r="O14" s="15">
        <v>2021</v>
      </c>
      <c r="P14" s="15">
        <v>2030</v>
      </c>
      <c r="Q14" s="127">
        <f>I14</f>
        <v>2050</v>
      </c>
      <c r="S14" s="112" t="s">
        <v>118</v>
      </c>
      <c r="T14" s="112"/>
      <c r="U14" s="112"/>
      <c r="V14" s="112"/>
    </row>
    <row r="15" spans="1:53" ht="15" x14ac:dyDescent="0.25">
      <c r="A15" s="95" t="s">
        <v>117</v>
      </c>
      <c r="B15" s="1" t="s">
        <v>116</v>
      </c>
      <c r="F15" s="94">
        <v>16.45</v>
      </c>
      <c r="G15" s="94">
        <f>F15</f>
        <v>16.45</v>
      </c>
      <c r="H15" s="94">
        <f>G15</f>
        <v>16.45</v>
      </c>
      <c r="I15" s="94">
        <f>H15</f>
        <v>16.45</v>
      </c>
      <c r="M15" s="95"/>
      <c r="O15" s="126"/>
      <c r="P15" s="126"/>
      <c r="Q15" s="125"/>
      <c r="S15" s="124">
        <v>0.08</v>
      </c>
      <c r="T15" s="112"/>
      <c r="U15" s="112"/>
      <c r="V15" s="112"/>
    </row>
    <row r="16" spans="1:53" ht="15" x14ac:dyDescent="0.25">
      <c r="A16" s="95" t="s">
        <v>115</v>
      </c>
      <c r="B16" s="1" t="s">
        <v>114</v>
      </c>
      <c r="C16" s="123" t="s">
        <v>113</v>
      </c>
      <c r="D16" s="79" t="s">
        <v>112</v>
      </c>
      <c r="F16" s="122">
        <f>IEA_WEO!BZ94*1.165</f>
        <v>72.23</v>
      </c>
      <c r="G16" s="121">
        <f>SUMIF($M$15:$M$24,$D$16,O$15:O$24)*(1+$S$15)</f>
        <v>74.52000000000001</v>
      </c>
      <c r="H16" s="121">
        <f>SUMIF($M$15:$M$24,$D$16,P$15:P$24)*(1+$S$15)</f>
        <v>37.800000000000004</v>
      </c>
      <c r="I16" s="121">
        <f>SUMIF($M$15:$M$24,$D$16,Q$15:Q$24)*(1+$S$15)</f>
        <v>25.92</v>
      </c>
      <c r="M16" s="120" t="s">
        <v>112</v>
      </c>
      <c r="O16" s="119">
        <f>IEA_WEO!DK96</f>
        <v>69</v>
      </c>
      <c r="P16" s="119">
        <f>IEA_WEO!DL96</f>
        <v>35</v>
      </c>
      <c r="Q16" s="118">
        <f>IEA_WEO!DM96</f>
        <v>24</v>
      </c>
      <c r="S16" s="112"/>
      <c r="T16" s="112"/>
      <c r="U16" s="112"/>
      <c r="V16" s="112"/>
    </row>
    <row r="17" spans="1:36" ht="15" x14ac:dyDescent="0.25">
      <c r="A17" s="95" t="s">
        <v>111</v>
      </c>
      <c r="B17" s="1" t="s">
        <v>110</v>
      </c>
      <c r="F17" s="12"/>
      <c r="G17" s="12"/>
      <c r="H17" s="12"/>
      <c r="I17" s="12"/>
      <c r="M17" s="95" t="s">
        <v>109</v>
      </c>
      <c r="O17" s="119">
        <f>O16</f>
        <v>69</v>
      </c>
      <c r="P17" s="119">
        <f>IEA_WEO!CL101</f>
        <v>55.666666666666664</v>
      </c>
      <c r="Q17" s="118">
        <f>IEA_WEO!CM101</f>
        <v>50.333333333333329</v>
      </c>
      <c r="S17" s="112"/>
      <c r="T17" s="112"/>
      <c r="U17" s="112"/>
      <c r="V17" s="112"/>
      <c r="W17"/>
      <c r="X17"/>
    </row>
    <row r="18" spans="1:36" ht="15.75" thickBot="1" x14ac:dyDescent="0.3">
      <c r="A18" s="88" t="s">
        <v>108</v>
      </c>
      <c r="B18" s="21" t="s">
        <v>107</v>
      </c>
      <c r="C18" s="21"/>
      <c r="D18" s="21"/>
      <c r="E18" s="21"/>
      <c r="F18" s="22"/>
      <c r="G18" s="22"/>
      <c r="H18" s="21"/>
      <c r="I18" s="21"/>
      <c r="M18" s="117" t="s">
        <v>106</v>
      </c>
      <c r="N18" s="21"/>
      <c r="O18" s="116">
        <f>O17</f>
        <v>69</v>
      </c>
      <c r="P18" s="116">
        <f>IEA_WEO!CL102</f>
        <v>63.333333333333336</v>
      </c>
      <c r="Q18" s="115">
        <f>IEA_WEO!CM102</f>
        <v>80.666666666666657</v>
      </c>
      <c r="S18" s="112"/>
      <c r="T18" s="112"/>
      <c r="U18" s="112"/>
      <c r="V18" s="112"/>
      <c r="W18"/>
      <c r="X18"/>
      <c r="Z18" s="44" t="s">
        <v>105</v>
      </c>
      <c r="AA18"/>
      <c r="AB18"/>
      <c r="AH18" s="12"/>
      <c r="AI18" s="12"/>
    </row>
    <row r="19" spans="1:36" ht="15" x14ac:dyDescent="0.25">
      <c r="A19" s="114" t="s">
        <v>104</v>
      </c>
      <c r="B19" s="76"/>
      <c r="C19" s="76"/>
      <c r="D19" s="76"/>
      <c r="E19" s="76"/>
      <c r="F19" s="113"/>
      <c r="G19" s="113"/>
      <c r="H19" s="76"/>
      <c r="I19" s="76"/>
      <c r="S19" s="112"/>
      <c r="T19" s="112"/>
      <c r="U19" s="112"/>
      <c r="V19" s="112"/>
      <c r="W19"/>
      <c r="X19"/>
      <c r="AA19" s="1" t="str">
        <f>[9]Export!D5</f>
        <v>Oil Price (2015$/bbl)</v>
      </c>
      <c r="AH19" s="12"/>
      <c r="AI19" s="12"/>
    </row>
    <row r="20" spans="1:36" ht="15" x14ac:dyDescent="0.25">
      <c r="A20" s="109"/>
      <c r="C20" s="111"/>
      <c r="F20" s="12" t="s">
        <v>2</v>
      </c>
      <c r="G20" s="12" t="s">
        <v>2</v>
      </c>
      <c r="I20" s="110"/>
      <c r="O20" s="72"/>
      <c r="P20" s="72"/>
      <c r="Q20" s="72"/>
      <c r="R20"/>
      <c r="S20"/>
      <c r="T20"/>
      <c r="U20"/>
      <c r="V20"/>
      <c r="W20"/>
      <c r="X20"/>
      <c r="AA20" s="1">
        <f>[9]Export!D6</f>
        <v>2010</v>
      </c>
      <c r="AB20" s="1">
        <f>[9]Export!E6</f>
        <v>2015</v>
      </c>
      <c r="AC20" s="1">
        <f>[9]Export!F6</f>
        <v>2020</v>
      </c>
      <c r="AD20" s="1">
        <f>[9]Export!G6</f>
        <v>2030</v>
      </c>
      <c r="AE20" s="1">
        <f>[9]Export!H6</f>
        <v>2050</v>
      </c>
      <c r="AH20" s="12"/>
      <c r="AI20" s="12"/>
    </row>
    <row r="21" spans="1:36" ht="15" x14ac:dyDescent="0.25">
      <c r="A21" s="109" t="s">
        <v>103</v>
      </c>
      <c r="B21" s="108" t="s">
        <v>102</v>
      </c>
      <c r="F21" s="93">
        <f>F15*F16</f>
        <v>1188.1835000000001</v>
      </c>
      <c r="G21" s="93">
        <f>G15*G16</f>
        <v>1225.854</v>
      </c>
      <c r="H21" s="93">
        <f>H15*H16</f>
        <v>621.81000000000006</v>
      </c>
      <c r="I21" s="92">
        <f>I15*I16</f>
        <v>426.38400000000001</v>
      </c>
      <c r="O21" s="72"/>
      <c r="P21" s="72"/>
      <c r="Q21" s="72"/>
      <c r="R21"/>
      <c r="S21"/>
      <c r="T21"/>
      <c r="U21"/>
      <c r="V21"/>
      <c r="W21"/>
      <c r="X21"/>
      <c r="Z21" s="73">
        <f>[9]Export!C7</f>
        <v>0.05</v>
      </c>
      <c r="AA21" s="72">
        <f>[9]Export!D7</f>
        <v>84.76347793442072</v>
      </c>
      <c r="AB21" s="72">
        <f>[9]Export!E7</f>
        <v>51</v>
      </c>
      <c r="AC21" s="72">
        <f>[9]Export!F7</f>
        <v>73.317017874156548</v>
      </c>
      <c r="AD21" s="72">
        <f>[9]Export!G7</f>
        <v>98.605353881111654</v>
      </c>
      <c r="AE21" s="72">
        <f>[9]Export!H7</f>
        <v>107.66021241145609</v>
      </c>
      <c r="AH21" s="12"/>
      <c r="AI21" s="12"/>
    </row>
    <row r="22" spans="1:36" ht="15" x14ac:dyDescent="0.25">
      <c r="A22" s="95" t="s">
        <v>101</v>
      </c>
      <c r="B22" s="94" t="s">
        <v>56</v>
      </c>
      <c r="C22" s="94"/>
      <c r="D22"/>
      <c r="E22" s="12" t="str">
        <f>VLOOKUP(A22,FuelNames,2,FALSE)</f>
        <v>OCR</v>
      </c>
      <c r="F22" s="93">
        <f>F21*'Liq Fuel Prices'!$V$7</f>
        <v>196.45298120195667</v>
      </c>
      <c r="G22" s="93">
        <f>G21*'Liq Fuel Prices'!$V$7</f>
        <v>202.68138113207547</v>
      </c>
      <c r="H22" s="93">
        <f>H21*'Liq Fuel Prices'!$V$7</f>
        <v>102.8093962264151</v>
      </c>
      <c r="I22" s="92">
        <f>I21*'Liq Fuel Prices'!$V$7</f>
        <v>70.497871698113215</v>
      </c>
      <c r="N22"/>
      <c r="O22" s="72"/>
      <c r="P22" s="72"/>
      <c r="Q22" s="72"/>
      <c r="R22"/>
      <c r="S22"/>
      <c r="T22"/>
      <c r="U22"/>
      <c r="V22"/>
      <c r="W22"/>
      <c r="X22"/>
      <c r="Z22" s="73">
        <f>[9]Export!C8</f>
        <v>0.25</v>
      </c>
      <c r="AA22" s="72">
        <f>[9]Export!D8</f>
        <v>84.76347793442072</v>
      </c>
      <c r="AB22" s="72">
        <f>[9]Export!E8</f>
        <v>51</v>
      </c>
      <c r="AC22" s="72">
        <f>[9]Export!F8</f>
        <v>75.881960716452127</v>
      </c>
      <c r="AD22" s="72">
        <f>[9]Export!G8</f>
        <v>103.77027513658234</v>
      </c>
      <c r="AE22" s="72">
        <f>[9]Export!H8</f>
        <v>116.71930911569734</v>
      </c>
      <c r="AH22" s="12"/>
      <c r="AI22" s="12"/>
    </row>
    <row r="23" spans="1:36" ht="14.65" customHeight="1" x14ac:dyDescent="0.25">
      <c r="A23" s="99" t="s">
        <v>100</v>
      </c>
      <c r="B23" s="94" t="s">
        <v>89</v>
      </c>
      <c r="C23" s="105"/>
      <c r="D23" s="105"/>
      <c r="F23" s="11"/>
      <c r="G23" s="94">
        <f>G24*'Liq Fuel Prices'!$AC$9/1000</f>
        <v>9.3213201007950115</v>
      </c>
      <c r="H23" s="11"/>
      <c r="I23" s="107"/>
      <c r="O23" s="72"/>
      <c r="P23" s="72"/>
      <c r="Q23" s="72"/>
      <c r="R23"/>
      <c r="S23"/>
      <c r="T23"/>
      <c r="U23"/>
      <c r="V23"/>
      <c r="W23"/>
      <c r="X23"/>
      <c r="Y23"/>
      <c r="Z23" s="73">
        <f>[9]Export!C9</f>
        <v>0.5</v>
      </c>
      <c r="AA23" s="72">
        <f>[9]Export!D9</f>
        <v>84.76347793442072</v>
      </c>
      <c r="AB23" s="72">
        <f>[9]Export!E9</f>
        <v>51</v>
      </c>
      <c r="AC23" s="72">
        <f>[9]Export!F9</f>
        <v>78.619821053733901</v>
      </c>
      <c r="AD23" s="72">
        <f>[9]Export!G9</f>
        <v>107.433752652908</v>
      </c>
      <c r="AE23" s="72">
        <f>[9]Export!H9</f>
        <v>125.49232908190987</v>
      </c>
      <c r="AH23" s="12"/>
      <c r="AI23" s="12"/>
    </row>
    <row r="24" spans="1:36" ht="15" x14ac:dyDescent="0.25">
      <c r="A24" s="95" t="s">
        <v>99</v>
      </c>
      <c r="B24" s="94" t="s">
        <v>56</v>
      </c>
      <c r="C24" s="105"/>
      <c r="D24" s="105"/>
      <c r="E24" s="12" t="str">
        <f>VLOOKUP(A24,FuelNames,2,FALSE)</f>
        <v>ODS</v>
      </c>
      <c r="F24" s="93">
        <f>(F21*'Liq Fuel Prices'!$X$7)+('Liq Fuel Prices'!$X$8*1.3)</f>
        <v>236.56389169057414</v>
      </c>
      <c r="G24" s="93">
        <f>G21*'Liq Fuel Prices'!$X$7+'Liq Fuel Prices'!$X$8</f>
        <v>244.65407088700817</v>
      </c>
      <c r="H24" s="93">
        <f>H21*'Liq Fuel Prices'!$X$7+'Liq Fuel Prices'!$X$8</f>
        <v>123.24773213084735</v>
      </c>
      <c r="I24" s="92">
        <f>I21*'Liq Fuel Prices'!$X$7+'Liq Fuel Prices'!$X$8</f>
        <v>83.969210768560018</v>
      </c>
      <c r="N24"/>
      <c r="O24" s="72"/>
      <c r="P24" s="72"/>
      <c r="Q24" s="72"/>
      <c r="Y24" s="106"/>
      <c r="Z24" s="73">
        <f>[9]Export!C10</f>
        <v>0.75</v>
      </c>
      <c r="AA24" s="72">
        <f>[9]Export!D10</f>
        <v>84.76347793442072</v>
      </c>
      <c r="AB24" s="72">
        <f>[9]Export!E10</f>
        <v>51</v>
      </c>
      <c r="AC24" s="72">
        <f>[9]Export!F10</f>
        <v>81.098305148536369</v>
      </c>
      <c r="AD24" s="72">
        <f>[9]Export!G10</f>
        <v>114.76296804497092</v>
      </c>
      <c r="AE24" s="72">
        <f>[9]Export!H10</f>
        <v>132.35817079459795</v>
      </c>
      <c r="AH24" s="12"/>
      <c r="AI24" s="12"/>
    </row>
    <row r="25" spans="1:36" ht="15" x14ac:dyDescent="0.25">
      <c r="A25" s="95" t="s">
        <v>98</v>
      </c>
      <c r="B25" s="94" t="s">
        <v>56</v>
      </c>
      <c r="C25" s="105"/>
      <c r="D25" s="105"/>
      <c r="E25" s="12" t="str">
        <f>VLOOKUP(A25,FuelNames,2,FALSE)</f>
        <v>OKE</v>
      </c>
      <c r="F25" s="93">
        <f>F21*'Liq Fuel Prices'!$Y$7+'Liq Fuel Prices'!$Y$8</f>
        <v>243.45484454706207</v>
      </c>
      <c r="G25" s="93">
        <f>G21*'Liq Fuel Prices'!$Y$7+'Liq Fuel Prices'!$Y$8</f>
        <v>250.76740309449676</v>
      </c>
      <c r="H25" s="93">
        <f>H21*'Liq Fuel Prices'!$Y$7+'Liq Fuel Prices'!$Y$8</f>
        <v>133.51100577493261</v>
      </c>
      <c r="I25" s="92">
        <f>I21*'Liq Fuel Prices'!$Y$7+'Liq Fuel Prices'!$Y$8</f>
        <v>95.575112524485391</v>
      </c>
      <c r="N25"/>
      <c r="O25" s="93"/>
      <c r="Z25" s="73">
        <f>[9]Export!C11</f>
        <v>0.95</v>
      </c>
      <c r="AA25" s="72">
        <f>[9]Export!D11</f>
        <v>84.76347793442072</v>
      </c>
      <c r="AB25" s="72">
        <f>[9]Export!E11</f>
        <v>51</v>
      </c>
      <c r="AC25" s="72">
        <f>[9]Export!F11</f>
        <v>84.210820058288292</v>
      </c>
      <c r="AD25" s="72">
        <f>[9]Export!G11</f>
        <v>126.81972514636294</v>
      </c>
      <c r="AE25" s="72">
        <f>[9]Export!H11</f>
        <v>141.25833597771214</v>
      </c>
      <c r="AH25" s="12"/>
      <c r="AI25" s="12"/>
    </row>
    <row r="26" spans="1:36" ht="15" x14ac:dyDescent="0.25">
      <c r="A26" s="95" t="s">
        <v>97</v>
      </c>
      <c r="B26" s="94" t="s">
        <v>56</v>
      </c>
      <c r="C26" s="105"/>
      <c r="D26" s="105"/>
      <c r="E26" s="12" t="str">
        <f>VLOOKUP(A26,FuelNames,2,FALSE)</f>
        <v>OGS</v>
      </c>
      <c r="F26" s="93">
        <f>F21*'Liq Fuel Prices'!$W$7+'Liq Fuel Prices'!$W$8*1.3</f>
        <v>247.03405739193275</v>
      </c>
      <c r="G26" s="93">
        <f>G21*'Liq Fuel Prices'!$W$7+'Liq Fuel Prices'!$W$8</f>
        <v>253.06623635843414</v>
      </c>
      <c r="H26" s="93">
        <f>H21*'Liq Fuel Prices'!$W$7+'Liq Fuel Prices'!$W$8</f>
        <v>130.96612796865719</v>
      </c>
      <c r="I26" s="92">
        <f>I21*'Liq Fuel Prices'!$W$7+'Liq Fuel Prices'!$W$8</f>
        <v>91.463151724905813</v>
      </c>
      <c r="N26"/>
      <c r="O26" s="93"/>
      <c r="Z26" s="73"/>
      <c r="AA26" s="1" t="str">
        <f>[9]Export!D12</f>
        <v>LNG (2015$/MMBTU)</v>
      </c>
      <c r="AH26" s="12"/>
      <c r="AI26" s="12"/>
    </row>
    <row r="27" spans="1:36" ht="15.75" thickBot="1" x14ac:dyDescent="0.3">
      <c r="A27" s="95" t="s">
        <v>96</v>
      </c>
      <c r="B27" s="94" t="s">
        <v>56</v>
      </c>
      <c r="C27" s="105"/>
      <c r="D27" s="105"/>
      <c r="E27" s="12" t="str">
        <f>VLOOKUP(A27,FuelNames,2,FALSE)</f>
        <v>OLP</v>
      </c>
      <c r="F27" s="93">
        <f>F21*'Liq Fuel Prices'!$Z$7+'Liq Fuel Prices'!$Z$8</f>
        <v>376.62224144497708</v>
      </c>
      <c r="G27" s="93">
        <f>G21*'Liq Fuel Prices'!$Z$7+'Liq Fuel Prices'!$Z$8</f>
        <v>382.94989907290471</v>
      </c>
      <c r="H27" s="93">
        <f>H21*'Liq Fuel Prices'!$Z$7+'Liq Fuel Prices'!$Z$8</f>
        <v>281.48632348447518</v>
      </c>
      <c r="I27" s="92">
        <f>I21*'Liq Fuel Prices'!$Z$7+'Liq Fuel Prices'!$Z$8</f>
        <v>248.65987255880674</v>
      </c>
      <c r="N27"/>
      <c r="O27" s="1" t="s">
        <v>95</v>
      </c>
      <c r="Z27" s="73"/>
      <c r="AA27" s="1">
        <f>[9]Export!D13</f>
        <v>2010</v>
      </c>
      <c r="AB27" s="1">
        <f>[9]Export!E13</f>
        <v>2015</v>
      </c>
      <c r="AC27" s="1">
        <f>[9]Export!F13</f>
        <v>2020</v>
      </c>
      <c r="AD27" s="1">
        <f>[9]Export!G13</f>
        <v>2030</v>
      </c>
      <c r="AE27" s="1">
        <f>[9]Export!H13</f>
        <v>2050</v>
      </c>
      <c r="AF27" s="1">
        <f>AA27</f>
        <v>2010</v>
      </c>
      <c r="AG27" s="1">
        <f>AB27</f>
        <v>2015</v>
      </c>
      <c r="AH27" s="1">
        <f>AC27</f>
        <v>2020</v>
      </c>
      <c r="AI27" s="1">
        <f>AD27</f>
        <v>2030</v>
      </c>
      <c r="AJ27" s="1">
        <f>AE27</f>
        <v>2050</v>
      </c>
    </row>
    <row r="28" spans="1:36" ht="16.5" thickBot="1" x14ac:dyDescent="0.3">
      <c r="A28" s="95" t="s">
        <v>94</v>
      </c>
      <c r="B28" s="94" t="s">
        <v>56</v>
      </c>
      <c r="C28" s="105"/>
      <c r="D28" s="105"/>
      <c r="E28" s="12" t="str">
        <f>VLOOKUP(A28,FuelNames,2,FALSE)</f>
        <v>OHF</v>
      </c>
      <c r="F28" s="93">
        <f>F22</f>
        <v>196.45298120195667</v>
      </c>
      <c r="G28" s="93">
        <f>G22</f>
        <v>202.68138113207547</v>
      </c>
      <c r="H28" s="93">
        <f>H22</f>
        <v>102.8093962264151</v>
      </c>
      <c r="I28" s="92">
        <f>I22</f>
        <v>70.497871698113215</v>
      </c>
      <c r="N28"/>
      <c r="O28" s="104"/>
      <c r="P28" s="101" t="s">
        <v>93</v>
      </c>
      <c r="Q28" s="100"/>
      <c r="S28" s="103" t="s">
        <v>92</v>
      </c>
      <c r="T28" s="102"/>
      <c r="U28" s="100"/>
      <c r="V28" s="101" t="s">
        <v>91</v>
      </c>
      <c r="W28" s="100"/>
      <c r="Z28" s="73">
        <f>[9]Export!C14</f>
        <v>0.05</v>
      </c>
      <c r="AA28" s="72">
        <f>[9]Export!D14</f>
        <v>8.1503344167712228</v>
      </c>
      <c r="AB28" s="72">
        <f>[9]Export!E14</f>
        <v>8.1503344167712228</v>
      </c>
      <c r="AC28" s="72">
        <f>[9]Export!F14</f>
        <v>8.3428147519412956</v>
      </c>
      <c r="AD28" s="72">
        <f>[9]Export!G14</f>
        <v>9.8008280757574973</v>
      </c>
      <c r="AE28" s="72">
        <f>[9]Export!H14</f>
        <v>10.64026158109483</v>
      </c>
      <c r="AF28" s="29">
        <f t="shared" ref="AF28:AJ32" si="2">AA28/AA21</f>
        <v>9.6153846153846145E-2</v>
      </c>
      <c r="AG28" s="29">
        <f t="shared" si="2"/>
        <v>0.15981047876022006</v>
      </c>
      <c r="AH28" s="29">
        <f t="shared" si="2"/>
        <v>0.11379097232597682</v>
      </c>
      <c r="AI28" s="29">
        <f t="shared" si="2"/>
        <v>9.9394482043787827E-2</v>
      </c>
      <c r="AJ28" s="29">
        <f t="shared" si="2"/>
        <v>9.883188359716262E-2</v>
      </c>
    </row>
    <row r="29" spans="1:36" ht="15.75" thickBot="1" x14ac:dyDescent="0.3">
      <c r="A29" s="99" t="s">
        <v>90</v>
      </c>
      <c r="B29" s="94" t="s">
        <v>89</v>
      </c>
      <c r="C29" s="94"/>
      <c r="D29"/>
      <c r="E29" s="12"/>
      <c r="F29" s="93"/>
      <c r="G29" s="98">
        <f>G30*'Liq Fuel Prices'!$AC$9/1000</f>
        <v>18.277098236852964</v>
      </c>
      <c r="H29" s="93"/>
      <c r="I29" s="92"/>
      <c r="N29"/>
      <c r="O29" s="91" t="s">
        <v>2</v>
      </c>
      <c r="P29" s="97" t="s">
        <v>88</v>
      </c>
      <c r="Q29" s="96" t="s">
        <v>87</v>
      </c>
      <c r="R29" s="96" t="s">
        <v>86</v>
      </c>
      <c r="S29" s="96" t="s">
        <v>85</v>
      </c>
      <c r="T29" s="96" t="s">
        <v>84</v>
      </c>
      <c r="U29" s="96" t="s">
        <v>83</v>
      </c>
      <c r="V29" s="96" t="s">
        <v>84</v>
      </c>
      <c r="W29" s="96" t="s">
        <v>83</v>
      </c>
      <c r="Z29" s="73">
        <f>[9]Export!C15</f>
        <v>0.25</v>
      </c>
      <c r="AA29" s="72">
        <f>[9]Export!D15</f>
        <v>8.1503344167712228</v>
      </c>
      <c r="AB29" s="72">
        <f>[9]Export!E15</f>
        <v>8.1503344167712228</v>
      </c>
      <c r="AC29" s="72">
        <f>[9]Export!F15</f>
        <v>8.6297778388377875</v>
      </c>
      <c r="AD29" s="72">
        <f>[9]Export!G15</f>
        <v>10.297404179962657</v>
      </c>
      <c r="AE29" s="72">
        <f>[9]Export!H15</f>
        <v>11.434919186730026</v>
      </c>
      <c r="AF29" s="29">
        <f t="shared" si="2"/>
        <v>9.6153846153846145E-2</v>
      </c>
      <c r="AG29" s="29">
        <f t="shared" si="2"/>
        <v>0.15981047876022006</v>
      </c>
      <c r="AH29" s="29">
        <f t="shared" si="2"/>
        <v>0.1137263423000448</v>
      </c>
      <c r="AI29" s="29">
        <f t="shared" si="2"/>
        <v>9.9232696130074072E-2</v>
      </c>
      <c r="AJ29" s="29">
        <f t="shared" si="2"/>
        <v>9.7969387185073448E-2</v>
      </c>
    </row>
    <row r="30" spans="1:36" ht="15.75" thickBot="1" x14ac:dyDescent="0.3">
      <c r="A30" s="95" t="str">
        <f>A24</f>
        <v>Oil Diesel</v>
      </c>
      <c r="B30" t="s">
        <v>56</v>
      </c>
      <c r="C30" s="94"/>
      <c r="D30"/>
      <c r="E30" s="12" t="str">
        <f>"xxx"&amp;E24</f>
        <v>xxxODS</v>
      </c>
      <c r="F30" s="93">
        <f>F24/0.51</f>
        <v>463.8507680207336</v>
      </c>
      <c r="G30" s="93">
        <f>G24/0.51</f>
        <v>479.71386448432975</v>
      </c>
      <c r="H30" s="93">
        <f>H24/0.51</f>
        <v>241.66221986440658</v>
      </c>
      <c r="I30" s="93">
        <f>I24/0.51</f>
        <v>164.64551131090198</v>
      </c>
      <c r="N30"/>
      <c r="O30" s="91" t="s">
        <v>82</v>
      </c>
      <c r="P30" s="90" t="s">
        <v>81</v>
      </c>
      <c r="Q30" s="89" t="s">
        <v>80</v>
      </c>
      <c r="R30" s="89" t="s">
        <v>79</v>
      </c>
      <c r="S30" s="89" t="s">
        <v>68</v>
      </c>
      <c r="T30" s="89" t="s">
        <v>78</v>
      </c>
      <c r="U30" s="89" t="s">
        <v>78</v>
      </c>
      <c r="V30" s="89" t="s">
        <v>77</v>
      </c>
      <c r="W30" s="89" t="s">
        <v>77</v>
      </c>
      <c r="Z30" s="73">
        <f>[9]Export!C16</f>
        <v>0.5</v>
      </c>
      <c r="AA30" s="72">
        <f>[9]Export!D16</f>
        <v>8.1503344167712228</v>
      </c>
      <c r="AB30" s="72">
        <f>[9]Export!E16</f>
        <v>8.1503344167712228</v>
      </c>
      <c r="AC30" s="72">
        <f>[9]Export!F16</f>
        <v>9.0140661065885528</v>
      </c>
      <c r="AD30" s="72">
        <f>[9]Export!G16</f>
        <v>10.959143415150999</v>
      </c>
      <c r="AE30" s="72">
        <f>[9]Export!H16</f>
        <v>12.559665336244453</v>
      </c>
      <c r="AF30" s="29">
        <f t="shared" si="2"/>
        <v>9.6153846153846145E-2</v>
      </c>
      <c r="AG30" s="29">
        <f t="shared" si="2"/>
        <v>0.15981047876022006</v>
      </c>
      <c r="AH30" s="29">
        <f t="shared" si="2"/>
        <v>0.11465386191133345</v>
      </c>
      <c r="AI30" s="29">
        <f t="shared" si="2"/>
        <v>0.10200838325509576</v>
      </c>
      <c r="AJ30" s="29">
        <f t="shared" si="2"/>
        <v>0.10008313199802561</v>
      </c>
    </row>
    <row r="31" spans="1:36" ht="15.75" thickBot="1" x14ac:dyDescent="0.3">
      <c r="A31" s="95" t="str">
        <f>A25</f>
        <v>Oil Kerosene</v>
      </c>
      <c r="B31" t="s">
        <v>56</v>
      </c>
      <c r="C31" s="94"/>
      <c r="D31"/>
      <c r="E31" s="12" t="str">
        <f>"xxx"&amp;E25</f>
        <v>xxxOKE</v>
      </c>
      <c r="F31" s="93">
        <f>F25*'Liq Fuel Prices'!$Y$15+'Liq Fuel Prices'!$Y$16</f>
        <v>274.98999134210584</v>
      </c>
      <c r="G31" s="93">
        <f>G25*'Liq Fuel Prices'!$Y$15+'Liq Fuel Prices'!$Y$16</f>
        <v>282.80673850172928</v>
      </c>
      <c r="H31" s="93">
        <f>H25*'Liq Fuel Prices'!$Y$15+'Liq Fuel Prices'!$Y$16</f>
        <v>157.46570981117299</v>
      </c>
      <c r="I31" s="92">
        <f>I25*'Liq Fuel Prices'!$Y$15+'Liq Fuel Prices'!$Y$16</f>
        <v>116.91420052893416</v>
      </c>
      <c r="N31"/>
      <c r="O31" s="91" t="s">
        <v>76</v>
      </c>
      <c r="P31" s="90" t="s">
        <v>75</v>
      </c>
      <c r="Q31" s="89" t="s">
        <v>75</v>
      </c>
      <c r="R31" s="89" t="s">
        <v>75</v>
      </c>
      <c r="S31" s="89" t="s">
        <v>75</v>
      </c>
      <c r="T31" s="89" t="s">
        <v>74</v>
      </c>
      <c r="U31" s="89" t="s">
        <v>74</v>
      </c>
      <c r="V31" s="89" t="s">
        <v>73</v>
      </c>
      <c r="W31" s="89" t="s">
        <v>73</v>
      </c>
      <c r="Z31" s="73">
        <f>[9]Export!C17</f>
        <v>0.75</v>
      </c>
      <c r="AA31" s="72">
        <f>[9]Export!D17</f>
        <v>8.1503344167712228</v>
      </c>
      <c r="AB31" s="72">
        <f>[9]Export!E17</f>
        <v>8.1503344167712228</v>
      </c>
      <c r="AC31" s="72">
        <f>[9]Export!F17</f>
        <v>9.7554918405642095</v>
      </c>
      <c r="AD31" s="72">
        <f>[9]Export!G17</f>
        <v>11.953450254270349</v>
      </c>
      <c r="AE31" s="72">
        <f>[9]Export!H17</f>
        <v>14.283461065391567</v>
      </c>
      <c r="AF31" s="29">
        <f t="shared" si="2"/>
        <v>9.6153846153846145E-2</v>
      </c>
      <c r="AG31" s="29">
        <f t="shared" si="2"/>
        <v>0.15981047876022006</v>
      </c>
      <c r="AH31" s="29">
        <f t="shared" si="2"/>
        <v>0.1202921790128221</v>
      </c>
      <c r="AI31" s="29">
        <f t="shared" si="2"/>
        <v>0.104157730127599</v>
      </c>
      <c r="AJ31" s="29">
        <f t="shared" si="2"/>
        <v>0.10791521958668931</v>
      </c>
    </row>
    <row r="32" spans="1:36" ht="15.75" thickBot="1" x14ac:dyDescent="0.3">
      <c r="A32" s="95" t="str">
        <f>A26</f>
        <v>Oil Gasoline</v>
      </c>
      <c r="B32" t="s">
        <v>56</v>
      </c>
      <c r="C32" s="94"/>
      <c r="D32"/>
      <c r="E32" s="12" t="str">
        <f>"xxx"&amp;E26</f>
        <v>xxxOGS</v>
      </c>
      <c r="F32" s="93">
        <f>F26/0.51</f>
        <v>484.38050469006419</v>
      </c>
      <c r="G32" s="93">
        <f>G26/0.51</f>
        <v>496.20830658516496</v>
      </c>
      <c r="H32" s="93">
        <f>H26/0.51</f>
        <v>256.79632935030821</v>
      </c>
      <c r="I32" s="93">
        <f>I26/0.51</f>
        <v>179.33951318608982</v>
      </c>
      <c r="N32"/>
      <c r="O32" s="91" t="s">
        <v>72</v>
      </c>
      <c r="P32" s="90" t="s">
        <v>71</v>
      </c>
      <c r="Q32" s="89" t="s">
        <v>70</v>
      </c>
      <c r="R32" s="89" t="s">
        <v>69</v>
      </c>
      <c r="S32" s="89" t="s">
        <v>68</v>
      </c>
      <c r="T32" s="89" t="s">
        <v>67</v>
      </c>
      <c r="U32" s="89" t="s">
        <v>66</v>
      </c>
      <c r="V32" s="89" t="s">
        <v>67</v>
      </c>
      <c r="W32" s="89" t="s">
        <v>66</v>
      </c>
      <c r="Z32" s="73">
        <f>[9]Export!C18</f>
        <v>0.95</v>
      </c>
      <c r="AA32" s="72">
        <f>[9]Export!D18</f>
        <v>8.1503344167712228</v>
      </c>
      <c r="AB32" s="72">
        <f>[9]Export!E18</f>
        <v>8.1503344167712228</v>
      </c>
      <c r="AC32" s="72">
        <f>[9]Export!F18</f>
        <v>10.091744074846128</v>
      </c>
      <c r="AD32" s="72">
        <f>[9]Export!G18</f>
        <v>12.855473233969482</v>
      </c>
      <c r="AE32" s="72">
        <f>[9]Export!H18</f>
        <v>15.974655456871597</v>
      </c>
      <c r="AF32" s="29">
        <f t="shared" si="2"/>
        <v>9.6153846153846145E-2</v>
      </c>
      <c r="AG32" s="29">
        <f t="shared" si="2"/>
        <v>0.15981047876022006</v>
      </c>
      <c r="AH32" s="29">
        <f t="shared" si="2"/>
        <v>0.11983904286718636</v>
      </c>
      <c r="AI32" s="29">
        <f t="shared" si="2"/>
        <v>0.10136808938146609</v>
      </c>
      <c r="AJ32" s="29">
        <f t="shared" si="2"/>
        <v>0.11308823190011308</v>
      </c>
    </row>
    <row r="33" spans="1:43" ht="15.75" thickBot="1" x14ac:dyDescent="0.3">
      <c r="A33" s="95" t="str">
        <f>A27</f>
        <v>Oil LPG</v>
      </c>
      <c r="B33" t="s">
        <v>56</v>
      </c>
      <c r="C33" s="94"/>
      <c r="D33"/>
      <c r="E33" s="12" t="str">
        <f>"xxx"&amp;E27</f>
        <v>xxxOLP</v>
      </c>
      <c r="F33" s="93">
        <f>F27*'Liq Fuel Prices'!$Z$15+'Liq Fuel Prices'!$Z$16</f>
        <v>543.84647647769111</v>
      </c>
      <c r="G33" s="93">
        <f>G27*'Liq Fuel Prices'!$Z$15+'Liq Fuel Prices'!$Z$16</f>
        <v>552.13883380512175</v>
      </c>
      <c r="H33" s="93">
        <f>H27*'Liq Fuel Prices'!$Z$15+'Liq Fuel Prices'!$Z$16</f>
        <v>419.17142722728101</v>
      </c>
      <c r="I33" s="92">
        <f>I27*'Liq Fuel Prices'!$Z$15+'Liq Fuel Prices'!$Z$16</f>
        <v>376.15256039327363</v>
      </c>
      <c r="N33"/>
      <c r="O33" s="91" t="s">
        <v>65</v>
      </c>
      <c r="P33" s="90" t="s">
        <v>64</v>
      </c>
      <c r="Q33" s="89" t="s">
        <v>63</v>
      </c>
      <c r="R33" s="89" t="s">
        <v>62</v>
      </c>
      <c r="S33" s="89" t="s">
        <v>61</v>
      </c>
      <c r="T33" s="89" t="s">
        <v>60</v>
      </c>
      <c r="U33" s="89" t="s">
        <v>59</v>
      </c>
      <c r="V33" s="89" t="s">
        <v>58</v>
      </c>
      <c r="W33" s="89" t="s">
        <v>57</v>
      </c>
      <c r="Z33" s="73"/>
      <c r="AA33" s="1" t="str">
        <f>[9]Export!D19</f>
        <v>Shale(2015$/MMBTU)</v>
      </c>
      <c r="AH33" s="12"/>
      <c r="AI33" s="12"/>
    </row>
    <row r="34" spans="1:43" ht="13.5" customHeight="1" thickBot="1" x14ac:dyDescent="0.3">
      <c r="A34" s="88" t="str">
        <f>A28</f>
        <v>Oil HFO</v>
      </c>
      <c r="B34" s="86" t="s">
        <v>56</v>
      </c>
      <c r="C34" s="87"/>
      <c r="D34" s="86"/>
      <c r="E34" s="22" t="str">
        <f>"xxx"&amp;E28</f>
        <v>xxxOHF</v>
      </c>
      <c r="F34" s="85">
        <f>F22</f>
        <v>196.45298120195667</v>
      </c>
      <c r="G34" s="85">
        <f>G22</f>
        <v>202.68138113207547</v>
      </c>
      <c r="H34" s="85">
        <f>H22</f>
        <v>102.8093962264151</v>
      </c>
      <c r="I34" s="84">
        <f>I22</f>
        <v>70.497871698113215</v>
      </c>
      <c r="O34"/>
      <c r="Q34"/>
      <c r="Z34" s="73"/>
      <c r="AA34" s="1">
        <f>[9]Export!D20</f>
        <v>2010</v>
      </c>
      <c r="AB34" s="1">
        <f>[9]Export!E20</f>
        <v>2015</v>
      </c>
      <c r="AC34" s="1">
        <f>[9]Export!F20</f>
        <v>2020</v>
      </c>
      <c r="AD34" s="1">
        <f>[9]Export!G20</f>
        <v>2030</v>
      </c>
      <c r="AE34" s="1">
        <f>[9]Export!H20</f>
        <v>2050</v>
      </c>
      <c r="AF34" s="1">
        <f>AA34</f>
        <v>2010</v>
      </c>
      <c r="AG34" s="1">
        <f>AB34</f>
        <v>2015</v>
      </c>
      <c r="AH34" s="1">
        <f>AC34</f>
        <v>2020</v>
      </c>
      <c r="AI34" s="1">
        <f>AD34</f>
        <v>2030</v>
      </c>
      <c r="AJ34" s="1">
        <f>AE34</f>
        <v>2050</v>
      </c>
    </row>
    <row r="35" spans="1:43" ht="13.5" customHeight="1" thickBot="1" x14ac:dyDescent="0.3">
      <c r="C35" s="12"/>
      <c r="D35" s="83" t="s">
        <v>55</v>
      </c>
      <c r="O35" s="82" t="s">
        <v>54</v>
      </c>
      <c r="P35" s="82"/>
      <c r="Q35" s="82"/>
      <c r="R35" s="82"/>
      <c r="S35" s="82"/>
      <c r="T35" s="81"/>
      <c r="V35" s="80" t="s">
        <v>53</v>
      </c>
      <c r="Z35" s="73">
        <f>[9]Export!C21</f>
        <v>0.05</v>
      </c>
      <c r="AA35" s="72">
        <f>[9]Export!D21</f>
        <v>8.0869454986247469</v>
      </c>
      <c r="AB35" s="72">
        <f>[9]Export!E21</f>
        <v>6.7049296712283812</v>
      </c>
      <c r="AC35" s="72">
        <f>[9]Export!F21</f>
        <v>4.7692975220111435</v>
      </c>
      <c r="AD35" s="72">
        <f>[9]Export!G21</f>
        <v>4.9613919398112687</v>
      </c>
      <c r="AE35" s="72">
        <f>[9]Export!H21</f>
        <v>4.5057574706483354</v>
      </c>
      <c r="AF35" s="71">
        <f t="shared" ref="AF35:AJ39" si="3">AA35/AA21</f>
        <v>9.5406013246429139E-2</v>
      </c>
      <c r="AG35" s="71">
        <f t="shared" si="3"/>
        <v>0.13146920923977218</v>
      </c>
      <c r="AH35" s="71">
        <f t="shared" si="3"/>
        <v>6.5050347931462568E-2</v>
      </c>
      <c r="AI35" s="71">
        <f t="shared" si="3"/>
        <v>5.0315644582475838E-2</v>
      </c>
      <c r="AJ35" s="71">
        <f t="shared" si="3"/>
        <v>4.1851649460138717E-2</v>
      </c>
    </row>
    <row r="36" spans="1:43" ht="13.5" customHeight="1" x14ac:dyDescent="0.25">
      <c r="A36" s="44" t="s">
        <v>52</v>
      </c>
      <c r="C36" s="12"/>
      <c r="D36" s="79" t="str">
        <f>D16</f>
        <v>Net Zero</v>
      </c>
      <c r="F36" s="12"/>
      <c r="G36" s="12"/>
      <c r="J36" s="1" t="s">
        <v>51</v>
      </c>
      <c r="O36" s="78" t="s">
        <v>50</v>
      </c>
      <c r="P36" s="76" t="s">
        <v>49</v>
      </c>
      <c r="Q36" s="76" t="s">
        <v>48</v>
      </c>
      <c r="R36" s="77" t="str">
        <f>M16</f>
        <v>Net Zero</v>
      </c>
      <c r="S36" s="76" t="str">
        <f>M17</f>
        <v>Announced Pledges</v>
      </c>
      <c r="T36" s="76" t="str">
        <f>M18</f>
        <v>Stated Policies</v>
      </c>
      <c r="U36" s="1" t="s">
        <v>47</v>
      </c>
      <c r="V36" s="69"/>
      <c r="Z36" s="73">
        <f>[9]Export!C22</f>
        <v>0.25</v>
      </c>
      <c r="AA36" s="72">
        <f>[9]Export!D22</f>
        <v>8.1465330338997113</v>
      </c>
      <c r="AB36" s="72">
        <f>[9]Export!E22</f>
        <v>8.2025938686525883</v>
      </c>
      <c r="AC36" s="72">
        <f>[9]Export!F22</f>
        <v>7.3517748968881653</v>
      </c>
      <c r="AD36" s="72">
        <f>[9]Export!G22</f>
        <v>8.120572408201209</v>
      </c>
      <c r="AE36" s="72">
        <f>[9]Export!H22</f>
        <v>7.4201738278995295</v>
      </c>
      <c r="AF36" s="71">
        <f t="shared" si="3"/>
        <v>9.6108999210750529E-2</v>
      </c>
      <c r="AG36" s="71">
        <f t="shared" si="3"/>
        <v>0.16083517389514879</v>
      </c>
      <c r="AH36" s="71">
        <f t="shared" si="3"/>
        <v>9.6884356011299161E-2</v>
      </c>
      <c r="AI36" s="71">
        <f t="shared" si="3"/>
        <v>7.8255284545722933E-2</v>
      </c>
      <c r="AJ36" s="71">
        <f t="shared" si="3"/>
        <v>6.3572804569502081E-2</v>
      </c>
    </row>
    <row r="37" spans="1:43" ht="13.5" customHeight="1" x14ac:dyDescent="0.25">
      <c r="A37" s="75" t="s">
        <v>340</v>
      </c>
      <c r="C37" s="12" t="str">
        <f>F62</f>
        <v>MINGIB</v>
      </c>
      <c r="D37" s="12" t="str">
        <f>VLOOKUP(A37,FuelNames,2,FALSE)</f>
        <v>GIB</v>
      </c>
      <c r="E37" s="62">
        <f t="shared" ref="E37:E42" si="4">SUMIF($O$36:$U$36,$D$36,O37:U37)</f>
        <v>0.10454194041570421</v>
      </c>
      <c r="F37" s="39">
        <f t="shared" ref="F37:F42" si="5">($E37*F$16+$V37)*F$15/1.055</f>
        <v>117.73934470134871</v>
      </c>
      <c r="G37" s="39">
        <f t="shared" ref="G37:I42" si="6">IF($J37,($E37*G$16+$V37)*G$15/1.055,F37)</f>
        <v>121.47218561739591</v>
      </c>
      <c r="H37" s="39">
        <f t="shared" si="6"/>
        <v>61.616326037809522</v>
      </c>
      <c r="I37" s="39">
        <f t="shared" si="6"/>
        <v>42.2511949973551</v>
      </c>
      <c r="J37" s="61">
        <v>1</v>
      </c>
      <c r="O37" s="68">
        <v>7.0000000000000007E-2</v>
      </c>
      <c r="P37" s="29">
        <f>(O37+Q37)/2</f>
        <v>9.5000000000000001E-2</v>
      </c>
      <c r="Q37" s="74">
        <v>0.12</v>
      </c>
      <c r="R37" s="65">
        <f t="shared" ref="R37:T40" si="7">$U37</f>
        <v>0.10454194041570421</v>
      </c>
      <c r="S37" s="65">
        <f t="shared" si="7"/>
        <v>0.10454194041570421</v>
      </c>
      <c r="T37" s="65">
        <f t="shared" si="7"/>
        <v>0.10454194041570421</v>
      </c>
      <c r="U37" s="29">
        <f>$U$41-1%</f>
        <v>0.10454194041570421</v>
      </c>
      <c r="V37" s="69"/>
      <c r="Z37" s="73">
        <f>[9]Export!C23</f>
        <v>0.5</v>
      </c>
      <c r="AA37" s="72">
        <f>[9]Export!D23</f>
        <v>8.1881379396328526</v>
      </c>
      <c r="AB37" s="72">
        <f>[9]Export!E23</f>
        <v>9.39276444788484</v>
      </c>
      <c r="AC37" s="72">
        <f>[9]Export!F23</f>
        <v>10.773557760174372</v>
      </c>
      <c r="AD37" s="72">
        <f>[9]Export!G23</f>
        <v>10.8172157152895</v>
      </c>
      <c r="AE37" s="72">
        <f>[9]Export!H23</f>
        <v>10.88496798036755</v>
      </c>
      <c r="AF37" s="71">
        <f t="shared" si="3"/>
        <v>9.659983449437741E-2</v>
      </c>
      <c r="AG37" s="71">
        <f t="shared" si="3"/>
        <v>0.1841718519193106</v>
      </c>
      <c r="AH37" s="71">
        <f t="shared" si="3"/>
        <v>0.13703360826541466</v>
      </c>
      <c r="AI37" s="29">
        <f t="shared" si="3"/>
        <v>0.10068731146567374</v>
      </c>
      <c r="AJ37" s="71">
        <f t="shared" si="3"/>
        <v>8.673811427360506E-2</v>
      </c>
    </row>
    <row r="38" spans="1:43" ht="13.5" customHeight="1" x14ac:dyDescent="0.25">
      <c r="A38" t="s">
        <v>46</v>
      </c>
      <c r="C38" s="12" t="str">
        <f>F63</f>
        <v>MINGAS</v>
      </c>
      <c r="D38" s="12" t="s">
        <v>45</v>
      </c>
      <c r="E38" s="62">
        <f t="shared" si="4"/>
        <v>9.4541940415704198E-2</v>
      </c>
      <c r="F38" s="39">
        <f t="shared" si="5"/>
        <v>106.47694185774681</v>
      </c>
      <c r="G38" s="39">
        <f t="shared" si="6"/>
        <v>106.47694185774681</v>
      </c>
      <c r="H38" s="39">
        <f t="shared" si="6"/>
        <v>106.47694185774681</v>
      </c>
      <c r="I38" s="39">
        <f t="shared" si="6"/>
        <v>106.47694185774681</v>
      </c>
      <c r="J38" s="61">
        <v>0</v>
      </c>
      <c r="O38" s="68">
        <v>7.0000000000000007E-2</v>
      </c>
      <c r="P38" s="29">
        <f>(O38+Q38)/2</f>
        <v>8.5000000000000006E-2</v>
      </c>
      <c r="Q38" s="66">
        <v>0.1</v>
      </c>
      <c r="R38" s="65">
        <f t="shared" si="7"/>
        <v>9.4541940415704198E-2</v>
      </c>
      <c r="S38" s="65">
        <f t="shared" si="7"/>
        <v>9.4541940415704198E-2</v>
      </c>
      <c r="T38" s="65">
        <f t="shared" si="7"/>
        <v>9.4541940415704198E-2</v>
      </c>
      <c r="U38" s="29">
        <f>U41-2%</f>
        <v>9.4541940415704198E-2</v>
      </c>
      <c r="V38" s="69"/>
      <c r="Z38" s="73">
        <f>[9]Export!C24</f>
        <v>0.75</v>
      </c>
      <c r="AA38" s="72">
        <f>[9]Export!D24</f>
        <v>8.2301326312875958</v>
      </c>
      <c r="AB38" s="72">
        <f>[9]Export!E24</f>
        <v>10.507400823250775</v>
      </c>
      <c r="AC38" s="72">
        <f>[9]Export!F24</f>
        <v>14.3817212159371</v>
      </c>
      <c r="AD38" s="72">
        <f>[9]Export!G24</f>
        <v>13.406527739419724</v>
      </c>
      <c r="AE38" s="72">
        <f>[9]Export!H24</f>
        <v>13.997003925763375</v>
      </c>
      <c r="AF38" s="71">
        <f t="shared" si="3"/>
        <v>9.7095268290607814E-2</v>
      </c>
      <c r="AG38" s="71">
        <f t="shared" si="3"/>
        <v>0.2060274671225642</v>
      </c>
      <c r="AH38" s="71">
        <f t="shared" si="3"/>
        <v>0.17733688995837979</v>
      </c>
      <c r="AI38" s="71">
        <f t="shared" si="3"/>
        <v>0.11681928384917907</v>
      </c>
      <c r="AJ38" s="71">
        <f t="shared" si="3"/>
        <v>0.10575096226952878</v>
      </c>
    </row>
    <row r="39" spans="1:43" ht="13.5" customHeight="1" x14ac:dyDescent="0.25">
      <c r="A39" t="s">
        <v>341</v>
      </c>
      <c r="C39" s="12" t="str">
        <f>F64</f>
        <v>MINGIH</v>
      </c>
      <c r="D39" s="12" t="str">
        <f>VLOOKUP(A39,FuelNames,2,FALSE)</f>
        <v>GIH</v>
      </c>
      <c r="E39" s="62">
        <f t="shared" si="4"/>
        <v>0.10068731146567374</v>
      </c>
      <c r="F39" s="39">
        <f t="shared" si="5"/>
        <v>113.39810629656337</v>
      </c>
      <c r="G39" s="39">
        <f t="shared" si="6"/>
        <v>113.39810629656337</v>
      </c>
      <c r="H39" s="39">
        <f t="shared" si="6"/>
        <v>113.39810629656337</v>
      </c>
      <c r="I39" s="39">
        <f t="shared" si="6"/>
        <v>113.39810629656337</v>
      </c>
      <c r="J39" s="61">
        <v>0</v>
      </c>
      <c r="O39" s="68">
        <v>0.06</v>
      </c>
      <c r="P39" s="29">
        <f>(O39+Q39)/2</f>
        <v>0.08</v>
      </c>
      <c r="Q39" s="66">
        <v>0.1</v>
      </c>
      <c r="R39" s="65">
        <f t="shared" si="7"/>
        <v>0.10068731146567374</v>
      </c>
      <c r="S39" s="65">
        <f t="shared" si="7"/>
        <v>0.10068731146567374</v>
      </c>
      <c r="T39" s="65">
        <f t="shared" si="7"/>
        <v>0.10068731146567374</v>
      </c>
      <c r="U39" s="55">
        <f>AI37</f>
        <v>0.10068731146567374</v>
      </c>
      <c r="V39" s="69"/>
      <c r="Z39" s="73">
        <f>[9]Export!C25</f>
        <v>0.95</v>
      </c>
      <c r="AA39" s="72">
        <f>[9]Export!D25</f>
        <v>8.2818014980867112</v>
      </c>
      <c r="AB39" s="72">
        <f>[9]Export!E25</f>
        <v>12.017743499367629</v>
      </c>
      <c r="AC39" s="72">
        <f>[9]Export!F25</f>
        <v>16.91401912191181</v>
      </c>
      <c r="AD39" s="72">
        <f>[9]Export!G25</f>
        <v>16.545164815873392</v>
      </c>
      <c r="AE39" s="72">
        <f>[9]Export!H25</f>
        <v>16.813949721541967</v>
      </c>
      <c r="AF39" s="71">
        <f t="shared" si="3"/>
        <v>9.770483349555481E-2</v>
      </c>
      <c r="AG39" s="71">
        <f t="shared" si="3"/>
        <v>0.23564202939936529</v>
      </c>
      <c r="AH39" s="71">
        <f t="shared" si="3"/>
        <v>0.20085327645787579</v>
      </c>
      <c r="AI39" s="71">
        <f t="shared" si="3"/>
        <v>0.13046207754179073</v>
      </c>
      <c r="AJ39" s="71">
        <f t="shared" si="3"/>
        <v>0.11902978755317412</v>
      </c>
    </row>
    <row r="40" spans="1:43" ht="13.5" customHeight="1" x14ac:dyDescent="0.25">
      <c r="A40" s="70" t="s">
        <v>342</v>
      </c>
      <c r="C40" s="1" t="str">
        <f>F87</f>
        <v>MIRGRM</v>
      </c>
      <c r="D40" s="12" t="str">
        <f>VLOOKUP(A40,FuelNames,2,FALSE)</f>
        <v>GRM</v>
      </c>
      <c r="E40" s="62">
        <f t="shared" si="4"/>
        <v>0.10454194041570421</v>
      </c>
      <c r="F40" s="39">
        <f t="shared" si="5"/>
        <v>117.73934470134871</v>
      </c>
      <c r="G40" s="39">
        <f t="shared" si="6"/>
        <v>117.73934470134871</v>
      </c>
      <c r="H40" s="39">
        <f t="shared" si="6"/>
        <v>117.73934470134871</v>
      </c>
      <c r="I40" s="39">
        <f t="shared" si="6"/>
        <v>117.73934470134871</v>
      </c>
      <c r="J40" s="61">
        <v>0</v>
      </c>
      <c r="O40" s="68">
        <v>0.03</v>
      </c>
      <c r="P40" s="29">
        <f>(O40+Q40)/2</f>
        <v>5.5E-2</v>
      </c>
      <c r="Q40" s="66">
        <v>0.08</v>
      </c>
      <c r="R40" s="65">
        <f t="shared" si="7"/>
        <v>0.10454194041570421</v>
      </c>
      <c r="S40" s="65">
        <f t="shared" si="7"/>
        <v>0.10454194041570421</v>
      </c>
      <c r="T40" s="65">
        <f t="shared" si="7"/>
        <v>0.10454194041570421</v>
      </c>
      <c r="U40" s="29">
        <f>$U$41-1%</f>
        <v>0.10454194041570421</v>
      </c>
      <c r="V40" s="69"/>
    </row>
    <row r="41" spans="1:43" ht="13.5" customHeight="1" x14ac:dyDescent="0.25">
      <c r="A41" t="s">
        <v>343</v>
      </c>
      <c r="C41" s="12" t="str">
        <f>F74</f>
        <v>IMPGRL</v>
      </c>
      <c r="D41" s="12" t="str">
        <f>VLOOKUP(A41,FuelNames,2,FALSE)</f>
        <v>GRL</v>
      </c>
      <c r="E41" s="62">
        <f t="shared" si="4"/>
        <v>0.1919642857142857</v>
      </c>
      <c r="F41" s="39">
        <f t="shared" si="5"/>
        <v>222.43487855450238</v>
      </c>
      <c r="G41" s="39">
        <f t="shared" si="6"/>
        <v>229.28927725118484</v>
      </c>
      <c r="H41" s="39">
        <f t="shared" si="6"/>
        <v>119.37944312796211</v>
      </c>
      <c r="I41" s="39">
        <f t="shared" si="6"/>
        <v>83.82037914691945</v>
      </c>
      <c r="J41" s="61">
        <v>1</v>
      </c>
      <c r="O41" s="68">
        <v>0.1</v>
      </c>
      <c r="P41" s="67"/>
      <c r="Q41" s="66">
        <v>0.16</v>
      </c>
      <c r="R41" s="65">
        <f>AVERAGE(IEA_WEO!DL108:DM108)</f>
        <v>0.1919642857142857</v>
      </c>
      <c r="S41" s="64">
        <f>AVERAGE(IEA_WEO!DN108:DO108)</f>
        <v>0.13276041666666666</v>
      </c>
      <c r="T41" s="64">
        <f>AVERAGE(IEA_WEO!DP108:DQ108)</f>
        <v>0.12225288831835687</v>
      </c>
      <c r="U41" s="55">
        <f>AVERAGE(AF30:AJ30)</f>
        <v>0.1145419404157042</v>
      </c>
      <c r="V41" s="63">
        <v>0.4</v>
      </c>
    </row>
    <row r="42" spans="1:43" ht="13.5" customHeight="1" thickBot="1" x14ac:dyDescent="0.3">
      <c r="A42" t="s">
        <v>344</v>
      </c>
      <c r="C42" s="12" t="str">
        <f>F75</f>
        <v>IMPGWL</v>
      </c>
      <c r="D42" s="12" t="str">
        <f>VLOOKUP(A42,FuelNames,2,FALSE)</f>
        <v>GWL</v>
      </c>
      <c r="E42" s="62">
        <f t="shared" si="4"/>
        <v>0.1919642857142857</v>
      </c>
      <c r="F42" s="39">
        <f t="shared" si="5"/>
        <v>228.67184537914693</v>
      </c>
      <c r="G42" s="39">
        <f t="shared" si="6"/>
        <v>235.5262440758294</v>
      </c>
      <c r="H42" s="39">
        <f t="shared" si="6"/>
        <v>125.61640995260666</v>
      </c>
      <c r="I42" s="39">
        <f t="shared" si="6"/>
        <v>90.057345971563976</v>
      </c>
      <c r="J42" s="61">
        <v>1</v>
      </c>
      <c r="O42" s="60">
        <f>O41</f>
        <v>0.1</v>
      </c>
      <c r="P42" s="59"/>
      <c r="Q42" s="58">
        <v>0.16</v>
      </c>
      <c r="R42" s="57">
        <f>R41</f>
        <v>0.1919642857142857</v>
      </c>
      <c r="S42" s="56">
        <f>S41</f>
        <v>0.13276041666666666</v>
      </c>
      <c r="T42" s="56">
        <f>T41</f>
        <v>0.12225288831835687</v>
      </c>
      <c r="U42" s="55">
        <f>U41</f>
        <v>0.1145419404157042</v>
      </c>
      <c r="V42" s="54">
        <v>0.8</v>
      </c>
      <c r="Z42" s="1" t="s">
        <v>44</v>
      </c>
    </row>
    <row r="43" spans="1:43" ht="13.5" customHeight="1" x14ac:dyDescent="0.25">
      <c r="C43" s="12"/>
      <c r="D43" s="12"/>
      <c r="E43" s="12"/>
      <c r="F43" s="12"/>
      <c r="G43" s="12"/>
      <c r="H43" s="12"/>
      <c r="I43" s="12"/>
      <c r="J43" s="52"/>
      <c r="K43" s="52"/>
      <c r="L43" s="52"/>
      <c r="N43"/>
      <c r="Y43" s="53"/>
      <c r="Z43" s="37"/>
      <c r="AA43" s="37" t="s">
        <v>43</v>
      </c>
      <c r="AB43" s="37">
        <v>2010</v>
      </c>
      <c r="AC43" s="37">
        <v>2020</v>
      </c>
      <c r="AD43" s="37">
        <v>2025</v>
      </c>
      <c r="AE43" s="37">
        <v>2030</v>
      </c>
      <c r="AF43" s="37">
        <v>2035</v>
      </c>
      <c r="AG43" s="37">
        <v>2040</v>
      </c>
      <c r="AH43" s="37">
        <v>2045</v>
      </c>
      <c r="AI43" s="37">
        <v>2050</v>
      </c>
      <c r="AJ43" s="1">
        <f t="shared" ref="AJ43:AQ43" si="8">AB43</f>
        <v>2010</v>
      </c>
      <c r="AK43" s="1">
        <f t="shared" si="8"/>
        <v>2020</v>
      </c>
      <c r="AL43" s="1">
        <f t="shared" si="8"/>
        <v>2025</v>
      </c>
      <c r="AM43" s="1">
        <f t="shared" si="8"/>
        <v>2030</v>
      </c>
      <c r="AN43" s="1">
        <f t="shared" si="8"/>
        <v>2035</v>
      </c>
      <c r="AO43" s="1">
        <f t="shared" si="8"/>
        <v>2040</v>
      </c>
      <c r="AP43" s="1">
        <f t="shared" si="8"/>
        <v>2045</v>
      </c>
      <c r="AQ43" s="1">
        <f t="shared" si="8"/>
        <v>2050</v>
      </c>
    </row>
    <row r="44" spans="1:43" ht="13.5" customHeight="1" x14ac:dyDescent="0.25">
      <c r="C44" s="12"/>
      <c r="D44" s="12"/>
      <c r="E44" s="12"/>
      <c r="F44" s="12"/>
      <c r="G44" s="12"/>
      <c r="H44" s="12"/>
      <c r="I44" s="12"/>
      <c r="J44" s="52"/>
      <c r="K44" s="52"/>
      <c r="L44" s="52"/>
      <c r="N44"/>
      <c r="Y44" s="47" t="s">
        <v>42</v>
      </c>
      <c r="AA44" s="42" t="s">
        <v>13</v>
      </c>
      <c r="AB44" s="41">
        <v>78</v>
      </c>
      <c r="AC44" s="41">
        <v>118</v>
      </c>
      <c r="AD44" s="41">
        <v>127</v>
      </c>
      <c r="AE44" s="41">
        <v>134</v>
      </c>
      <c r="AF44" s="41">
        <v>140</v>
      </c>
      <c r="AG44" s="41">
        <v>143</v>
      </c>
      <c r="AH44" s="41">
        <v>146</v>
      </c>
      <c r="AI44" s="41">
        <v>149</v>
      </c>
    </row>
    <row r="45" spans="1:43" ht="15" x14ac:dyDescent="0.25">
      <c r="A45" s="46" t="s">
        <v>41</v>
      </c>
      <c r="B45" s="45" t="s">
        <v>22</v>
      </c>
      <c r="C45" s="51"/>
      <c r="D45" s="50" t="s">
        <v>40</v>
      </c>
      <c r="E45" s="49"/>
      <c r="F45" s="49"/>
      <c r="G45" s="49"/>
      <c r="H45" s="49"/>
      <c r="I45" s="49"/>
      <c r="N45"/>
      <c r="P45"/>
      <c r="Y45"/>
      <c r="Z45" s="37" t="s">
        <v>39</v>
      </c>
      <c r="AA45" s="37" t="s">
        <v>11</v>
      </c>
      <c r="AB45" s="36">
        <v>78</v>
      </c>
      <c r="AC45" s="36">
        <v>97</v>
      </c>
      <c r="AD45" s="36">
        <v>97</v>
      </c>
      <c r="AE45" s="36">
        <v>97</v>
      </c>
      <c r="AF45" s="36">
        <v>97</v>
      </c>
      <c r="AG45" s="36">
        <v>92</v>
      </c>
      <c r="AH45" s="36">
        <v>89</v>
      </c>
      <c r="AI45" s="36">
        <v>87</v>
      </c>
    </row>
    <row r="46" spans="1:43" ht="15" x14ac:dyDescent="0.25">
      <c r="A46" s="48" t="s">
        <v>38</v>
      </c>
      <c r="B46" s="12" t="s">
        <v>37</v>
      </c>
      <c r="C46" s="39" t="s">
        <v>36</v>
      </c>
      <c r="D46" s="39" t="s">
        <v>35</v>
      </c>
      <c r="E46" s="39" t="s">
        <v>34</v>
      </c>
      <c r="F46" s="39" t="s">
        <v>33</v>
      </c>
      <c r="G46" s="39"/>
      <c r="H46" s="39"/>
      <c r="I46" s="39"/>
      <c r="K46" s="43"/>
      <c r="L46" s="43"/>
      <c r="M46" s="15"/>
      <c r="N46"/>
      <c r="P46"/>
      <c r="Y46" s="47" t="s">
        <v>32</v>
      </c>
      <c r="AA46" s="42" t="s">
        <v>13</v>
      </c>
      <c r="AB46" s="41">
        <v>99</v>
      </c>
      <c r="AC46" s="41">
        <v>109</v>
      </c>
      <c r="AD46" s="41">
        <v>113</v>
      </c>
      <c r="AE46" s="41">
        <v>116</v>
      </c>
      <c r="AF46" s="41">
        <v>118</v>
      </c>
      <c r="AG46" s="41">
        <v>121</v>
      </c>
      <c r="AH46" s="41">
        <v>123</v>
      </c>
      <c r="AI46" s="41">
        <v>126</v>
      </c>
    </row>
    <row r="47" spans="1:43" ht="15" x14ac:dyDescent="0.25">
      <c r="A47" s="1" t="s">
        <v>31</v>
      </c>
      <c r="B47" s="12" t="s">
        <v>30</v>
      </c>
      <c r="C47" s="39"/>
      <c r="D47" s="39"/>
      <c r="E47" s="39"/>
      <c r="F47" s="39"/>
      <c r="G47" s="39"/>
      <c r="H47" s="43"/>
      <c r="I47" s="43"/>
      <c r="K47" s="43"/>
      <c r="L47" s="43"/>
      <c r="M47" s="15"/>
      <c r="N47"/>
      <c r="P47"/>
      <c r="Y47"/>
      <c r="Z47" s="37" t="s">
        <v>29</v>
      </c>
      <c r="AA47" s="37" t="s">
        <v>11</v>
      </c>
      <c r="AB47" s="36">
        <v>99</v>
      </c>
      <c r="AC47" s="36">
        <v>93</v>
      </c>
      <c r="AD47" s="36">
        <v>83</v>
      </c>
      <c r="AE47" s="36">
        <v>74</v>
      </c>
      <c r="AF47" s="36">
        <v>68</v>
      </c>
      <c r="AG47" s="36">
        <v>64</v>
      </c>
      <c r="AH47" s="36">
        <v>62</v>
      </c>
      <c r="AI47" s="36">
        <v>60</v>
      </c>
    </row>
    <row r="48" spans="1:43" ht="15" x14ac:dyDescent="0.25">
      <c r="A48" s="1" t="s">
        <v>28</v>
      </c>
      <c r="B48" s="12" t="s">
        <v>27</v>
      </c>
      <c r="C48" s="39"/>
      <c r="D48" s="39"/>
      <c r="E48" s="39"/>
      <c r="F48" s="39"/>
      <c r="G48" s="39"/>
      <c r="H48" s="43"/>
      <c r="I48" s="43"/>
      <c r="K48" s="43"/>
      <c r="L48" s="43"/>
      <c r="M48" s="15"/>
      <c r="N48"/>
      <c r="P48"/>
      <c r="Y48" s="37" t="s">
        <v>26</v>
      </c>
      <c r="Z48"/>
      <c r="AA48" s="42" t="s">
        <v>13</v>
      </c>
      <c r="AB48" s="41">
        <v>4</v>
      </c>
      <c r="AC48" s="41">
        <v>7</v>
      </c>
      <c r="AD48" s="41">
        <v>8</v>
      </c>
      <c r="AE48" s="41">
        <v>8</v>
      </c>
      <c r="AF48" s="41">
        <v>9</v>
      </c>
      <c r="AG48" s="41">
        <v>9</v>
      </c>
      <c r="AH48" s="41">
        <v>9</v>
      </c>
      <c r="AI48" s="41">
        <v>10</v>
      </c>
    </row>
    <row r="49" spans="1:52" ht="15" x14ac:dyDescent="0.25">
      <c r="A49" s="1" t="s">
        <v>25</v>
      </c>
      <c r="B49" s="12" t="s">
        <v>24</v>
      </c>
      <c r="C49" s="39"/>
      <c r="D49" s="39"/>
      <c r="E49" s="39"/>
      <c r="F49" s="39"/>
      <c r="G49" s="39"/>
      <c r="H49" s="43"/>
      <c r="I49" s="43"/>
      <c r="K49" s="43"/>
      <c r="L49" s="43"/>
      <c r="M49" s="15"/>
      <c r="N49"/>
      <c r="P49"/>
      <c r="Y49"/>
      <c r="Z49" s="37" t="s">
        <v>12</v>
      </c>
      <c r="AA49" s="37" t="s">
        <v>11</v>
      </c>
      <c r="AB49" s="36">
        <v>4</v>
      </c>
      <c r="AC49" s="36">
        <v>7</v>
      </c>
      <c r="AD49" s="36">
        <v>8</v>
      </c>
      <c r="AE49" s="36">
        <v>8</v>
      </c>
      <c r="AF49" s="36">
        <v>8</v>
      </c>
      <c r="AG49" s="36">
        <v>7</v>
      </c>
      <c r="AH49" s="36">
        <v>7</v>
      </c>
      <c r="AI49" s="36">
        <v>7</v>
      </c>
    </row>
    <row r="50" spans="1:52" ht="15" x14ac:dyDescent="0.25">
      <c r="A50" s="46" t="s">
        <v>23</v>
      </c>
      <c r="B50" s="45" t="s">
        <v>22</v>
      </c>
      <c r="C50" s="39"/>
      <c r="D50" s="39"/>
      <c r="E50" s="39"/>
      <c r="F50" s="39"/>
      <c r="G50" s="39"/>
      <c r="H50" s="43"/>
      <c r="I50" s="43"/>
      <c r="K50" s="43"/>
      <c r="L50" s="43"/>
      <c r="M50" s="15"/>
      <c r="N50" s="15"/>
      <c r="Y50" s="37" t="s">
        <v>21</v>
      </c>
      <c r="Z50"/>
      <c r="AA50" s="42" t="s">
        <v>13</v>
      </c>
      <c r="AB50" s="41">
        <v>7</v>
      </c>
      <c r="AC50" s="41">
        <v>11</v>
      </c>
      <c r="AD50" s="41">
        <v>12</v>
      </c>
      <c r="AE50" s="41">
        <v>13</v>
      </c>
      <c r="AF50" s="41">
        <v>13</v>
      </c>
      <c r="AG50" s="41">
        <v>13</v>
      </c>
      <c r="AH50" s="41">
        <v>14</v>
      </c>
      <c r="AI50" s="41">
        <v>14</v>
      </c>
    </row>
    <row r="51" spans="1:52" ht="15" x14ac:dyDescent="0.25">
      <c r="A51" s="44" t="s">
        <v>20</v>
      </c>
      <c r="B51" s="12" t="s">
        <v>19</v>
      </c>
      <c r="C51" s="39"/>
      <c r="D51" s="39"/>
      <c r="E51" s="39"/>
      <c r="F51" s="39"/>
      <c r="G51" s="39"/>
      <c r="H51" s="43"/>
      <c r="I51" s="43"/>
      <c r="K51" s="43"/>
      <c r="L51" s="43"/>
      <c r="M51" s="15"/>
      <c r="N51" s="15"/>
      <c r="W51" t="s">
        <v>18</v>
      </c>
      <c r="X51">
        <v>0.5</v>
      </c>
      <c r="Z51" s="37" t="s">
        <v>12</v>
      </c>
      <c r="AA51" s="37" t="s">
        <v>11</v>
      </c>
      <c r="AB51" s="36">
        <v>7</v>
      </c>
      <c r="AC51" s="36">
        <v>10</v>
      </c>
      <c r="AD51" s="36">
        <v>10</v>
      </c>
      <c r="AE51" s="36">
        <v>10</v>
      </c>
      <c r="AF51" s="36">
        <v>9</v>
      </c>
      <c r="AG51" s="36">
        <v>9</v>
      </c>
      <c r="AH51" s="36">
        <v>9</v>
      </c>
      <c r="AI51" s="36">
        <v>8</v>
      </c>
    </row>
    <row r="52" spans="1:52" ht="15" x14ac:dyDescent="0.2">
      <c r="A52" s="44" t="s">
        <v>17</v>
      </c>
      <c r="B52" s="12" t="s">
        <v>16</v>
      </c>
      <c r="C52" s="39"/>
      <c r="D52" s="39"/>
      <c r="E52" s="39" t="s">
        <v>15</v>
      </c>
      <c r="F52" s="39"/>
      <c r="G52" s="39"/>
      <c r="H52" s="43"/>
      <c r="I52" s="43"/>
      <c r="K52" s="43"/>
      <c r="L52" s="43"/>
      <c r="M52" s="15"/>
      <c r="N52" s="15"/>
      <c r="Y52" s="37" t="s">
        <v>14</v>
      </c>
      <c r="AA52" s="42" t="s">
        <v>13</v>
      </c>
      <c r="AB52" s="41">
        <v>11</v>
      </c>
      <c r="AC52" s="41">
        <v>14</v>
      </c>
      <c r="AD52" s="41">
        <v>14</v>
      </c>
      <c r="AE52" s="41">
        <v>15</v>
      </c>
      <c r="AF52" s="41">
        <v>15</v>
      </c>
      <c r="AG52" s="41">
        <v>15</v>
      </c>
      <c r="AH52" s="41">
        <v>16</v>
      </c>
      <c r="AI52" s="41">
        <v>16</v>
      </c>
    </row>
    <row r="53" spans="1:52" ht="15" x14ac:dyDescent="0.25">
      <c r="A53" s="40"/>
      <c r="B53" s="38"/>
      <c r="C53" s="38"/>
      <c r="D53" s="35" t="s">
        <v>10</v>
      </c>
      <c r="E53" s="34">
        <v>1</v>
      </c>
      <c r="F53" s="15">
        <v>-0.95</v>
      </c>
      <c r="G53" s="38"/>
      <c r="H53" s="38"/>
      <c r="I53" s="38"/>
      <c r="K53" s="38"/>
      <c r="L53" s="38"/>
      <c r="M53" s="15"/>
      <c r="N53" s="15"/>
      <c r="W53" t="str">
        <f>W51</f>
        <v>weighting</v>
      </c>
      <c r="X53">
        <v>0.5</v>
      </c>
      <c r="Z53" s="37" t="s">
        <v>12</v>
      </c>
      <c r="AA53" s="37" t="s">
        <v>11</v>
      </c>
      <c r="AB53" s="36">
        <v>11</v>
      </c>
      <c r="AC53" s="36">
        <v>12</v>
      </c>
      <c r="AD53" s="36">
        <v>12</v>
      </c>
      <c r="AE53" s="36">
        <v>12</v>
      </c>
      <c r="AF53" s="36">
        <v>12</v>
      </c>
      <c r="AG53" s="36">
        <v>12</v>
      </c>
      <c r="AH53" s="36">
        <v>11</v>
      </c>
      <c r="AI53" s="36">
        <v>11</v>
      </c>
    </row>
    <row r="54" spans="1:52" ht="15" x14ac:dyDescent="0.25">
      <c r="C54" s="33"/>
      <c r="H54" s="33"/>
      <c r="I54" s="33"/>
      <c r="J54" s="33"/>
      <c r="K54" s="15"/>
      <c r="Y54" t="s">
        <v>9</v>
      </c>
      <c r="AA54" s="30" t="str">
        <f>AA52</f>
        <v>6DS</v>
      </c>
      <c r="AB54">
        <f t="shared" ref="AB54:AI54" si="9">AB50*$X$51+AB52*$X$53</f>
        <v>9</v>
      </c>
      <c r="AC54">
        <f t="shared" si="9"/>
        <v>12.5</v>
      </c>
      <c r="AD54">
        <f t="shared" si="9"/>
        <v>13</v>
      </c>
      <c r="AE54">
        <f t="shared" si="9"/>
        <v>14</v>
      </c>
      <c r="AF54">
        <f t="shared" si="9"/>
        <v>14</v>
      </c>
      <c r="AG54">
        <f t="shared" si="9"/>
        <v>14</v>
      </c>
      <c r="AH54">
        <f t="shared" si="9"/>
        <v>15</v>
      </c>
      <c r="AI54">
        <f t="shared" si="9"/>
        <v>15</v>
      </c>
      <c r="AJ54" s="29">
        <f t="shared" ref="AJ54:AQ54" si="10">AB54/AB44</f>
        <v>0.11538461538461539</v>
      </c>
      <c r="AK54" s="29">
        <f t="shared" si="10"/>
        <v>0.1059322033898305</v>
      </c>
      <c r="AL54" s="29">
        <f t="shared" si="10"/>
        <v>0.10236220472440945</v>
      </c>
      <c r="AM54" s="29">
        <f t="shared" si="10"/>
        <v>0.1044776119402985</v>
      </c>
      <c r="AN54" s="29">
        <f t="shared" si="10"/>
        <v>0.1</v>
      </c>
      <c r="AO54" s="29">
        <f t="shared" si="10"/>
        <v>9.7902097902097904E-2</v>
      </c>
      <c r="AP54" s="29">
        <f t="shared" si="10"/>
        <v>0.10273972602739725</v>
      </c>
      <c r="AQ54" s="29">
        <f t="shared" si="10"/>
        <v>0.10067114093959731</v>
      </c>
    </row>
    <row r="55" spans="1:52" ht="36" x14ac:dyDescent="0.25">
      <c r="A55" s="32" t="s">
        <v>8</v>
      </c>
      <c r="C55" s="31"/>
      <c r="D55" s="31"/>
      <c r="E55" s="31"/>
      <c r="F55" s="31" t="s">
        <v>410</v>
      </c>
      <c r="G55" s="31"/>
      <c r="H55" s="31"/>
      <c r="I55" s="31"/>
      <c r="J55" s="31"/>
      <c r="K55" s="31"/>
      <c r="L55" s="31"/>
      <c r="M55" s="27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AA55"/>
      <c r="AB55" t="str">
        <f>Z53</f>
        <v>(2010 US$/Mbtu)</v>
      </c>
      <c r="AC55" s="30" t="str">
        <f>AA53</f>
        <v>2DS</v>
      </c>
      <c r="AD55">
        <f t="shared" ref="AD55:AK55" si="11">AB51*$X$51+AB53*$X$53</f>
        <v>9</v>
      </c>
      <c r="AE55">
        <f t="shared" si="11"/>
        <v>11</v>
      </c>
      <c r="AF55">
        <f t="shared" si="11"/>
        <v>11</v>
      </c>
      <c r="AG55">
        <f t="shared" si="11"/>
        <v>11</v>
      </c>
      <c r="AH55">
        <f t="shared" si="11"/>
        <v>10.5</v>
      </c>
      <c r="AI55">
        <f t="shared" si="11"/>
        <v>10.5</v>
      </c>
      <c r="AJ55">
        <f t="shared" si="11"/>
        <v>10</v>
      </c>
      <c r="AK55">
        <f t="shared" si="11"/>
        <v>9.5</v>
      </c>
      <c r="AL55" s="29">
        <f t="shared" ref="AL55:AS55" si="12">AD55/AB45</f>
        <v>0.11538461538461539</v>
      </c>
      <c r="AM55" s="29">
        <f t="shared" si="12"/>
        <v>0.1134020618556701</v>
      </c>
      <c r="AN55" s="29">
        <f t="shared" si="12"/>
        <v>0.1134020618556701</v>
      </c>
      <c r="AO55" s="29">
        <f t="shared" si="12"/>
        <v>0.1134020618556701</v>
      </c>
      <c r="AP55" s="29">
        <f t="shared" si="12"/>
        <v>0.10824742268041238</v>
      </c>
      <c r="AQ55" s="29">
        <f t="shared" si="12"/>
        <v>0.11413043478260869</v>
      </c>
      <c r="AR55" s="29">
        <f t="shared" si="12"/>
        <v>0.11235955056179775</v>
      </c>
      <c r="AS55" s="29">
        <f t="shared" si="12"/>
        <v>0.10919540229885058</v>
      </c>
      <c r="AT55" s="12"/>
    </row>
    <row r="56" spans="1:52" ht="26.25" customHeight="1" x14ac:dyDescent="0.25">
      <c r="A56" s="28"/>
      <c r="B56" s="27"/>
      <c r="C56" s="27"/>
      <c r="D56" s="27"/>
      <c r="E56" s="27"/>
      <c r="F56" s="27" t="s">
        <v>408</v>
      </c>
      <c r="G56" s="27" t="s">
        <v>407</v>
      </c>
      <c r="H56" s="27">
        <v>2017</v>
      </c>
      <c r="I56" s="27">
        <v>2021</v>
      </c>
      <c r="J56" s="27">
        <v>2030</v>
      </c>
      <c r="K56" s="27">
        <v>2050</v>
      </c>
      <c r="L56" s="27"/>
      <c r="M56" s="27"/>
      <c r="N56" s="27"/>
      <c r="O56" s="27"/>
      <c r="P56" s="27"/>
      <c r="Q56" s="27"/>
      <c r="R56" s="27"/>
      <c r="S56" s="27"/>
      <c r="T56" s="26"/>
      <c r="U56" s="26"/>
      <c r="V56" s="24" t="s">
        <v>7</v>
      </c>
      <c r="W56" s="24" t="s">
        <v>6</v>
      </c>
      <c r="X56" s="24"/>
      <c r="Y56" s="24"/>
      <c r="Z56" s="24"/>
      <c r="AA56" s="24" t="s">
        <v>5</v>
      </c>
      <c r="AB56" s="24">
        <f t="shared" ref="AB56:AI56" si="13">AVERAGE(AB54:AB55)</f>
        <v>9</v>
      </c>
      <c r="AC56" s="24">
        <f t="shared" si="13"/>
        <v>12.5</v>
      </c>
      <c r="AD56" s="24">
        <f t="shared" si="13"/>
        <v>11</v>
      </c>
      <c r="AE56" s="24">
        <f t="shared" si="13"/>
        <v>12.5</v>
      </c>
      <c r="AF56" s="24">
        <f t="shared" si="13"/>
        <v>12.5</v>
      </c>
      <c r="AG56" s="24">
        <f t="shared" si="13"/>
        <v>12.5</v>
      </c>
      <c r="AH56" s="24">
        <f t="shared" si="13"/>
        <v>12.75</v>
      </c>
      <c r="AI56" s="24">
        <f t="shared" si="13"/>
        <v>12.75</v>
      </c>
      <c r="AJ56" s="25">
        <f t="shared" ref="AJ56:AQ56" si="14">AB56/AVERAGE(AB44:AB45)</f>
        <v>0.11538461538461539</v>
      </c>
      <c r="AK56" s="25">
        <f t="shared" si="14"/>
        <v>0.11627906976744186</v>
      </c>
      <c r="AL56" s="25">
        <f t="shared" si="14"/>
        <v>9.8214285714285712E-2</v>
      </c>
      <c r="AM56" s="25">
        <f t="shared" si="14"/>
        <v>0.10822510822510822</v>
      </c>
      <c r="AN56" s="25">
        <f t="shared" si="14"/>
        <v>0.10548523206751055</v>
      </c>
      <c r="AO56" s="25">
        <f t="shared" si="14"/>
        <v>0.10638297872340426</v>
      </c>
      <c r="AP56" s="25">
        <f t="shared" si="14"/>
        <v>0.10851063829787234</v>
      </c>
      <c r="AQ56" s="25">
        <f t="shared" si="14"/>
        <v>0.10805084745762712</v>
      </c>
      <c r="AR56" s="24"/>
      <c r="AT56" s="211"/>
      <c r="AU56" s="211"/>
      <c r="AV56" s="211"/>
      <c r="AW56" s="211"/>
      <c r="AX56" s="211"/>
      <c r="AY56" s="211"/>
      <c r="AZ56" s="211"/>
    </row>
    <row r="57" spans="1:52" ht="15" x14ac:dyDescent="0.25">
      <c r="A57" s="14" t="str">
        <f t="shared" ref="A57:A62" si="15">"Extraction of "&amp;INDEX(FuelNamesLong,MATCH(C57,FuelNamesShort,0))</f>
        <v>Extraction of Coal</v>
      </c>
      <c r="B57" s="6"/>
      <c r="C57" s="13" t="s">
        <v>345</v>
      </c>
      <c r="D57" s="13"/>
      <c r="E57" s="13"/>
      <c r="F57" s="12" t="str">
        <f t="shared" ref="F57:F64" si="16">$B$46&amp;C57</f>
        <v>MINCOA</v>
      </c>
      <c r="G57" s="12" t="s">
        <v>409</v>
      </c>
      <c r="H57" s="11">
        <f>45*1.256</f>
        <v>56.52</v>
      </c>
      <c r="I57" s="11">
        <f>H57</f>
        <v>56.52</v>
      </c>
      <c r="J57" s="11">
        <f>I57</f>
        <v>56.52</v>
      </c>
      <c r="K57" s="11">
        <f>J57</f>
        <v>56.52</v>
      </c>
      <c r="L57" s="11"/>
      <c r="M57" s="11"/>
      <c r="N57" s="11"/>
      <c r="O57"/>
      <c r="P57"/>
      <c r="Q57"/>
      <c r="R57"/>
      <c r="S57"/>
      <c r="T57" s="20"/>
      <c r="U57" s="20"/>
      <c r="V57" s="19"/>
      <c r="W57" s="19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52" ht="15" x14ac:dyDescent="0.25">
      <c r="A58" s="14" t="str">
        <f t="shared" si="15"/>
        <v>Extraction of Coal low grade</v>
      </c>
      <c r="C58" s="13" t="s">
        <v>346</v>
      </c>
      <c r="D58" s="13"/>
      <c r="E58" s="13"/>
      <c r="F58" s="12" t="str">
        <f t="shared" si="16"/>
        <v>MINCLE</v>
      </c>
      <c r="G58" s="12" t="s">
        <v>409</v>
      </c>
      <c r="H58" s="11">
        <f>H57/2</f>
        <v>28.26</v>
      </c>
      <c r="I58" s="11">
        <f>I57/2</f>
        <v>28.26</v>
      </c>
      <c r="J58" s="11">
        <f>I58</f>
        <v>28.26</v>
      </c>
      <c r="K58" s="11">
        <f>J58</f>
        <v>28.26</v>
      </c>
      <c r="L58" s="11"/>
      <c r="M58" s="11"/>
      <c r="N58" s="11"/>
      <c r="O58"/>
      <c r="P58"/>
      <c r="Q58"/>
      <c r="R58"/>
      <c r="S58"/>
      <c r="T58" s="20"/>
      <c r="U58" s="20"/>
      <c r="V58" s="19"/>
      <c r="X58" s="18"/>
      <c r="Y58" s="10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T58" s="6"/>
    </row>
    <row r="59" spans="1:52" ht="15" x14ac:dyDescent="0.25">
      <c r="A59" s="14" t="str">
        <f t="shared" si="15"/>
        <v>Extraction of Coal Discard</v>
      </c>
      <c r="C59" s="13" t="s">
        <v>347</v>
      </c>
      <c r="D59" s="13"/>
      <c r="E59" s="13"/>
      <c r="F59" s="12" t="str">
        <f t="shared" si="16"/>
        <v>MINCLD</v>
      </c>
      <c r="G59" s="12" t="s">
        <v>409</v>
      </c>
      <c r="H59" s="11">
        <f>H58/2</f>
        <v>14.13</v>
      </c>
      <c r="I59" s="11">
        <f t="shared" ref="I59:K59" si="17">I58/2</f>
        <v>14.13</v>
      </c>
      <c r="J59" s="11">
        <f t="shared" si="17"/>
        <v>14.13</v>
      </c>
      <c r="K59" s="11">
        <f t="shared" si="17"/>
        <v>14.13</v>
      </c>
      <c r="L59" s="11"/>
      <c r="M59" s="11"/>
      <c r="N59" s="11"/>
      <c r="O59"/>
      <c r="P59"/>
      <c r="Q59"/>
      <c r="R59"/>
      <c r="S59"/>
      <c r="X59" s="10"/>
      <c r="Y59" s="10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T59" s="6"/>
    </row>
    <row r="60" spans="1:52" ht="15" x14ac:dyDescent="0.25">
      <c r="A60" s="14" t="str">
        <f t="shared" si="15"/>
        <v>Extraction of Oil Crude</v>
      </c>
      <c r="C60" s="13" t="s">
        <v>348</v>
      </c>
      <c r="D60" s="13"/>
      <c r="E60" s="13"/>
      <c r="F60" s="12" t="str">
        <f t="shared" si="16"/>
        <v>MINOCR</v>
      </c>
      <c r="G60" s="12" t="s">
        <v>409</v>
      </c>
      <c r="H60" s="11">
        <f>SUMIF($E$22:$E$34,$C60,F$22:F$34)*0.9</f>
        <v>176.80768308176101</v>
      </c>
      <c r="I60" s="11">
        <f>SUMIF($E$22:$E$34,$C60,G$22:G$34)*0.9</f>
        <v>182.41324301886792</v>
      </c>
      <c r="J60" s="11">
        <f>SUMIF($E$22:$E$34,$C60,H$22:H$34)*0.9</f>
        <v>92.528456603773591</v>
      </c>
      <c r="K60" s="11">
        <f>SUMIF($E$22:$E$34,$C60,I$22:I$34)*0.9</f>
        <v>63.448084528301898</v>
      </c>
      <c r="L60" s="11"/>
      <c r="M60" s="11"/>
      <c r="N60" s="11"/>
      <c r="O60"/>
      <c r="P60"/>
      <c r="Q60"/>
      <c r="R60"/>
      <c r="S60"/>
      <c r="X60" s="10"/>
      <c r="Y60" s="10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T60" s="6"/>
    </row>
    <row r="61" spans="1:52" ht="15" x14ac:dyDescent="0.25">
      <c r="A61" s="14" t="str">
        <f t="shared" si="15"/>
        <v>Extraction of Coastal Gas</v>
      </c>
      <c r="C61" s="13" t="s">
        <v>349</v>
      </c>
      <c r="D61" s="13"/>
      <c r="E61" s="13"/>
      <c r="F61" s="12" t="str">
        <f t="shared" si="16"/>
        <v>MINGIC</v>
      </c>
      <c r="G61" s="12" t="s">
        <v>409</v>
      </c>
      <c r="H61" s="11">
        <f>H86</f>
        <v>70</v>
      </c>
      <c r="I61" s="11">
        <f>I86</f>
        <v>120</v>
      </c>
      <c r="J61" s="11">
        <f>I61</f>
        <v>120</v>
      </c>
      <c r="K61" s="11">
        <f>J61</f>
        <v>120</v>
      </c>
      <c r="L61" s="11"/>
      <c r="M61" s="11"/>
      <c r="N61" s="11"/>
      <c r="O61"/>
      <c r="P61"/>
      <c r="Q61"/>
      <c r="R61"/>
      <c r="S61"/>
      <c r="X61" s="10"/>
      <c r="Y61" s="10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T61" s="6"/>
    </row>
    <row r="62" spans="1:52" ht="15" x14ac:dyDescent="0.25">
      <c r="A62" s="14" t="str">
        <f t="shared" si="15"/>
        <v>Extraction of Gas Indigenous Ibhubezi</v>
      </c>
      <c r="C62" s="13" t="s">
        <v>350</v>
      </c>
      <c r="D62" s="13"/>
      <c r="E62" s="13"/>
      <c r="F62" s="12" t="str">
        <f t="shared" si="16"/>
        <v>MINGIB</v>
      </c>
      <c r="G62" s="12" t="s">
        <v>409</v>
      </c>
      <c r="H62" s="11">
        <f t="shared" ref="H62:K63" si="18">SUMIF($D$37:$D$42,$C62,F$37:F$42)*$E$53</f>
        <v>117.73934470134871</v>
      </c>
      <c r="I62" s="11">
        <f t="shared" si="18"/>
        <v>121.47218561739591</v>
      </c>
      <c r="J62" s="11">
        <f t="shared" si="18"/>
        <v>61.616326037809522</v>
      </c>
      <c r="K62" s="11">
        <f t="shared" si="18"/>
        <v>42.2511949973551</v>
      </c>
      <c r="L62" s="11"/>
      <c r="M62" s="11"/>
      <c r="N62" s="11"/>
      <c r="O62"/>
      <c r="P62"/>
      <c r="Q62"/>
      <c r="R62"/>
      <c r="S62"/>
      <c r="X62" s="10"/>
      <c r="Y62" s="10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T62" s="6"/>
    </row>
    <row r="63" spans="1:52" ht="15" x14ac:dyDescent="0.25">
      <c r="A63" s="14" t="s">
        <v>3</v>
      </c>
      <c r="C63" s="13" t="s">
        <v>45</v>
      </c>
      <c r="D63" s="13"/>
      <c r="E63" s="13"/>
      <c r="F63" s="12" t="str">
        <f t="shared" si="16"/>
        <v>MINGAS</v>
      </c>
      <c r="G63" s="12" t="s">
        <v>409</v>
      </c>
      <c r="H63" s="11">
        <f t="shared" si="18"/>
        <v>106.47694185774681</v>
      </c>
      <c r="I63" s="11">
        <f t="shared" si="18"/>
        <v>106.47694185774681</v>
      </c>
      <c r="J63" s="11">
        <f t="shared" si="18"/>
        <v>106.47694185774681</v>
      </c>
      <c r="K63" s="11">
        <f t="shared" si="18"/>
        <v>106.47694185774681</v>
      </c>
      <c r="L63" s="11"/>
      <c r="M63" s="11"/>
      <c r="N63" s="11"/>
      <c r="O63"/>
      <c r="P63"/>
      <c r="Q63"/>
      <c r="R63"/>
      <c r="S63"/>
      <c r="X63" s="10"/>
      <c r="Y63" s="10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T63" s="6"/>
    </row>
    <row r="64" spans="1:52" ht="15" x14ac:dyDescent="0.25">
      <c r="A64" s="14" t="str">
        <f>"Extraction of "&amp;INDEX(FuelNamesLong,MATCH(C64,FuelNamesShort,0))</f>
        <v>Extraction of Gas Indigenous Shale</v>
      </c>
      <c r="C64" s="13" t="s">
        <v>351</v>
      </c>
      <c r="D64" s="13"/>
      <c r="E64" s="13"/>
      <c r="F64" s="12" t="str">
        <f t="shared" si="16"/>
        <v>MINGIH</v>
      </c>
      <c r="G64" s="12" t="s">
        <v>409</v>
      </c>
      <c r="H64" s="11">
        <f>SUMIF($E$22:$E$42,$C64,I$22:I$42)</f>
        <v>0</v>
      </c>
      <c r="I64" s="11">
        <f>SUMIF($E$22:$E$42,$C64,J$22:J$42)</f>
        <v>0</v>
      </c>
      <c r="J64" s="11">
        <f>SUMIF($E$22:$E$42,$C64,K$22:K$42)</f>
        <v>0</v>
      </c>
      <c r="K64" s="11">
        <f>SUMIF($E$22:$E$42,$C64,L$22:L$42)</f>
        <v>0</v>
      </c>
      <c r="L64" s="11"/>
      <c r="M64" s="11"/>
      <c r="N64" s="11"/>
      <c r="O64"/>
      <c r="P64"/>
      <c r="Q64"/>
      <c r="R64"/>
      <c r="S64"/>
      <c r="X64" s="10"/>
      <c r="Y64" s="10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T64" s="6"/>
    </row>
    <row r="65" spans="1:53" ht="15" x14ac:dyDescent="0.25">
      <c r="A65" s="14" t="str">
        <f t="shared" ref="A65:A72" si="19">"Extraction of "&amp;INDEX(FuelNamesLong,MATCH(C65,FuelNamesShort,0))</f>
        <v>Extraction of Biogas</v>
      </c>
      <c r="C65" s="13" t="s">
        <v>352</v>
      </c>
      <c r="D65" s="13"/>
      <c r="E65" s="13"/>
      <c r="F65" s="12" t="str">
        <f t="shared" ref="F65:F72" si="20">$B$46&amp;C65</f>
        <v>MINBIG</v>
      </c>
      <c r="G65" s="12" t="s">
        <v>409</v>
      </c>
      <c r="H65" s="11">
        <f>H67</f>
        <v>59.346000000000004</v>
      </c>
      <c r="I65" s="11">
        <f>I67</f>
        <v>59.346000000000004</v>
      </c>
      <c r="J65" s="11">
        <f>J67</f>
        <v>59.346000000000004</v>
      </c>
      <c r="K65" s="11">
        <f>K67</f>
        <v>59.346000000000004</v>
      </c>
      <c r="L65" s="11"/>
      <c r="M65" s="11"/>
      <c r="N65" s="11"/>
      <c r="O65"/>
      <c r="P65"/>
      <c r="Q65"/>
      <c r="R65"/>
      <c r="S65"/>
      <c r="X65" s="10"/>
      <c r="Y65" s="10"/>
      <c r="Z65" s="10"/>
      <c r="AA65" s="10"/>
      <c r="AB65" s="10"/>
      <c r="AC65" s="10"/>
      <c r="AD65" s="10"/>
      <c r="AE65" s="10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BA65" s="6"/>
    </row>
    <row r="66" spans="1:53" ht="15" x14ac:dyDescent="0.25">
      <c r="A66" s="14" t="str">
        <f t="shared" si="19"/>
        <v>Extraction of Biomass bagasse</v>
      </c>
      <c r="C66" s="13" t="s">
        <v>353</v>
      </c>
      <c r="D66" s="13"/>
      <c r="E66" s="13"/>
      <c r="F66" s="12" t="str">
        <f t="shared" si="20"/>
        <v>MINBIB</v>
      </c>
      <c r="G66" s="12" t="s">
        <v>409</v>
      </c>
      <c r="H66" s="11">
        <f>H57</f>
        <v>56.52</v>
      </c>
      <c r="I66" s="11">
        <f>H66</f>
        <v>56.52</v>
      </c>
      <c r="J66" s="11">
        <f>I66</f>
        <v>56.52</v>
      </c>
      <c r="K66" s="11">
        <f>J66</f>
        <v>56.52</v>
      </c>
      <c r="L66" s="11"/>
      <c r="M66" s="11"/>
      <c r="N66" s="11"/>
      <c r="O66"/>
      <c r="P66"/>
      <c r="Q66"/>
      <c r="R66"/>
      <c r="S66"/>
      <c r="X66" s="10"/>
      <c r="Y66" s="10"/>
      <c r="Z66" s="10"/>
      <c r="AA66" s="10"/>
      <c r="AB66" s="10"/>
      <c r="AC66" s="10"/>
      <c r="AD66" s="10"/>
      <c r="AE66" s="10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BA66" s="6"/>
    </row>
    <row r="67" spans="1:53" ht="15" x14ac:dyDescent="0.25">
      <c r="A67" s="14" t="str">
        <f t="shared" si="19"/>
        <v>Extraction of Biomass Other</v>
      </c>
      <c r="C67" s="13" t="s">
        <v>354</v>
      </c>
      <c r="D67" s="13"/>
      <c r="E67" s="13"/>
      <c r="F67" s="12" t="str">
        <f t="shared" si="20"/>
        <v>MINBIO</v>
      </c>
      <c r="G67" s="12" t="s">
        <v>409</v>
      </c>
      <c r="H67" s="11">
        <f>H57*1.05</f>
        <v>59.346000000000004</v>
      </c>
      <c r="I67" s="11">
        <f>I57*1.05</f>
        <v>59.346000000000004</v>
      </c>
      <c r="J67" s="11">
        <f>J57*1.05</f>
        <v>59.346000000000004</v>
      </c>
      <c r="K67" s="11">
        <f>K57*1.05</f>
        <v>59.346000000000004</v>
      </c>
      <c r="L67" s="11"/>
      <c r="M67" s="11"/>
      <c r="N67" s="11"/>
      <c r="O67"/>
      <c r="P67"/>
      <c r="Q67"/>
      <c r="R67"/>
      <c r="S67"/>
      <c r="X67" s="10"/>
      <c r="Y67" s="10"/>
      <c r="Z67" s="10"/>
      <c r="AA67" s="10"/>
      <c r="AB67" s="10"/>
      <c r="AC67" s="10"/>
      <c r="AD67" s="10"/>
      <c r="AE67" s="10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BA67" s="6"/>
    </row>
    <row r="68" spans="1:53" ht="15" x14ac:dyDescent="0.25">
      <c r="A68" s="14" t="str">
        <f t="shared" si="19"/>
        <v>Extraction of Biomass Wood</v>
      </c>
      <c r="C68" s="13" t="s">
        <v>355</v>
      </c>
      <c r="D68" s="13"/>
      <c r="E68" s="13"/>
      <c r="F68" s="12" t="str">
        <f t="shared" si="20"/>
        <v>MINBIW</v>
      </c>
      <c r="G68" s="12" t="s">
        <v>409</v>
      </c>
      <c r="H68" s="11">
        <f>H57</f>
        <v>56.52</v>
      </c>
      <c r="I68" s="11">
        <f t="shared" ref="I68:K69" si="21">H68</f>
        <v>56.52</v>
      </c>
      <c r="J68" s="11">
        <f t="shared" si="21"/>
        <v>56.52</v>
      </c>
      <c r="K68" s="11">
        <f t="shared" si="21"/>
        <v>56.52</v>
      </c>
      <c r="L68" s="11"/>
      <c r="M68" s="11"/>
      <c r="N68" s="11"/>
      <c r="O68"/>
      <c r="P68"/>
      <c r="Q68"/>
      <c r="R68"/>
      <c r="S68"/>
      <c r="X68" s="10"/>
      <c r="Y68" s="10"/>
      <c r="Z68" s="10"/>
      <c r="AA68" s="10"/>
      <c r="AB68" s="10"/>
      <c r="AC68" s="10"/>
      <c r="AD68" s="10"/>
      <c r="AE68" s="10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BA68" s="6"/>
    </row>
    <row r="69" spans="1:53" ht="15" x14ac:dyDescent="0.25">
      <c r="A69" s="14" t="str">
        <f t="shared" si="19"/>
        <v>Extraction of Waste</v>
      </c>
      <c r="C69" s="13" t="s">
        <v>356</v>
      </c>
      <c r="D69" s="13"/>
      <c r="E69" s="13"/>
      <c r="F69" s="12" t="str">
        <f t="shared" si="20"/>
        <v>MINWAS</v>
      </c>
      <c r="G69" s="12" t="s">
        <v>409</v>
      </c>
      <c r="H69" s="11">
        <v>0</v>
      </c>
      <c r="I69" s="11">
        <f t="shared" si="21"/>
        <v>0</v>
      </c>
      <c r="J69" s="11">
        <f t="shared" si="21"/>
        <v>0</v>
      </c>
      <c r="K69" s="11">
        <f t="shared" si="21"/>
        <v>0</v>
      </c>
      <c r="L69" s="11"/>
      <c r="M69" s="11"/>
      <c r="N69" s="11"/>
      <c r="O69"/>
      <c r="P69"/>
      <c r="Q69"/>
      <c r="R69"/>
      <c r="S69"/>
      <c r="X69" s="10"/>
      <c r="Y69" s="10"/>
      <c r="Z69" s="10"/>
      <c r="AA69" s="10"/>
      <c r="AB69" s="10"/>
      <c r="AC69" s="10"/>
      <c r="AD69" s="10"/>
      <c r="AE69" s="10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BA69" s="6"/>
    </row>
    <row r="70" spans="1:53" ht="15" x14ac:dyDescent="0.25">
      <c r="A70" s="14" t="str">
        <f t="shared" si="19"/>
        <v>Extraction of Hydro</v>
      </c>
      <c r="C70" s="13" t="s">
        <v>357</v>
      </c>
      <c r="D70" s="13"/>
      <c r="E70" s="13"/>
      <c r="F70" s="12" t="str">
        <f t="shared" si="20"/>
        <v>MINHYD</v>
      </c>
      <c r="G70" s="12" t="s">
        <v>409</v>
      </c>
      <c r="H70" s="11">
        <v>0</v>
      </c>
      <c r="I70" s="11">
        <f t="shared" ref="I70:I72" si="22">H70</f>
        <v>0</v>
      </c>
      <c r="J70" s="11">
        <f t="shared" ref="J70:J72" si="23">I70</f>
        <v>0</v>
      </c>
      <c r="K70" s="11">
        <f t="shared" ref="K70:K72" si="24">J70</f>
        <v>0</v>
      </c>
      <c r="L70" s="11"/>
      <c r="M70" s="11"/>
      <c r="N70" s="11"/>
      <c r="O70"/>
      <c r="P70"/>
      <c r="Q70"/>
      <c r="R70"/>
      <c r="S70"/>
      <c r="X70" s="10"/>
      <c r="Y70" s="10"/>
      <c r="Z70" s="10"/>
      <c r="AA70" s="10"/>
      <c r="AB70" s="10"/>
      <c r="AC70" s="10"/>
      <c r="AD70" s="10"/>
      <c r="AE70" s="10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BA70" s="6"/>
    </row>
    <row r="71" spans="1:53" ht="15" x14ac:dyDescent="0.25">
      <c r="A71" s="14" t="str">
        <f t="shared" si="19"/>
        <v>Extraction of Solar</v>
      </c>
      <c r="C71" s="13" t="s">
        <v>358</v>
      </c>
      <c r="D71" s="13"/>
      <c r="E71" s="13"/>
      <c r="F71" s="12" t="str">
        <f t="shared" si="20"/>
        <v>MINSOL</v>
      </c>
      <c r="G71" s="12" t="s">
        <v>409</v>
      </c>
      <c r="H71" s="11">
        <v>0</v>
      </c>
      <c r="I71" s="11">
        <f t="shared" si="22"/>
        <v>0</v>
      </c>
      <c r="J71" s="11">
        <f t="shared" si="23"/>
        <v>0</v>
      </c>
      <c r="K71" s="11">
        <f t="shared" si="24"/>
        <v>0</v>
      </c>
      <c r="L71" s="11"/>
      <c r="M71" s="11"/>
      <c r="N71" s="11"/>
      <c r="O71"/>
      <c r="P71"/>
      <c r="Q71"/>
      <c r="R71"/>
      <c r="S71"/>
      <c r="X71" s="10"/>
      <c r="Y71" s="10"/>
      <c r="Z71" s="10"/>
      <c r="AA71" s="10"/>
      <c r="AB71" s="10"/>
      <c r="AC71" s="10"/>
      <c r="AD71" s="10"/>
      <c r="AE71" s="10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BA71" s="6"/>
    </row>
    <row r="72" spans="1:53" ht="15" x14ac:dyDescent="0.25">
      <c r="A72" s="14" t="str">
        <f t="shared" si="19"/>
        <v>Extraction of Wind</v>
      </c>
      <c r="C72" s="13" t="s">
        <v>359</v>
      </c>
      <c r="D72" s="13"/>
      <c r="E72" s="13"/>
      <c r="F72" s="12" t="str">
        <f t="shared" si="20"/>
        <v>MINWND</v>
      </c>
      <c r="G72" s="12" t="s">
        <v>409</v>
      </c>
      <c r="H72" s="11">
        <v>0</v>
      </c>
      <c r="I72" s="11">
        <f t="shared" si="22"/>
        <v>0</v>
      </c>
      <c r="J72" s="11">
        <f t="shared" si="23"/>
        <v>0</v>
      </c>
      <c r="K72" s="11">
        <f t="shared" si="24"/>
        <v>0</v>
      </c>
      <c r="L72" s="11"/>
      <c r="M72" s="11"/>
      <c r="N72" s="11"/>
      <c r="O72"/>
      <c r="P72"/>
      <c r="Q72"/>
      <c r="R72"/>
      <c r="S72"/>
      <c r="X72" s="10"/>
      <c r="Y72" s="10"/>
      <c r="Z72" s="10"/>
      <c r="AA72" s="10"/>
      <c r="AB72" s="10"/>
      <c r="AC72" s="10"/>
      <c r="AD72" s="10"/>
      <c r="AE72" s="10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BA72" s="6"/>
    </row>
    <row r="73" spans="1:53" ht="15" x14ac:dyDescent="0.25">
      <c r="A73" s="14" t="str">
        <f>"Imports of "&amp;INDEX(FuelNamesLong,MATCH(C73,FuelNamesShort,0))</f>
        <v>Imports of Coal Coking</v>
      </c>
      <c r="C73" s="13" t="s">
        <v>360</v>
      </c>
      <c r="D73" s="13"/>
      <c r="E73" s="13"/>
      <c r="F73" s="12" t="str">
        <f>"IMP"&amp;C73</f>
        <v>IMPCOK</v>
      </c>
      <c r="G73" s="12" t="s">
        <v>409</v>
      </c>
      <c r="H73" s="11">
        <f>H57*1.5</f>
        <v>84.78</v>
      </c>
      <c r="I73" s="11">
        <f>I57*1.5</f>
        <v>84.78</v>
      </c>
      <c r="J73" s="11">
        <f>J57*1.5</f>
        <v>84.78</v>
      </c>
      <c r="K73" s="11">
        <f>K57*1.5</f>
        <v>84.78</v>
      </c>
      <c r="L73" s="11"/>
      <c r="M73" s="11"/>
      <c r="N73" s="11"/>
      <c r="O73"/>
      <c r="P73"/>
      <c r="Q73"/>
      <c r="R73"/>
      <c r="S73"/>
      <c r="X73" s="10"/>
      <c r="Y73" s="10"/>
      <c r="Z73" s="10"/>
      <c r="AA73" s="10"/>
      <c r="AB73" s="10"/>
      <c r="AC73" s="10"/>
      <c r="AD73" s="10"/>
      <c r="AE73" s="10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BA73" s="6"/>
    </row>
    <row r="74" spans="1:53" ht="15" x14ac:dyDescent="0.25">
      <c r="A74" s="14" t="str">
        <f>"Imports of "&amp;INDEX(FuelNamesLong,MATCH(C74,FuelNamesShort,0))</f>
        <v>Imports of Gas Regional LNG</v>
      </c>
      <c r="C74" s="13" t="s">
        <v>361</v>
      </c>
      <c r="D74" s="13"/>
      <c r="E74" s="13"/>
      <c r="F74" s="12" t="str">
        <f>"IMP"&amp;C74</f>
        <v>IMPGRL</v>
      </c>
      <c r="G74" s="12" t="s">
        <v>409</v>
      </c>
      <c r="H74" s="11">
        <f t="shared" ref="H74:K75" si="25">SUMIF($C$37:$C$42,$F74,F$37:F$42)*$E$53</f>
        <v>222.43487855450238</v>
      </c>
      <c r="I74" s="11">
        <f t="shared" si="25"/>
        <v>229.28927725118484</v>
      </c>
      <c r="J74" s="11">
        <f t="shared" si="25"/>
        <v>119.37944312796211</v>
      </c>
      <c r="K74" s="11">
        <f t="shared" si="25"/>
        <v>83.82037914691945</v>
      </c>
      <c r="L74" s="11"/>
      <c r="M74" s="11"/>
      <c r="N74" s="11"/>
      <c r="O74"/>
      <c r="P74"/>
      <c r="Q74"/>
      <c r="R74"/>
      <c r="S74"/>
      <c r="X74" s="10"/>
      <c r="Y74" s="10"/>
      <c r="Z74" s="10"/>
      <c r="AA74" s="10"/>
      <c r="AB74" s="10"/>
      <c r="AC74" s="10"/>
      <c r="AD74" s="10"/>
      <c r="AE74" s="10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BA74" s="6"/>
    </row>
    <row r="75" spans="1:53" ht="15" x14ac:dyDescent="0.25">
      <c r="A75" s="14" t="str">
        <f>"Imports of "&amp;INDEX(FuelNamesLong,MATCH(C75,FuelNamesShort,0))</f>
        <v>Imports of Gas International LNG</v>
      </c>
      <c r="C75" s="13" t="s">
        <v>362</v>
      </c>
      <c r="D75" s="13"/>
      <c r="E75" s="13"/>
      <c r="F75" s="12" t="s">
        <v>374</v>
      </c>
      <c r="G75" s="12" t="s">
        <v>409</v>
      </c>
      <c r="H75" s="11">
        <f t="shared" si="25"/>
        <v>228.67184537914693</v>
      </c>
      <c r="I75" s="11">
        <f t="shared" si="25"/>
        <v>235.5262440758294</v>
      </c>
      <c r="J75" s="11">
        <f t="shared" si="25"/>
        <v>125.61640995260666</v>
      </c>
      <c r="K75" s="11">
        <f t="shared" si="25"/>
        <v>90.057345971563976</v>
      </c>
      <c r="L75" s="11"/>
      <c r="M75" s="11"/>
      <c r="N75" s="11"/>
      <c r="O75"/>
      <c r="P75"/>
      <c r="Q75"/>
      <c r="R75"/>
      <c r="S75"/>
      <c r="W75" s="16"/>
      <c r="X75" s="17"/>
      <c r="Y75" s="10"/>
      <c r="Z75" s="10"/>
      <c r="AA75" s="10"/>
      <c r="AB75" s="10"/>
      <c r="AC75" s="10"/>
      <c r="AD75" s="10"/>
      <c r="AE75" s="10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BA75" s="6"/>
    </row>
    <row r="76" spans="1:53" ht="15" x14ac:dyDescent="0.25">
      <c r="A76" s="14" t="str">
        <f t="shared" ref="A76:A85" si="26">"Imports of "&amp;INDEX(FuelNamesLong,MATCH(C76,FuelNamesShort,0))</f>
        <v>Imports of Nuclear</v>
      </c>
      <c r="C76" s="13" t="s">
        <v>363</v>
      </c>
      <c r="D76" s="13"/>
      <c r="E76" s="13"/>
      <c r="F76" s="12" t="str">
        <f t="shared" ref="F76:F85" si="27">"IMP"&amp;C76</f>
        <v>IMPNUC</v>
      </c>
      <c r="G76" s="12" t="s">
        <v>409</v>
      </c>
      <c r="H76" s="11">
        <f>9.1*1.152</f>
        <v>10.483199999999998</v>
      </c>
      <c r="I76" s="11">
        <f>H76</f>
        <v>10.483199999999998</v>
      </c>
      <c r="J76" s="11">
        <f>I76</f>
        <v>10.483199999999998</v>
      </c>
      <c r="K76" s="11">
        <f>J76</f>
        <v>10.483199999999998</v>
      </c>
      <c r="L76" s="11"/>
      <c r="M76" s="11"/>
      <c r="N76" s="11"/>
      <c r="O76"/>
      <c r="P76"/>
      <c r="Q76"/>
      <c r="R76"/>
      <c r="S76"/>
      <c r="V76" s="16" t="s">
        <v>1</v>
      </c>
      <c r="X76" s="10"/>
      <c r="Y76" s="10"/>
      <c r="Z76" s="10"/>
      <c r="AA76" s="10"/>
      <c r="AB76" s="10"/>
      <c r="AC76" s="10"/>
      <c r="AD76" s="10"/>
      <c r="AE76" s="10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BA76" s="6"/>
    </row>
    <row r="77" spans="1:53" ht="15" x14ac:dyDescent="0.25">
      <c r="A77" s="14" t="str">
        <f t="shared" si="26"/>
        <v>Imports of Oil Av Gasoline</v>
      </c>
      <c r="C77" s="13" t="s">
        <v>364</v>
      </c>
      <c r="D77" s="13"/>
      <c r="E77" s="13"/>
      <c r="F77" s="12" t="str">
        <f t="shared" si="27"/>
        <v>IMPOAG</v>
      </c>
      <c r="G77" s="12" t="s">
        <v>409</v>
      </c>
      <c r="H77" s="11">
        <f>H80</f>
        <v>247.03405739193275</v>
      </c>
      <c r="I77" s="11">
        <f>I80</f>
        <v>253.06623635843414</v>
      </c>
      <c r="J77" s="11">
        <f>J80</f>
        <v>130.96612796865719</v>
      </c>
      <c r="K77" s="11">
        <f>K80</f>
        <v>91.463151724905813</v>
      </c>
      <c r="L77" s="11"/>
      <c r="M77" s="11"/>
      <c r="N77" s="11"/>
      <c r="O77"/>
      <c r="P77"/>
      <c r="Q77"/>
      <c r="R77"/>
      <c r="S77"/>
      <c r="X77" s="10"/>
      <c r="Y77" s="10"/>
      <c r="Z77" s="10"/>
      <c r="AA77" s="10"/>
      <c r="AB77" s="10"/>
      <c r="AC77" s="10"/>
      <c r="AD77" s="10"/>
      <c r="AE77" s="10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BA77" s="6"/>
    </row>
    <row r="78" spans="1:53" ht="15" x14ac:dyDescent="0.25">
      <c r="A78" s="14" t="str">
        <f t="shared" si="26"/>
        <v>Imports of Oil Crude</v>
      </c>
      <c r="C78" s="13" t="s">
        <v>348</v>
      </c>
      <c r="D78" s="13"/>
      <c r="E78" s="13"/>
      <c r="F78" s="12" t="str">
        <f t="shared" si="27"/>
        <v>IMPOCR</v>
      </c>
      <c r="G78" s="12" t="s">
        <v>409</v>
      </c>
      <c r="H78" s="11">
        <f t="shared" ref="H78:K83" si="28">SUMIF($E$22:$E$34,$C78,F$22:F$34)</f>
        <v>196.45298120195667</v>
      </c>
      <c r="I78" s="11">
        <f t="shared" si="28"/>
        <v>202.68138113207547</v>
      </c>
      <c r="J78" s="11">
        <f t="shared" si="28"/>
        <v>102.8093962264151</v>
      </c>
      <c r="K78" s="11">
        <f t="shared" si="28"/>
        <v>70.497871698113215</v>
      </c>
      <c r="L78" s="11"/>
      <c r="M78" s="11"/>
      <c r="N78" s="11"/>
      <c r="O78"/>
      <c r="P78"/>
      <c r="Q78"/>
      <c r="R78"/>
      <c r="S78"/>
      <c r="X78" s="10"/>
      <c r="Y78" s="10"/>
      <c r="Z78" s="10"/>
      <c r="AA78" s="10"/>
      <c r="AB78" s="10"/>
      <c r="AC78" s="10"/>
      <c r="AD78" s="10"/>
      <c r="AE78" s="10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BA78" s="6"/>
    </row>
    <row r="79" spans="1:53" ht="15" x14ac:dyDescent="0.25">
      <c r="A79" s="14" t="str">
        <f t="shared" si="26"/>
        <v>Imports of Oil Diesel</v>
      </c>
      <c r="C79" s="13" t="s">
        <v>365</v>
      </c>
      <c r="D79" s="13"/>
      <c r="E79" s="13"/>
      <c r="F79" s="12" t="str">
        <f t="shared" si="27"/>
        <v>IMPODS</v>
      </c>
      <c r="G79" s="12" t="s">
        <v>409</v>
      </c>
      <c r="H79" s="11">
        <f t="shared" si="28"/>
        <v>236.56389169057414</v>
      </c>
      <c r="I79" s="11">
        <f t="shared" si="28"/>
        <v>244.65407088700817</v>
      </c>
      <c r="J79" s="11">
        <f t="shared" si="28"/>
        <v>123.24773213084735</v>
      </c>
      <c r="K79" s="11">
        <f t="shared" si="28"/>
        <v>83.969210768560018</v>
      </c>
      <c r="L79" s="11"/>
      <c r="M79" s="11"/>
      <c r="N79" s="11"/>
      <c r="O79"/>
      <c r="P79"/>
      <c r="Q79"/>
      <c r="R79"/>
      <c r="S79"/>
      <c r="X79" s="10"/>
      <c r="Y79" s="10"/>
      <c r="Z79" s="10"/>
      <c r="AA79" s="10"/>
      <c r="AB79" s="10"/>
      <c r="AC79" s="10"/>
      <c r="AD79" s="10"/>
      <c r="AE79" s="10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BA79" s="6"/>
    </row>
    <row r="80" spans="1:53" ht="15" x14ac:dyDescent="0.25">
      <c r="A80" s="14" t="str">
        <f t="shared" si="26"/>
        <v>Imports of Oil Gasoline</v>
      </c>
      <c r="C80" s="13" t="s">
        <v>366</v>
      </c>
      <c r="D80" s="13"/>
      <c r="E80" s="13"/>
      <c r="F80" s="12" t="str">
        <f t="shared" si="27"/>
        <v>IMPOGS</v>
      </c>
      <c r="G80" s="12" t="s">
        <v>409</v>
      </c>
      <c r="H80" s="11">
        <f t="shared" si="28"/>
        <v>247.03405739193275</v>
      </c>
      <c r="I80" s="11">
        <f t="shared" si="28"/>
        <v>253.06623635843414</v>
      </c>
      <c r="J80" s="11">
        <f t="shared" si="28"/>
        <v>130.96612796865719</v>
      </c>
      <c r="K80" s="11">
        <f t="shared" si="28"/>
        <v>91.463151724905813</v>
      </c>
      <c r="L80" s="11"/>
      <c r="M80" s="11"/>
      <c r="N80" s="11"/>
      <c r="O80"/>
      <c r="P80"/>
      <c r="Q80"/>
      <c r="R80"/>
      <c r="S80"/>
      <c r="X80" s="10"/>
      <c r="Y80" s="10"/>
      <c r="Z80" s="10"/>
      <c r="AA80" s="10"/>
      <c r="AB80" s="10"/>
      <c r="AC80" s="10"/>
      <c r="AD80" s="10"/>
      <c r="AE80" s="10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BA80" s="6"/>
    </row>
    <row r="81" spans="1:53" ht="15" x14ac:dyDescent="0.25">
      <c r="A81" s="14" t="str">
        <f t="shared" si="26"/>
        <v>Imports of Oil HFO</v>
      </c>
      <c r="C81" s="13" t="s">
        <v>367</v>
      </c>
      <c r="D81" s="13"/>
      <c r="E81" s="13"/>
      <c r="F81" s="12" t="str">
        <f t="shared" si="27"/>
        <v>IMPOHF</v>
      </c>
      <c r="G81" s="12" t="s">
        <v>409</v>
      </c>
      <c r="H81" s="11">
        <f t="shared" si="28"/>
        <v>196.45298120195667</v>
      </c>
      <c r="I81" s="11">
        <f t="shared" si="28"/>
        <v>202.68138113207547</v>
      </c>
      <c r="J81" s="11">
        <f t="shared" si="28"/>
        <v>102.8093962264151</v>
      </c>
      <c r="K81" s="11">
        <f t="shared" si="28"/>
        <v>70.497871698113215</v>
      </c>
      <c r="L81" s="11"/>
      <c r="M81" s="11"/>
      <c r="N81" s="11"/>
      <c r="O81"/>
      <c r="P81"/>
      <c r="Q81"/>
      <c r="R81"/>
      <c r="S81"/>
      <c r="X81" s="10"/>
      <c r="Y81" s="10"/>
      <c r="Z81" s="10"/>
      <c r="AA81" s="10"/>
      <c r="AB81" s="10"/>
      <c r="AC81" s="10"/>
      <c r="AD81" s="10"/>
      <c r="AE81" s="10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BA81" s="6"/>
    </row>
    <row r="82" spans="1:53" ht="15" x14ac:dyDescent="0.25">
      <c r="A82" s="14" t="str">
        <f t="shared" si="26"/>
        <v>Imports of Oil LPG</v>
      </c>
      <c r="C82" s="13" t="s">
        <v>368</v>
      </c>
      <c r="D82" s="13"/>
      <c r="E82" s="13"/>
      <c r="F82" s="12" t="str">
        <f t="shared" si="27"/>
        <v>IMPOLP</v>
      </c>
      <c r="G82" s="12" t="s">
        <v>409</v>
      </c>
      <c r="H82" s="11">
        <f t="shared" si="28"/>
        <v>376.62224144497708</v>
      </c>
      <c r="I82" s="11">
        <f t="shared" si="28"/>
        <v>382.94989907290471</v>
      </c>
      <c r="J82" s="11">
        <f t="shared" si="28"/>
        <v>281.48632348447518</v>
      </c>
      <c r="K82" s="11">
        <f t="shared" si="28"/>
        <v>248.65987255880674</v>
      </c>
      <c r="L82" s="11"/>
      <c r="M82" s="11"/>
      <c r="N82" s="11"/>
      <c r="O82"/>
      <c r="P82"/>
      <c r="Q82"/>
      <c r="R82"/>
      <c r="S82"/>
      <c r="X82" s="10"/>
      <c r="Y82" s="10"/>
      <c r="Z82" s="10"/>
      <c r="AA82" s="10"/>
      <c r="AB82" s="10"/>
      <c r="AC82" s="10"/>
      <c r="AD82" s="10"/>
      <c r="AE82" s="10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BA82" s="6"/>
    </row>
    <row r="83" spans="1:53" ht="15" x14ac:dyDescent="0.25">
      <c r="A83" s="14" t="str">
        <f t="shared" si="26"/>
        <v>Imports of Oil Kerosene</v>
      </c>
      <c r="C83" s="13" t="s">
        <v>369</v>
      </c>
      <c r="D83" s="13"/>
      <c r="E83" s="13"/>
      <c r="F83" s="12" t="str">
        <f t="shared" si="27"/>
        <v>IMPOKE</v>
      </c>
      <c r="G83" s="12" t="s">
        <v>409</v>
      </c>
      <c r="H83" s="11">
        <f t="shared" si="28"/>
        <v>243.45484454706207</v>
      </c>
      <c r="I83" s="11">
        <f t="shared" si="28"/>
        <v>250.76740309449676</v>
      </c>
      <c r="J83" s="11">
        <f t="shared" si="28"/>
        <v>133.51100577493261</v>
      </c>
      <c r="K83" s="11">
        <f t="shared" si="28"/>
        <v>95.575112524485391</v>
      </c>
      <c r="L83" s="11"/>
      <c r="M83" s="11"/>
      <c r="N83" s="11"/>
      <c r="O83"/>
      <c r="P83"/>
      <c r="Q83"/>
      <c r="R83"/>
      <c r="S83"/>
      <c r="X83" s="10"/>
      <c r="Y83" s="10"/>
      <c r="Z83" s="10"/>
      <c r="AA83" s="10"/>
      <c r="AB83" s="10"/>
      <c r="AC83" s="10"/>
      <c r="AD83" s="10"/>
      <c r="AE83" s="10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BA83" s="6"/>
    </row>
    <row r="84" spans="1:53" ht="15" x14ac:dyDescent="0.25">
      <c r="A84" s="14" t="str">
        <f t="shared" si="26"/>
        <v>Imports of Biodiesel</v>
      </c>
      <c r="C84" s="13" t="s">
        <v>370</v>
      </c>
      <c r="D84" s="13"/>
      <c r="E84" s="13"/>
      <c r="F84" s="12" t="str">
        <f t="shared" si="27"/>
        <v>IMPBID</v>
      </c>
      <c r="G84" s="12" t="s">
        <v>409</v>
      </c>
      <c r="H84" s="11">
        <f t="shared" ref="H84:K85" si="29">H79*1.05</f>
        <v>248.39208627510286</v>
      </c>
      <c r="I84" s="11">
        <f t="shared" si="29"/>
        <v>256.88677443135862</v>
      </c>
      <c r="J84" s="11">
        <f t="shared" si="29"/>
        <v>129.41011873738972</v>
      </c>
      <c r="K84" s="11">
        <f t="shared" si="29"/>
        <v>88.167671306988026</v>
      </c>
      <c r="L84" s="11"/>
      <c r="M84" s="11"/>
      <c r="N84" s="11"/>
      <c r="O84"/>
      <c r="P84"/>
      <c r="Q84"/>
      <c r="R84"/>
      <c r="S84"/>
      <c r="X84" s="10"/>
      <c r="Y84" s="10"/>
      <c r="Z84" s="10"/>
      <c r="AA84" s="10"/>
      <c r="AB84" s="10"/>
      <c r="AC84" s="10"/>
      <c r="AD84" s="10"/>
      <c r="AE84" s="10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BA84" s="6"/>
    </row>
    <row r="85" spans="1:53" ht="15" x14ac:dyDescent="0.25">
      <c r="A85" s="14" t="str">
        <f t="shared" si="26"/>
        <v>Imports of Bioethanol</v>
      </c>
      <c r="C85" s="13" t="s">
        <v>371</v>
      </c>
      <c r="D85" s="13"/>
      <c r="E85" s="13"/>
      <c r="F85" s="12" t="str">
        <f t="shared" si="27"/>
        <v>IMPBIE</v>
      </c>
      <c r="G85" s="12" t="s">
        <v>409</v>
      </c>
      <c r="H85" s="11">
        <f t="shared" si="29"/>
        <v>259.38576026152941</v>
      </c>
      <c r="I85" s="11">
        <f t="shared" si="29"/>
        <v>265.71954817635583</v>
      </c>
      <c r="J85" s="11">
        <f t="shared" si="29"/>
        <v>137.51443436709005</v>
      </c>
      <c r="K85" s="11">
        <f t="shared" si="29"/>
        <v>96.036309311151115</v>
      </c>
      <c r="L85" s="11"/>
      <c r="M85" s="11"/>
      <c r="N85" s="11"/>
      <c r="O85"/>
      <c r="P85"/>
      <c r="Q85"/>
      <c r="R85"/>
      <c r="S85"/>
      <c r="X85" s="10"/>
      <c r="Y85" s="10"/>
      <c r="Z85" s="10"/>
      <c r="AA85" s="10"/>
      <c r="AB85" s="10"/>
      <c r="AC85" s="10"/>
      <c r="AD85" s="10"/>
      <c r="AE85" s="10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BA85" s="6"/>
    </row>
    <row r="86" spans="1:53" ht="15" x14ac:dyDescent="0.25">
      <c r="A86" s="14" t="str">
        <f>"Extraction of "&amp;INDEX(FuelNamesLong,MATCH(C86,FuelNamesShort,0))</f>
        <v>Extraction of Gas Southern Mozambique</v>
      </c>
      <c r="C86" s="13" t="s">
        <v>372</v>
      </c>
      <c r="D86" s="13"/>
      <c r="E86" s="13"/>
      <c r="F86" s="12" t="str">
        <f>$B$49&amp;RIGHT($C86,3)</f>
        <v>MIRGRS</v>
      </c>
      <c r="G86" s="12" t="s">
        <v>409</v>
      </c>
      <c r="H86" s="11">
        <v>70</v>
      </c>
      <c r="I86" s="11">
        <v>120</v>
      </c>
      <c r="J86" s="11">
        <f>I86</f>
        <v>120</v>
      </c>
      <c r="K86" s="11">
        <f>J86</f>
        <v>120</v>
      </c>
      <c r="L86" s="11"/>
      <c r="M86" s="11"/>
      <c r="N86" s="11"/>
      <c r="O86"/>
      <c r="P86"/>
      <c r="Q86"/>
      <c r="R86"/>
      <c r="S86"/>
      <c r="X86" s="10"/>
      <c r="Y86" s="10"/>
      <c r="Z86" s="10"/>
      <c r="AA86" s="10"/>
      <c r="AB86" s="10"/>
      <c r="AC86" s="10"/>
      <c r="AD86" s="10"/>
      <c r="AE86" s="10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BA86" s="6"/>
    </row>
    <row r="87" spans="1:53" ht="15" x14ac:dyDescent="0.25">
      <c r="A87" s="14" t="str">
        <f>"Extraction of "&amp;INDEX(FuelNamesLong,MATCH(C87,FuelNamesShort,0))</f>
        <v>Extraction of Gas Northern Mozambique</v>
      </c>
      <c r="C87" s="13" t="s">
        <v>373</v>
      </c>
      <c r="D87" s="13"/>
      <c r="E87" s="13"/>
      <c r="F87" s="12" t="str">
        <f>$B$49&amp;RIGHT($C87,3)</f>
        <v>MIRGRM</v>
      </c>
      <c r="G87" s="12" t="s">
        <v>409</v>
      </c>
      <c r="H87" s="11">
        <f>H75-(1.5*F15)</f>
        <v>203.99684537914692</v>
      </c>
      <c r="I87" s="11">
        <f>I75-(1.5*G15)</f>
        <v>210.85124407582941</v>
      </c>
      <c r="J87" s="11">
        <f>J75-(1.5*H15)</f>
        <v>100.94140995260666</v>
      </c>
      <c r="K87" s="11">
        <f>K75-(1.5*I15)</f>
        <v>65.382345971563979</v>
      </c>
      <c r="L87" s="11"/>
      <c r="M87" s="11"/>
      <c r="N87" s="11"/>
      <c r="O87"/>
      <c r="P87"/>
      <c r="Q87"/>
      <c r="R87"/>
      <c r="S87"/>
      <c r="X87" s="10"/>
      <c r="Y87" s="10"/>
      <c r="Z87" s="10"/>
      <c r="AA87" s="10"/>
      <c r="AB87" s="10"/>
      <c r="AC87" s="10"/>
      <c r="AD87" s="10"/>
      <c r="AE87" s="10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BA87" s="6"/>
    </row>
    <row r="88" spans="1:53" ht="15" x14ac:dyDescent="0.25">
      <c r="A88" s="14" t="str">
        <f t="shared" ref="A88:A95" si="30">"Exports of "&amp;INDEX(FuelNamesLong,MATCH(B88,FuelNamesShort,0))</f>
        <v>Exports of Coal</v>
      </c>
      <c r="B88" s="13" t="s">
        <v>345</v>
      </c>
      <c r="F88" s="12" t="str">
        <f t="shared" ref="F88:F95" si="31">"PEX"&amp;B88</f>
        <v>PEXCOA</v>
      </c>
      <c r="G88" s="12" t="s">
        <v>409</v>
      </c>
      <c r="H88" s="11">
        <f>H57*$F$53</f>
        <v>-53.694000000000003</v>
      </c>
      <c r="I88" s="11">
        <f>I57*$F$53</f>
        <v>-53.694000000000003</v>
      </c>
      <c r="J88" s="11">
        <f>J57*$F$53</f>
        <v>-53.694000000000003</v>
      </c>
      <c r="K88" s="11">
        <f>K57*$F$53</f>
        <v>-53.694000000000003</v>
      </c>
      <c r="L88" s="11"/>
      <c r="M88" s="11"/>
      <c r="N88" s="11"/>
      <c r="O88"/>
      <c r="P88"/>
      <c r="Q88"/>
      <c r="R88"/>
      <c r="S88"/>
      <c r="X88" s="10"/>
      <c r="Y88" s="10"/>
      <c r="Z88" s="10"/>
      <c r="AA88" s="10"/>
      <c r="AB88" s="10"/>
      <c r="AC88" s="10"/>
      <c r="AD88" s="10"/>
      <c r="AE88" s="10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BA88" s="6"/>
    </row>
    <row r="89" spans="1:53" ht="15" x14ac:dyDescent="0.25">
      <c r="A89" s="14" t="str">
        <f t="shared" si="30"/>
        <v>Exports of Coal Coking</v>
      </c>
      <c r="B89" s="13" t="s">
        <v>360</v>
      </c>
      <c r="F89" s="12" t="str">
        <f t="shared" si="31"/>
        <v>PEXCOK</v>
      </c>
      <c r="G89" s="12" t="s">
        <v>409</v>
      </c>
      <c r="H89" s="11">
        <f>H73*$F$53</f>
        <v>-80.540999999999997</v>
      </c>
      <c r="I89" s="11">
        <f>I73*$F$53</f>
        <v>-80.540999999999997</v>
      </c>
      <c r="J89" s="11">
        <f>J73*$F$53</f>
        <v>-80.540999999999997</v>
      </c>
      <c r="K89" s="11">
        <f>K73*$F$53</f>
        <v>-80.540999999999997</v>
      </c>
      <c r="L89" s="11"/>
      <c r="M89" s="11"/>
      <c r="N89" s="11"/>
      <c r="O89"/>
      <c r="P89"/>
      <c r="Q89"/>
      <c r="R89"/>
      <c r="S89"/>
      <c r="X89" s="10"/>
      <c r="Y89" s="10"/>
      <c r="Z89" s="10"/>
      <c r="AA89" s="10"/>
      <c r="AB89" s="10"/>
      <c r="AC89" s="10"/>
      <c r="AD89" s="10"/>
      <c r="AE89" s="10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BA89" s="6"/>
    </row>
    <row r="90" spans="1:53" ht="15" x14ac:dyDescent="0.25">
      <c r="A90" s="14" t="str">
        <f t="shared" si="30"/>
        <v>Exports of Oil Av Gasoline</v>
      </c>
      <c r="B90" s="13" t="s">
        <v>364</v>
      </c>
      <c r="F90" s="12" t="str">
        <f t="shared" si="31"/>
        <v>PEXOAG</v>
      </c>
      <c r="G90" s="12" t="s">
        <v>409</v>
      </c>
      <c r="H90" s="11">
        <f>H93</f>
        <v>-234.68235452233611</v>
      </c>
      <c r="I90" s="11">
        <f>I93</f>
        <v>-240.41292454051242</v>
      </c>
      <c r="J90" s="11">
        <f>J93</f>
        <v>-124.41782157022432</v>
      </c>
      <c r="K90" s="11">
        <f>K93</f>
        <v>-86.889994138660512</v>
      </c>
      <c r="L90" s="11"/>
      <c r="M90" s="11"/>
      <c r="N90" s="11"/>
      <c r="O90"/>
      <c r="P90"/>
      <c r="Q90"/>
      <c r="R90"/>
      <c r="S90"/>
      <c r="X90" s="10"/>
      <c r="Y90" s="10"/>
      <c r="Z90" s="10"/>
      <c r="AA90" s="10"/>
      <c r="AB90" s="10"/>
      <c r="AC90" s="10"/>
      <c r="AD90" s="10"/>
      <c r="AE90" s="10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BA90" s="6"/>
    </row>
    <row r="91" spans="1:53" ht="15" x14ac:dyDescent="0.25">
      <c r="A91" s="14" t="str">
        <f t="shared" si="30"/>
        <v>Exports of Oil Crude</v>
      </c>
      <c r="B91" s="13" t="s">
        <v>348</v>
      </c>
      <c r="F91" s="12" t="str">
        <f t="shared" si="31"/>
        <v>PEXOCR</v>
      </c>
      <c r="G91" s="12" t="s">
        <v>409</v>
      </c>
      <c r="H91" s="11">
        <f t="shared" ref="H91:K95" si="32">SUMIF($E$22:$E$34,$B91,F$22:F$34)*$F$53</f>
        <v>-186.63033214185884</v>
      </c>
      <c r="I91" s="11">
        <f t="shared" si="32"/>
        <v>-192.54731207547169</v>
      </c>
      <c r="J91" s="11">
        <f t="shared" si="32"/>
        <v>-97.668926415094347</v>
      </c>
      <c r="K91" s="11">
        <f t="shared" si="32"/>
        <v>-66.972978113207546</v>
      </c>
      <c r="L91" s="11"/>
      <c r="M91" s="11"/>
      <c r="N91" s="11"/>
      <c r="O91"/>
      <c r="P91"/>
      <c r="Q91"/>
      <c r="R91"/>
      <c r="S91"/>
      <c r="X91" s="10"/>
      <c r="Y91" s="10"/>
      <c r="Z91" s="10"/>
      <c r="AA91" s="10"/>
      <c r="AB91" s="10"/>
      <c r="AC91" s="10"/>
      <c r="AD91" s="10"/>
      <c r="AE91" s="10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BA91" s="6"/>
    </row>
    <row r="92" spans="1:53" ht="15" x14ac:dyDescent="0.25">
      <c r="A92" s="14" t="str">
        <f t="shared" si="30"/>
        <v>Exports of Oil Diesel</v>
      </c>
      <c r="B92" s="13" t="s">
        <v>365</v>
      </c>
      <c r="F92" s="12" t="str">
        <f t="shared" si="31"/>
        <v>PEXODS</v>
      </c>
      <c r="G92" s="12" t="s">
        <v>409</v>
      </c>
      <c r="H92" s="11">
        <f t="shared" si="32"/>
        <v>-224.73569710604542</v>
      </c>
      <c r="I92" s="11">
        <f t="shared" si="32"/>
        <v>-232.42136734265776</v>
      </c>
      <c r="J92" s="11">
        <f t="shared" si="32"/>
        <v>-117.08534552430498</v>
      </c>
      <c r="K92" s="11">
        <f t="shared" si="32"/>
        <v>-79.770750230132009</v>
      </c>
      <c r="L92" s="11"/>
      <c r="M92" s="11"/>
      <c r="N92" s="11"/>
      <c r="O92"/>
      <c r="P92"/>
      <c r="Q92"/>
      <c r="R92"/>
      <c r="S92"/>
      <c r="X92" s="10"/>
      <c r="Y92" s="10"/>
      <c r="Z92" s="10"/>
      <c r="AA92" s="10"/>
      <c r="AB92" s="10"/>
      <c r="AC92" s="10"/>
      <c r="AD92" s="10"/>
      <c r="AE92" s="10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BA92" s="6"/>
    </row>
    <row r="93" spans="1:53" ht="15" x14ac:dyDescent="0.25">
      <c r="A93" s="14" t="str">
        <f t="shared" si="30"/>
        <v>Exports of Oil Gasoline</v>
      </c>
      <c r="B93" s="13" t="s">
        <v>366</v>
      </c>
      <c r="F93" s="12" t="str">
        <f t="shared" si="31"/>
        <v>PEXOGS</v>
      </c>
      <c r="G93" s="12" t="s">
        <v>409</v>
      </c>
      <c r="H93" s="11">
        <f t="shared" si="32"/>
        <v>-234.68235452233611</v>
      </c>
      <c r="I93" s="11">
        <f t="shared" si="32"/>
        <v>-240.41292454051242</v>
      </c>
      <c r="J93" s="11">
        <f t="shared" si="32"/>
        <v>-124.41782157022432</v>
      </c>
      <c r="K93" s="11">
        <f t="shared" si="32"/>
        <v>-86.889994138660512</v>
      </c>
      <c r="L93" s="11"/>
      <c r="M93" s="11"/>
      <c r="N93" s="11"/>
      <c r="O93"/>
      <c r="P93"/>
      <c r="Q93"/>
      <c r="R93"/>
      <c r="S93"/>
      <c r="X93" s="10"/>
      <c r="Y93" s="10"/>
      <c r="Z93" s="10"/>
      <c r="AA93" s="10"/>
      <c r="AB93" s="10"/>
      <c r="AC93" s="10"/>
      <c r="AD93" s="10"/>
      <c r="AE93" s="10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BA93" s="6"/>
    </row>
    <row r="94" spans="1:53" ht="15" x14ac:dyDescent="0.25">
      <c r="A94" s="14" t="str">
        <f t="shared" si="30"/>
        <v>Exports of Oil HFO</v>
      </c>
      <c r="B94" s="13" t="s">
        <v>367</v>
      </c>
      <c r="F94" s="12" t="str">
        <f t="shared" si="31"/>
        <v>PEXOHF</v>
      </c>
      <c r="G94" s="12" t="s">
        <v>409</v>
      </c>
      <c r="H94" s="11">
        <f t="shared" si="32"/>
        <v>-186.63033214185884</v>
      </c>
      <c r="I94" s="11">
        <f t="shared" si="32"/>
        <v>-192.54731207547169</v>
      </c>
      <c r="J94" s="11">
        <f t="shared" si="32"/>
        <v>-97.668926415094347</v>
      </c>
      <c r="K94" s="11">
        <f t="shared" si="32"/>
        <v>-66.972978113207546</v>
      </c>
      <c r="L94" s="11"/>
      <c r="M94" s="11"/>
      <c r="N94" s="11"/>
      <c r="O94"/>
      <c r="P94"/>
      <c r="Q94"/>
      <c r="R94"/>
      <c r="S94"/>
      <c r="X94" s="10"/>
      <c r="Y94" s="10"/>
      <c r="Z94" s="10"/>
      <c r="AA94" s="10"/>
      <c r="AB94" s="10"/>
      <c r="AC94" s="10"/>
      <c r="AD94" s="10"/>
      <c r="AE94" s="10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BA94" s="6"/>
    </row>
    <row r="95" spans="1:53" ht="15" x14ac:dyDescent="0.25">
      <c r="A95" s="14" t="str">
        <f t="shared" si="30"/>
        <v>Exports of Oil Kerosene</v>
      </c>
      <c r="B95" s="13" t="s">
        <v>369</v>
      </c>
      <c r="F95" s="12" t="str">
        <f t="shared" si="31"/>
        <v>PEXOKE</v>
      </c>
      <c r="G95" s="12" t="s">
        <v>409</v>
      </c>
      <c r="H95" s="11">
        <f t="shared" si="32"/>
        <v>-231.28210231970894</v>
      </c>
      <c r="I95" s="11">
        <f t="shared" si="32"/>
        <v>-238.22903293977191</v>
      </c>
      <c r="J95" s="11">
        <f t="shared" si="32"/>
        <v>-126.83545548618598</v>
      </c>
      <c r="K95" s="11">
        <f t="shared" si="32"/>
        <v>-90.796356898261124</v>
      </c>
      <c r="L95" s="11"/>
      <c r="M95" s="11"/>
      <c r="N95" s="11"/>
      <c r="O95"/>
      <c r="P95"/>
      <c r="Q95"/>
      <c r="R95"/>
      <c r="S95"/>
      <c r="X95" s="10"/>
      <c r="Y95" s="10"/>
      <c r="Z95" s="10"/>
      <c r="AA95" s="10"/>
      <c r="AB95" s="10"/>
      <c r="AC95" s="10"/>
      <c r="AD95" s="10"/>
      <c r="AE95" s="10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BA95" s="6"/>
    </row>
    <row r="96" spans="1:53" ht="15" x14ac:dyDescent="0.25">
      <c r="A96" s="7"/>
      <c r="B96" s="6"/>
      <c r="E96" s="5"/>
      <c r="F96" s="5"/>
      <c r="G96" s="5"/>
      <c r="H96" s="5"/>
      <c r="I96" s="5"/>
      <c r="J96" s="5"/>
      <c r="K96" s="11"/>
      <c r="L96" s="8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W96" s="6"/>
    </row>
    <row r="97" spans="1:48" ht="15" x14ac:dyDescent="0.25">
      <c r="A97" s="7"/>
      <c r="B97" s="6"/>
      <c r="E97" s="5"/>
      <c r="F97" s="5"/>
      <c r="G97" s="5"/>
      <c r="H97" s="9"/>
      <c r="I97" s="4"/>
      <c r="J97" s="8"/>
      <c r="K97" s="11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V97" s="6"/>
    </row>
    <row r="98" spans="1:48" ht="15" x14ac:dyDescent="0.25">
      <c r="A98" s="7"/>
      <c r="B98" s="6"/>
      <c r="E98" s="5"/>
      <c r="F98" s="5"/>
      <c r="G98" s="5"/>
      <c r="H98" s="5"/>
      <c r="I98" s="5"/>
      <c r="J98" s="8"/>
      <c r="K98" s="11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</row>
    <row r="99" spans="1:48" ht="15" x14ac:dyDescent="0.25">
      <c r="A99" s="7"/>
      <c r="B99" s="6"/>
      <c r="E99" s="5"/>
      <c r="F99" s="5"/>
      <c r="G99" s="5"/>
      <c r="H99" s="9"/>
      <c r="I99" s="5"/>
      <c r="J99" s="8"/>
      <c r="K99" s="11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V99" s="6"/>
    </row>
    <row r="100" spans="1:48" ht="15" x14ac:dyDescent="0.25">
      <c r="A100" s="7"/>
      <c r="B100" s="6"/>
      <c r="E100" s="5"/>
      <c r="F100" s="5"/>
      <c r="G100" s="5"/>
      <c r="H100" s="4"/>
      <c r="I100" s="4"/>
      <c r="J100" s="3"/>
      <c r="K100" s="11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</row>
    <row r="101" spans="1:48" ht="15" x14ac:dyDescent="0.25">
      <c r="K101" s="11"/>
    </row>
    <row r="102" spans="1:48" ht="15" x14ac:dyDescent="0.25">
      <c r="K102" s="11"/>
    </row>
    <row r="103" spans="1:48" ht="15" x14ac:dyDescent="0.25">
      <c r="K103" s="11"/>
    </row>
    <row r="104" spans="1:48" ht="15" x14ac:dyDescent="0.25">
      <c r="K104" s="11"/>
    </row>
    <row r="105" spans="1:48" ht="15" x14ac:dyDescent="0.25">
      <c r="K105" s="11"/>
    </row>
    <row r="106" spans="1:48" ht="15" x14ac:dyDescent="0.25">
      <c r="K106" s="11"/>
    </row>
    <row r="107" spans="1:48" ht="15" x14ac:dyDescent="0.25">
      <c r="K107" s="11"/>
    </row>
    <row r="108" spans="1:48" ht="15" x14ac:dyDescent="0.25">
      <c r="K108" s="11"/>
    </row>
    <row r="109" spans="1:48" ht="15" x14ac:dyDescent="0.25">
      <c r="K109" s="11"/>
    </row>
    <row r="110" spans="1:48" ht="15" x14ac:dyDescent="0.25">
      <c r="K110" s="11"/>
    </row>
    <row r="111" spans="1:48" ht="15" x14ac:dyDescent="0.25">
      <c r="K111" s="11"/>
    </row>
    <row r="112" spans="1:48" ht="15" x14ac:dyDescent="0.25">
      <c r="K112" s="11"/>
    </row>
    <row r="113" spans="11:11" ht="15" x14ac:dyDescent="0.25">
      <c r="K113" s="11"/>
    </row>
    <row r="114" spans="11:11" ht="15" x14ac:dyDescent="0.25">
      <c r="K114" s="11"/>
    </row>
    <row r="115" spans="11:11" ht="15" x14ac:dyDescent="0.25">
      <c r="K115" s="11"/>
    </row>
    <row r="140" spans="8:8" x14ac:dyDescent="0.2">
      <c r="H140" s="2" t="s">
        <v>0</v>
      </c>
    </row>
  </sheetData>
  <mergeCells count="2">
    <mergeCell ref="B3:D3"/>
    <mergeCell ref="AT56:AZ56"/>
  </mergeCells>
  <dataValidations count="2">
    <dataValidation type="list" allowBlank="1" showInputMessage="1" showErrorMessage="1" sqref="D36" xr:uid="{A725FED7-1EB6-40C4-B182-FF7DCE6262A9}">
      <formula1>$O$36:$U$36</formula1>
    </dataValidation>
    <dataValidation type="list" allowBlank="1" showInputMessage="1" showErrorMessage="1" sqref="D16" xr:uid="{9343D23E-47C4-4F9D-81EE-6AC025431A59}">
      <formula1>$M$15:$M$24</formula1>
    </dataValidation>
  </dataValidations>
  <hyperlinks>
    <hyperlink ref="H140" r:id="rId1" xr:uid="{5A3E58C0-F7C7-4E2F-AACD-09C850DB547E}"/>
  </hyperlinks>
  <pageMargins left="0.7" right="0.7" top="0.75" bottom="0.75" header="0.3" footer="0.3"/>
  <pageSetup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AE309-7071-4A2F-AA6F-BD8A1E3E10FA}">
  <dimension ref="C1:AW120"/>
  <sheetViews>
    <sheetView workbookViewId="0">
      <selection activeCell="B2" sqref="B2:F2"/>
    </sheetView>
  </sheetViews>
  <sheetFormatPr defaultColWidth="8.7109375" defaultRowHeight="15" x14ac:dyDescent="0.25"/>
  <cols>
    <col min="10" max="10" width="9.5703125" customWidth="1"/>
    <col min="39" max="40" width="11.5703125" bestFit="1" customWidth="1"/>
    <col min="43" max="43" width="11.42578125" customWidth="1"/>
    <col min="44" max="44" width="13.7109375" customWidth="1"/>
  </cols>
  <sheetData>
    <row r="1" spans="4:49" x14ac:dyDescent="0.25">
      <c r="U1" t="s">
        <v>231</v>
      </c>
      <c r="W1" s="184">
        <v>40909</v>
      </c>
      <c r="AS1" t="s">
        <v>230</v>
      </c>
      <c r="AU1" t="s">
        <v>229</v>
      </c>
      <c r="AV1" t="s">
        <v>187</v>
      </c>
    </row>
    <row r="2" spans="4:49" ht="18" thickBot="1" x14ac:dyDescent="0.35">
      <c r="D2" s="183" t="s">
        <v>228</v>
      </c>
      <c r="E2" s="183"/>
      <c r="F2" s="183"/>
      <c r="G2" s="183"/>
      <c r="H2" s="183"/>
      <c r="U2" t="s">
        <v>227</v>
      </c>
      <c r="V2" t="s">
        <v>226</v>
      </c>
      <c r="W2" s="11">
        <f>SUMIF($C$27:$C$110,$W$1,$J$27:$J$110)</f>
        <v>8.2121999999999993</v>
      </c>
      <c r="AS2" t="s">
        <v>225</v>
      </c>
      <c r="AT2" t="s">
        <v>140</v>
      </c>
      <c r="AU2">
        <v>661</v>
      </c>
    </row>
    <row r="3" spans="4:49" ht="15.75" thickTop="1" x14ac:dyDescent="0.25">
      <c r="D3" s="31" t="s">
        <v>224</v>
      </c>
      <c r="V3" t="s">
        <v>141</v>
      </c>
      <c r="W3">
        <f>SUMIF($C$27:$C$110,$W$1,$K$27:$K$110)</f>
        <v>107.96</v>
      </c>
      <c r="AS3" t="s">
        <v>223</v>
      </c>
      <c r="AT3" t="s">
        <v>56</v>
      </c>
      <c r="AU3">
        <f>AU2*W7+W8*1.3</f>
        <v>140.47035923202716</v>
      </c>
      <c r="AV3">
        <v>152.27714285714299</v>
      </c>
      <c r="AW3">
        <f>AV3/AU3</f>
        <v>1.0840517792484146</v>
      </c>
    </row>
    <row r="4" spans="4:49" x14ac:dyDescent="0.25">
      <c r="V4" t="s">
        <v>140</v>
      </c>
      <c r="W4">
        <f>W3*W2</f>
        <v>886.58911199999989</v>
      </c>
      <c r="AS4" t="s">
        <v>129</v>
      </c>
      <c r="AT4" t="s">
        <v>56</v>
      </c>
      <c r="AU4">
        <f>AU2*X7+X8*1.3</f>
        <v>130.60568568627889</v>
      </c>
      <c r="AV4">
        <v>144.90263157894699</v>
      </c>
      <c r="AW4">
        <f>AV4/AU4</f>
        <v>1.1094664892844714</v>
      </c>
    </row>
    <row r="5" spans="4:49" ht="18" thickBot="1" x14ac:dyDescent="0.35">
      <c r="U5" s="31" t="s">
        <v>222</v>
      </c>
      <c r="AB5" s="183" t="s">
        <v>221</v>
      </c>
      <c r="AC5" s="183"/>
      <c r="AD5" s="183"/>
      <c r="AF5" s="183" t="s">
        <v>220</v>
      </c>
      <c r="AG5" s="183"/>
      <c r="AH5" s="183"/>
      <c r="AI5" s="183"/>
      <c r="AJ5" s="183"/>
      <c r="AN5" t="s">
        <v>219</v>
      </c>
      <c r="AO5" t="s">
        <v>218</v>
      </c>
    </row>
    <row r="6" spans="4:49" ht="16.5" thickTop="1" thickBot="1" x14ac:dyDescent="0.3">
      <c r="D6" s="182" t="s">
        <v>130</v>
      </c>
      <c r="H6" s="182" t="s">
        <v>129</v>
      </c>
      <c r="L6" s="182" t="s">
        <v>171</v>
      </c>
      <c r="P6" s="182" t="s">
        <v>163</v>
      </c>
      <c r="V6" t="s">
        <v>217</v>
      </c>
      <c r="W6" t="s">
        <v>130</v>
      </c>
      <c r="X6" t="s">
        <v>129</v>
      </c>
      <c r="Y6" t="s">
        <v>171</v>
      </c>
      <c r="Z6" t="s">
        <v>163</v>
      </c>
      <c r="AB6" t="s">
        <v>211</v>
      </c>
      <c r="AC6">
        <v>45</v>
      </c>
      <c r="AD6" t="s">
        <v>216</v>
      </c>
      <c r="AM6" t="s">
        <v>215</v>
      </c>
      <c r="AN6" t="s">
        <v>210</v>
      </c>
      <c r="AO6" t="s">
        <v>214</v>
      </c>
      <c r="AP6" t="s">
        <v>213</v>
      </c>
    </row>
    <row r="7" spans="4:49" x14ac:dyDescent="0.25">
      <c r="D7" t="s">
        <v>188</v>
      </c>
      <c r="E7">
        <f t="array" ref="E7:F9">LINEST(M75:M110,$L$75:$L$110,TRUE,TRUE)</f>
        <v>0.69131118046539197</v>
      </c>
      <c r="F7">
        <v>18.039952527622177</v>
      </c>
      <c r="H7" t="s">
        <v>188</v>
      </c>
      <c r="I7">
        <f t="array" ref="I7:J9">LINEST(N75:N110,$L$75:$L$110,TRUE,TRUE)</f>
        <v>0.76576896825557872</v>
      </c>
      <c r="J7">
        <v>-6.588942732473015</v>
      </c>
      <c r="L7" t="s">
        <v>188</v>
      </c>
      <c r="M7">
        <f t="array" ref="M7:N9">LINEST(H27:H110,$L$27:$L$110,TRUE,TRUE)</f>
        <v>0.71824017800423035</v>
      </c>
      <c r="N7">
        <v>47.381796282440177</v>
      </c>
      <c r="P7" t="s">
        <v>188</v>
      </c>
      <c r="Q7">
        <f t="array" ref="Q7:R9">LINEST(I101:I110,$L$101:$L$110,TRUE,TRUE)</f>
        <v>0.77267955265970056</v>
      </c>
      <c r="R7">
        <v>814.37721538925723</v>
      </c>
      <c r="U7" t="s">
        <v>196</v>
      </c>
      <c r="V7" s="178">
        <f>1/AC7*1/AC14*1000</f>
        <v>0.16533892382948986</v>
      </c>
      <c r="W7" s="181">
        <f>1/AC8/100*E7*1000</f>
        <v>0.20213777206590408</v>
      </c>
      <c r="X7" s="181">
        <f>1/AC9/100*I7*1000</f>
        <v>0.20098923051327525</v>
      </c>
      <c r="Y7" s="181">
        <f>1/AC10/100*M7*1000</f>
        <v>0.19411896702817036</v>
      </c>
      <c r="Z7" s="181">
        <f>1/AC11/100*Q7*1000</f>
        <v>0.16797381579558707</v>
      </c>
      <c r="AB7" t="s">
        <v>211</v>
      </c>
      <c r="AC7" s="94">
        <f>AC6/AC15*1000</f>
        <v>38.03888419273035</v>
      </c>
      <c r="AD7" t="s">
        <v>210</v>
      </c>
      <c r="AF7" t="s">
        <v>212</v>
      </c>
      <c r="AI7">
        <v>200</v>
      </c>
      <c r="AJ7" t="s">
        <v>56</v>
      </c>
      <c r="AL7" t="s">
        <v>211</v>
      </c>
      <c r="AM7">
        <v>1</v>
      </c>
      <c r="AN7">
        <v>38.5</v>
      </c>
      <c r="AP7">
        <v>6.15</v>
      </c>
    </row>
    <row r="8" spans="4:49" x14ac:dyDescent="0.25">
      <c r="D8" t="s">
        <v>185</v>
      </c>
      <c r="E8">
        <v>2.1689295799937405E-2</v>
      </c>
      <c r="F8">
        <v>16.805407207022476</v>
      </c>
      <c r="H8" t="s">
        <v>185</v>
      </c>
      <c r="I8">
        <v>1.88945947014778E-2</v>
      </c>
      <c r="J8">
        <v>14.640003110239293</v>
      </c>
      <c r="L8" t="s">
        <v>185</v>
      </c>
      <c r="M8">
        <v>2.0929526528181964E-2</v>
      </c>
      <c r="N8">
        <v>14.002957365912605</v>
      </c>
      <c r="P8" t="s">
        <v>185</v>
      </c>
      <c r="Q8">
        <v>0.17222197251198301</v>
      </c>
      <c r="R8">
        <v>158.56449471815961</v>
      </c>
      <c r="U8" t="s">
        <v>190</v>
      </c>
      <c r="V8">
        <v>0</v>
      </c>
      <c r="W8" s="178">
        <f>1/AC8/100*1000*F7</f>
        <v>5.274839920357361</v>
      </c>
      <c r="X8" s="178">
        <f>1/AC9/100*1000*J7</f>
        <v>-1.7293812946123399</v>
      </c>
      <c r="Y8" s="178">
        <f>1/AC10/100*1000*N7</f>
        <v>12.805890887145994</v>
      </c>
      <c r="Z8" s="178">
        <f>1/AC11/100*1000*R7</f>
        <v>177.03852508462114</v>
      </c>
      <c r="AB8" t="s">
        <v>130</v>
      </c>
      <c r="AC8">
        <v>34.200000000000003</v>
      </c>
      <c r="AD8" t="s">
        <v>210</v>
      </c>
      <c r="AI8" s="94">
        <f>AI7/AC9*100</f>
        <v>524.93438320209975</v>
      </c>
      <c r="AJ8" t="s">
        <v>139</v>
      </c>
      <c r="AL8" t="s">
        <v>130</v>
      </c>
      <c r="AM8">
        <v>1</v>
      </c>
      <c r="AN8">
        <v>32.1</v>
      </c>
      <c r="AO8">
        <v>0.745</v>
      </c>
    </row>
    <row r="9" spans="4:49" x14ac:dyDescent="0.25">
      <c r="D9" t="s">
        <v>182</v>
      </c>
      <c r="E9">
        <v>0.96761634565975629</v>
      </c>
      <c r="F9">
        <v>19.266650663456474</v>
      </c>
      <c r="H9" t="s">
        <v>182</v>
      </c>
      <c r="I9">
        <v>0.97972033969162609</v>
      </c>
      <c r="J9">
        <v>16.784111337631305</v>
      </c>
      <c r="L9" t="s">
        <v>182</v>
      </c>
      <c r="M9">
        <v>0.93490316152328135</v>
      </c>
      <c r="N9">
        <v>36.92368042685311</v>
      </c>
      <c r="P9" t="s">
        <v>182</v>
      </c>
      <c r="Q9">
        <v>0.71559577988177048</v>
      </c>
      <c r="R9">
        <v>28.81393096261419</v>
      </c>
      <c r="U9" t="s">
        <v>187</v>
      </c>
      <c r="V9" s="11">
        <f>W4*V7</f>
        <v>146.58768965702305</v>
      </c>
      <c r="W9" s="94">
        <f>$W$4*W7+W8</f>
        <v>184.48798775792562</v>
      </c>
      <c r="X9" s="94">
        <f>$W$4*X7+X8</f>
        <v>176.46548210771562</v>
      </c>
      <c r="Y9" s="94">
        <f>$W$4*Y7+Y8</f>
        <v>184.90965348700882</v>
      </c>
      <c r="Z9" s="94">
        <f>$W$4*Z7+Z8</f>
        <v>325.96228127008226</v>
      </c>
      <c r="AB9" t="s">
        <v>129</v>
      </c>
      <c r="AC9">
        <v>38.1</v>
      </c>
      <c r="AD9" t="s">
        <v>210</v>
      </c>
      <c r="AL9" t="s">
        <v>129</v>
      </c>
      <c r="AM9">
        <v>1</v>
      </c>
      <c r="AN9">
        <v>35.799999999999997</v>
      </c>
      <c r="AO9">
        <v>0.83699999999999997</v>
      </c>
    </row>
    <row r="10" spans="4:49" x14ac:dyDescent="0.25">
      <c r="U10" t="s">
        <v>184</v>
      </c>
      <c r="W10" s="11">
        <f>W9*100*AC8/1000</f>
        <v>630.94891813210575</v>
      </c>
      <c r="X10" s="11">
        <f>X9*100*AC9/1000</f>
        <v>672.33348683039662</v>
      </c>
      <c r="Y10" s="11">
        <f>Y9*100*AC10/1000</f>
        <v>684.16571790193268</v>
      </c>
      <c r="Z10" s="11">
        <f>Z9*100*AC11/1000</f>
        <v>1499.4264938423782</v>
      </c>
      <c r="AB10" t="s">
        <v>171</v>
      </c>
      <c r="AC10">
        <v>37</v>
      </c>
      <c r="AD10" t="s">
        <v>210</v>
      </c>
    </row>
    <row r="11" spans="4:49" x14ac:dyDescent="0.25">
      <c r="D11" s="31" t="s">
        <v>209</v>
      </c>
      <c r="U11" t="s">
        <v>181</v>
      </c>
      <c r="W11" s="11">
        <f>SUMIF($C$27:$C$110,$W$1,$M$27:$M$110)</f>
        <v>594.54999999999995</v>
      </c>
      <c r="X11" s="11">
        <f>SUMIF($C$27:$C$110,$W$1,$N$27:$N$110)</f>
        <v>678.07899999999995</v>
      </c>
      <c r="Y11" s="11">
        <f>SUMIF($C$27:$C$110,$W$1,$H$27:$H$110)</f>
        <v>669.12800000000004</v>
      </c>
      <c r="Z11" s="11">
        <f>SUMIF($C$27:$C$110,$W$1,$I$27:$I$110)</f>
        <v>0</v>
      </c>
      <c r="AB11" t="s">
        <v>163</v>
      </c>
      <c r="AC11">
        <v>46</v>
      </c>
      <c r="AD11" t="s">
        <v>208</v>
      </c>
      <c r="AF11" s="180" t="s">
        <v>207</v>
      </c>
    </row>
    <row r="12" spans="4:49" x14ac:dyDescent="0.25">
      <c r="D12" t="s">
        <v>188</v>
      </c>
      <c r="E12">
        <f t="array" ref="E12:F14">LINEST($Z$75:$Z$110,$L$75:$L$110,1,1)</f>
        <v>0.93691765795315396</v>
      </c>
      <c r="F12">
        <v>265.34488871773931</v>
      </c>
      <c r="H12" t="s">
        <v>188</v>
      </c>
      <c r="I12">
        <f t="array" ref="I12:J14">LINEST($AA$75:$AA$110,$L$75:$L$110,1,1)</f>
        <v>0.96018863587643721</v>
      </c>
      <c r="J12">
        <v>173.46397553035843</v>
      </c>
      <c r="L12" t="s">
        <v>188</v>
      </c>
      <c r="M12">
        <f t="array" ref="M12:N14">LINEST($AB$75:$AB$110,$L$75:$L$110,1,1)</f>
        <v>0.80597468921050219</v>
      </c>
      <c r="N12">
        <v>51.88943126981917</v>
      </c>
      <c r="P12" t="s">
        <v>188</v>
      </c>
      <c r="Q12">
        <f t="array" ref="Q12:R14">LINEST($AC$101:$AC$110,$L$101:$L$110,1,1)</f>
        <v>1.0131044969917056</v>
      </c>
      <c r="R12">
        <v>1298.0776327747087</v>
      </c>
      <c r="V12">
        <v>661.9</v>
      </c>
      <c r="W12">
        <f>W7*V12+W8</f>
        <v>139.06983125077926</v>
      </c>
      <c r="X12">
        <f>X7*V12+X8</f>
        <v>131.30539038212453</v>
      </c>
      <c r="AF12" t="s">
        <v>206</v>
      </c>
      <c r="AJ12">
        <v>247</v>
      </c>
      <c r="AK12" t="s">
        <v>205</v>
      </c>
    </row>
    <row r="13" spans="4:49" x14ac:dyDescent="0.25">
      <c r="D13" t="s">
        <v>185</v>
      </c>
      <c r="E13">
        <v>3.5673569679450304E-2</v>
      </c>
      <c r="F13">
        <v>27.640771305861513</v>
      </c>
      <c r="H13" t="s">
        <v>185</v>
      </c>
      <c r="I13">
        <v>3.108958023439274E-2</v>
      </c>
      <c r="J13">
        <v>24.088981982341494</v>
      </c>
      <c r="L13" t="s">
        <v>185</v>
      </c>
      <c r="M13">
        <v>2.1167655434585625E-2</v>
      </c>
      <c r="N13">
        <v>16.401227244878111</v>
      </c>
      <c r="P13" t="s">
        <v>185</v>
      </c>
      <c r="Q13">
        <v>0.22541092540186744</v>
      </c>
      <c r="R13">
        <v>207.53547859761611</v>
      </c>
      <c r="U13" s="31" t="s">
        <v>204</v>
      </c>
      <c r="AB13" s="31" t="s">
        <v>203</v>
      </c>
      <c r="AF13" t="s">
        <v>202</v>
      </c>
      <c r="AJ13">
        <f>124+107</f>
        <v>231</v>
      </c>
      <c r="AK13" t="s">
        <v>201</v>
      </c>
    </row>
    <row r="14" spans="4:49" x14ac:dyDescent="0.25">
      <c r="D14" t="s">
        <v>182</v>
      </c>
      <c r="E14">
        <v>0.95302430812025962</v>
      </c>
      <c r="F14">
        <v>31.68891287537447</v>
      </c>
      <c r="H14" t="s">
        <v>182</v>
      </c>
      <c r="I14">
        <v>0.96558207335934509</v>
      </c>
      <c r="J14">
        <v>27.616944652083852</v>
      </c>
      <c r="L14" t="s">
        <v>182</v>
      </c>
      <c r="M14">
        <v>0.977085303672103</v>
      </c>
      <c r="N14">
        <v>18.803276343520299</v>
      </c>
      <c r="P14" t="s">
        <v>182</v>
      </c>
      <c r="Q14">
        <v>0.71631542231007461</v>
      </c>
      <c r="R14">
        <v>37.712811832395388</v>
      </c>
      <c r="W14" t="s">
        <v>130</v>
      </c>
      <c r="X14" t="s">
        <v>129</v>
      </c>
      <c r="Y14" t="s">
        <v>171</v>
      </c>
      <c r="Z14" t="s">
        <v>163</v>
      </c>
      <c r="AB14" t="s">
        <v>200</v>
      </c>
      <c r="AC14">
        <v>159</v>
      </c>
      <c r="AD14" t="s">
        <v>199</v>
      </c>
      <c r="AF14" t="s">
        <v>198</v>
      </c>
      <c r="AJ14">
        <f>350+279</f>
        <v>629</v>
      </c>
      <c r="AK14" t="s">
        <v>197</v>
      </c>
    </row>
    <row r="15" spans="4:49" x14ac:dyDescent="0.25">
      <c r="U15" t="s">
        <v>196</v>
      </c>
      <c r="W15" s="178">
        <f>E17</f>
        <v>1.3565756517544196</v>
      </c>
      <c r="X15" s="178">
        <f>I17</f>
        <v>1.2570018926592408</v>
      </c>
      <c r="Y15" s="178">
        <f>M17</f>
        <v>1.0689483180091128</v>
      </c>
      <c r="Z15" s="178">
        <f>Q17</f>
        <v>1.3104939955713899</v>
      </c>
      <c r="AB15" t="s">
        <v>195</v>
      </c>
      <c r="AC15">
        <v>1183</v>
      </c>
      <c r="AD15" t="s">
        <v>194</v>
      </c>
      <c r="AF15" t="s">
        <v>193</v>
      </c>
      <c r="AJ15" s="178">
        <f>AJ13/AJ14</f>
        <v>0.36724960254372019</v>
      </c>
      <c r="AK15" t="s">
        <v>192</v>
      </c>
      <c r="AL15" s="179">
        <f>(AJ14*3.6)/(AJ13/AC9)/1000</f>
        <v>0.37347896103896105</v>
      </c>
    </row>
    <row r="16" spans="4:49" x14ac:dyDescent="0.25">
      <c r="D16" s="31" t="s">
        <v>191</v>
      </c>
      <c r="U16" t="s">
        <v>190</v>
      </c>
      <c r="W16" s="178">
        <f>1/AC8/100*1000*F17</f>
        <v>70.230748454632177</v>
      </c>
      <c r="X16" s="178">
        <f>1/AC9/100*1000*J17</f>
        <v>47.226464833505872</v>
      </c>
      <c r="Y16" s="178">
        <f>1/AC10/100*1000*N17</f>
        <v>14.749344752353803</v>
      </c>
      <c r="Z16" s="178">
        <f>1/AC11/100*1000*R17</f>
        <v>50.285290465410377</v>
      </c>
      <c r="AF16" t="s">
        <v>189</v>
      </c>
      <c r="AJ16" s="11">
        <f>AJ12/AJ15</f>
        <v>672.5670995670996</v>
      </c>
      <c r="AK16" t="s">
        <v>139</v>
      </c>
    </row>
    <row r="17" spans="3:37" x14ac:dyDescent="0.25">
      <c r="D17" t="s">
        <v>188</v>
      </c>
      <c r="E17">
        <f t="array" ref="E17:F19">LINEST($Z$75:$Z$110,$M$75:$M$110,1,1)</f>
        <v>1.3565756517544196</v>
      </c>
      <c r="F17">
        <v>240.18915971484205</v>
      </c>
      <c r="H17" t="s">
        <v>188</v>
      </c>
      <c r="I17">
        <f t="array" ref="I17:J19">LINEST($AA$75:$AA$110,$N$75:$N$110,1,1)</f>
        <v>1.2570018926592408</v>
      </c>
      <c r="J17">
        <v>179.93283101565737</v>
      </c>
      <c r="L17" t="s">
        <v>188</v>
      </c>
      <c r="M17">
        <f t="array" ref="M17:N19">LINEST($AB$75:$AB$110,$H$75:$H$110,1,1)</f>
        <v>1.0689483180091128</v>
      </c>
      <c r="N17">
        <v>54.572575583709067</v>
      </c>
      <c r="P17" t="s">
        <v>188</v>
      </c>
      <c r="Q17">
        <f t="array" ref="Q17:R19">LINEST($AC$101:$AC$110,$I$101:$I$110,1,1)</f>
        <v>1.3104939955713899</v>
      </c>
      <c r="R17">
        <v>231.31233614088774</v>
      </c>
      <c r="U17" t="s">
        <v>187</v>
      </c>
      <c r="W17" s="11">
        <f>W9*W15+W16</f>
        <v>320.5026606882015</v>
      </c>
      <c r="X17" s="11">
        <f>X9*X15+X16</f>
        <v>269.0439098319298</v>
      </c>
      <c r="Y17" s="11">
        <f>Y9*Y15+Y16</f>
        <v>212.40820783093977</v>
      </c>
      <c r="Z17" s="11">
        <f>Z9*Z15+Z16</f>
        <v>477.45690285260571</v>
      </c>
      <c r="AF17" t="s">
        <v>186</v>
      </c>
      <c r="AJ17" s="11">
        <f>AVERAGE(N94:N100)</f>
        <v>647.57899999999984</v>
      </c>
      <c r="AK17" t="s">
        <v>139</v>
      </c>
    </row>
    <row r="18" spans="3:37" x14ac:dyDescent="0.25">
      <c r="D18" t="s">
        <v>185</v>
      </c>
      <c r="E18">
        <v>2.6898357481685498E-2</v>
      </c>
      <c r="F18">
        <v>14.893086073456775</v>
      </c>
      <c r="H18" t="s">
        <v>185</v>
      </c>
      <c r="I18">
        <v>2.1145683471638581E-2</v>
      </c>
      <c r="J18">
        <v>12.414574263894144</v>
      </c>
      <c r="L18" t="s">
        <v>185</v>
      </c>
      <c r="M18">
        <v>4.5274592231916537E-3</v>
      </c>
      <c r="N18">
        <v>2.6349353504746529</v>
      </c>
      <c r="P18" t="s">
        <v>185</v>
      </c>
      <c r="Q18">
        <v>1.2268570690478447E-3</v>
      </c>
      <c r="R18">
        <v>1.871413674110501</v>
      </c>
      <c r="U18" t="s">
        <v>184</v>
      </c>
      <c r="W18" s="11">
        <f>W17*100*AC8/1000</f>
        <v>1096.1190995536492</v>
      </c>
      <c r="X18" s="11">
        <f>X17*100*AC9/1000</f>
        <v>1025.0572964596524</v>
      </c>
      <c r="Y18" s="11">
        <f>Y17*100*AC10/1000</f>
        <v>785.91036897447725</v>
      </c>
      <c r="Z18" s="11">
        <f>Z17*100*AC11/1000</f>
        <v>2196.3017531219862</v>
      </c>
      <c r="AF18" t="s">
        <v>183</v>
      </c>
      <c r="AJ18" s="11">
        <f>AVERAGE(AA94:AA100)</f>
        <v>979.92485714285704</v>
      </c>
      <c r="AK18" t="s">
        <v>139</v>
      </c>
    </row>
    <row r="19" spans="3:37" x14ac:dyDescent="0.25">
      <c r="D19" t="s">
        <v>182</v>
      </c>
      <c r="E19">
        <v>0.98680906639693522</v>
      </c>
      <c r="F19">
        <v>16.79223544836556</v>
      </c>
      <c r="H19" t="s">
        <v>182</v>
      </c>
      <c r="I19">
        <v>0.99047002318918431</v>
      </c>
      <c r="J19">
        <v>14.532127488105694</v>
      </c>
      <c r="L19" t="s">
        <v>182</v>
      </c>
      <c r="M19">
        <v>0.99939044936173471</v>
      </c>
      <c r="N19">
        <v>3.0667711621812406</v>
      </c>
      <c r="P19" t="s">
        <v>182</v>
      </c>
      <c r="Q19">
        <v>0.99999298859893382</v>
      </c>
      <c r="R19">
        <v>0.18748799131796864</v>
      </c>
      <c r="U19" t="s">
        <v>181</v>
      </c>
      <c r="W19" s="11">
        <f>SUMIF($C$27:$C$110,$W$1,$Z$27:$Z$110)</f>
        <v>1045</v>
      </c>
      <c r="X19" s="11">
        <f>SUMIF($C$27:$C$110,$W$1,$AA$27:$AA$110)</f>
        <v>1017.49</v>
      </c>
      <c r="Y19" s="11">
        <f>SUMIF($C$27:$C$110,$W$1,$AB$27:$AB$110)</f>
        <v>770.47800000000007</v>
      </c>
      <c r="Z19" s="11">
        <f>SUMIF($C$27:$C$110,$W$1,$AC$27:$AC$110)</f>
        <v>0</v>
      </c>
    </row>
    <row r="20" spans="3:37" x14ac:dyDescent="0.25">
      <c r="W20">
        <f>W9*1.3</f>
        <v>239.83438408530333</v>
      </c>
      <c r="X20">
        <f>X9*1.3</f>
        <v>229.40512674003031</v>
      </c>
    </row>
    <row r="21" spans="3:37" x14ac:dyDescent="0.25">
      <c r="W21">
        <v>152.27714285714299</v>
      </c>
      <c r="X21">
        <v>144.90263157894736</v>
      </c>
    </row>
    <row r="22" spans="3:37" ht="17.25" x14ac:dyDescent="0.3">
      <c r="D22" s="177" t="s">
        <v>180</v>
      </c>
      <c r="E22" s="177"/>
      <c r="F22" s="177"/>
      <c r="G22" s="177"/>
      <c r="H22" s="177"/>
      <c r="I22" s="177"/>
      <c r="K22" s="151"/>
      <c r="L22" s="151"/>
      <c r="M22" s="151"/>
      <c r="N22" s="151"/>
      <c r="O22" s="151"/>
      <c r="P22" s="151"/>
      <c r="Q22" s="177" t="s">
        <v>179</v>
      </c>
      <c r="R22" s="177"/>
      <c r="S22" s="177"/>
      <c r="T22" s="177"/>
      <c r="U22" s="177"/>
    </row>
    <row r="23" spans="3:37" x14ac:dyDescent="0.25">
      <c r="C23" s="176"/>
      <c r="D23" s="172" t="s">
        <v>178</v>
      </c>
      <c r="E23" s="75"/>
      <c r="F23" s="75"/>
      <c r="G23" s="75"/>
      <c r="H23" s="75"/>
      <c r="I23" s="75"/>
      <c r="J23" s="75"/>
      <c r="K23" s="171"/>
      <c r="L23" s="175"/>
      <c r="M23" s="75"/>
      <c r="N23" s="171"/>
      <c r="O23" s="172"/>
      <c r="P23" s="172"/>
      <c r="Q23" s="172"/>
      <c r="R23" s="172"/>
      <c r="S23" s="173" t="s">
        <v>177</v>
      </c>
      <c r="T23" s="172"/>
      <c r="U23" s="172"/>
      <c r="V23" s="172"/>
      <c r="W23" s="172"/>
      <c r="X23" s="172"/>
      <c r="Y23" s="174"/>
      <c r="Z23" s="173"/>
      <c r="AA23" s="172"/>
      <c r="AB23" s="172"/>
      <c r="AC23" s="172"/>
      <c r="AD23" s="173" t="s">
        <v>176</v>
      </c>
      <c r="AE23" s="172"/>
      <c r="AF23" s="172"/>
      <c r="AG23" s="172"/>
      <c r="AH23" s="173"/>
      <c r="AI23" s="172"/>
      <c r="AJ23" s="172"/>
      <c r="AK23" s="171"/>
    </row>
    <row r="24" spans="3:37" x14ac:dyDescent="0.25">
      <c r="C24" s="155"/>
      <c r="D24" s="170" t="s">
        <v>175</v>
      </c>
      <c r="J24" s="169" t="s">
        <v>174</v>
      </c>
      <c r="K24" s="153"/>
      <c r="L24" s="153"/>
      <c r="M24" s="167" t="s">
        <v>173</v>
      </c>
      <c r="N24" s="153"/>
      <c r="O24" s="106" t="s">
        <v>172</v>
      </c>
      <c r="P24" s="106"/>
      <c r="Q24" s="106"/>
      <c r="R24" s="106"/>
      <c r="S24" s="167" t="s">
        <v>130</v>
      </c>
      <c r="T24" s="106"/>
      <c r="U24" s="106"/>
      <c r="V24" s="106" t="s">
        <v>129</v>
      </c>
      <c r="W24" s="106"/>
      <c r="X24" s="106" t="s">
        <v>171</v>
      </c>
      <c r="Y24" s="168"/>
      <c r="Z24" s="167"/>
      <c r="AA24" s="106"/>
      <c r="AB24" s="106"/>
      <c r="AC24" s="106"/>
      <c r="AD24" s="167" t="s">
        <v>170</v>
      </c>
      <c r="AE24" s="106"/>
      <c r="AF24" s="106"/>
      <c r="AG24" s="106"/>
      <c r="AH24" s="167" t="s">
        <v>169</v>
      </c>
      <c r="AI24" s="106"/>
      <c r="AJ24" s="106"/>
      <c r="AK24" s="153"/>
    </row>
    <row r="25" spans="3:37" ht="60" x14ac:dyDescent="0.25">
      <c r="C25" s="144"/>
      <c r="D25" s="164" t="s">
        <v>168</v>
      </c>
      <c r="E25" s="164" t="s">
        <v>167</v>
      </c>
      <c r="F25" s="164" t="s">
        <v>166</v>
      </c>
      <c r="G25" s="164" t="s">
        <v>165</v>
      </c>
      <c r="H25" s="164" t="s">
        <v>164</v>
      </c>
      <c r="I25" s="164" t="s">
        <v>163</v>
      </c>
      <c r="J25" s="164" t="s">
        <v>162</v>
      </c>
      <c r="K25" s="166" t="s">
        <v>161</v>
      </c>
      <c r="L25" s="166" t="s">
        <v>160</v>
      </c>
      <c r="M25" s="165" t="s">
        <v>154</v>
      </c>
      <c r="N25" s="166" t="s">
        <v>159</v>
      </c>
      <c r="O25" s="165" t="s">
        <v>150</v>
      </c>
      <c r="P25" s="164" t="s">
        <v>149</v>
      </c>
      <c r="Q25" s="164" t="s">
        <v>148</v>
      </c>
      <c r="R25" s="164" t="s">
        <v>147</v>
      </c>
      <c r="S25" s="165" t="s">
        <v>157</v>
      </c>
      <c r="T25" s="164" t="s">
        <v>158</v>
      </c>
      <c r="U25" s="164" t="s">
        <v>157</v>
      </c>
      <c r="V25" s="164" t="s">
        <v>155</v>
      </c>
      <c r="W25" s="164" t="s">
        <v>156</v>
      </c>
      <c r="X25" s="164" t="s">
        <v>156</v>
      </c>
      <c r="Y25" s="166" t="s">
        <v>155</v>
      </c>
      <c r="Z25" s="165" t="s">
        <v>154</v>
      </c>
      <c r="AA25" s="164" t="s">
        <v>153</v>
      </c>
      <c r="AB25" s="164" t="s">
        <v>152</v>
      </c>
      <c r="AC25" s="164" t="s">
        <v>151</v>
      </c>
      <c r="AD25" s="165" t="s">
        <v>150</v>
      </c>
      <c r="AE25" s="164" t="s">
        <v>149</v>
      </c>
      <c r="AF25" s="164" t="s">
        <v>148</v>
      </c>
      <c r="AG25" s="166" t="s">
        <v>147</v>
      </c>
      <c r="AH25" s="165" t="s">
        <v>146</v>
      </c>
      <c r="AI25" s="164" t="s">
        <v>145</v>
      </c>
      <c r="AJ25" s="164" t="s">
        <v>144</v>
      </c>
      <c r="AK25" s="166" t="s">
        <v>143</v>
      </c>
    </row>
    <row r="26" spans="3:37" x14ac:dyDescent="0.25">
      <c r="C26" s="144"/>
      <c r="D26" s="165" t="s">
        <v>139</v>
      </c>
      <c r="E26" s="164" t="s">
        <v>139</v>
      </c>
      <c r="F26" s="164" t="s">
        <v>139</v>
      </c>
      <c r="G26" s="164" t="s">
        <v>139</v>
      </c>
      <c r="H26" s="164" t="s">
        <v>139</v>
      </c>
      <c r="I26" s="164" t="s">
        <v>138</v>
      </c>
      <c r="J26" s="164" t="s">
        <v>142</v>
      </c>
      <c r="K26" s="166" t="s">
        <v>141</v>
      </c>
      <c r="L26" s="166" t="s">
        <v>140</v>
      </c>
      <c r="M26" s="165" t="s">
        <v>139</v>
      </c>
      <c r="N26" s="166" t="s">
        <v>139</v>
      </c>
      <c r="O26" s="165" t="s">
        <v>139</v>
      </c>
      <c r="P26" s="164" t="s">
        <v>139</v>
      </c>
      <c r="Q26" s="164" t="s">
        <v>139</v>
      </c>
      <c r="R26" s="164" t="s">
        <v>138</v>
      </c>
      <c r="S26" s="165" t="s">
        <v>139</v>
      </c>
      <c r="T26" s="164" t="s">
        <v>139</v>
      </c>
      <c r="U26" s="164" t="s">
        <v>139</v>
      </c>
      <c r="V26" s="164" t="s">
        <v>139</v>
      </c>
      <c r="W26" s="164" t="s">
        <v>139</v>
      </c>
      <c r="X26" s="164" t="s">
        <v>139</v>
      </c>
      <c r="Y26" s="166" t="s">
        <v>139</v>
      </c>
      <c r="Z26" s="165" t="s">
        <v>139</v>
      </c>
      <c r="AA26" s="164" t="s">
        <v>139</v>
      </c>
      <c r="AB26" s="164" t="s">
        <v>139</v>
      </c>
      <c r="AC26" s="164" t="s">
        <v>138</v>
      </c>
      <c r="AD26" s="165" t="s">
        <v>139</v>
      </c>
      <c r="AE26" s="164" t="s">
        <v>139</v>
      </c>
      <c r="AF26" s="164" t="s">
        <v>139</v>
      </c>
      <c r="AG26" s="164" t="s">
        <v>138</v>
      </c>
      <c r="AH26" s="165" t="s">
        <v>139</v>
      </c>
      <c r="AI26" s="164" t="s">
        <v>139</v>
      </c>
      <c r="AJ26" s="164" t="s">
        <v>139</v>
      </c>
      <c r="AK26" s="164" t="s">
        <v>138</v>
      </c>
    </row>
    <row r="27" spans="3:37" x14ac:dyDescent="0.25">
      <c r="C27" s="157">
        <v>38718</v>
      </c>
      <c r="D27" s="155">
        <v>266.23200000000003</v>
      </c>
      <c r="E27">
        <v>269.01299999999998</v>
      </c>
      <c r="F27">
        <v>307.63</v>
      </c>
      <c r="G27">
        <v>315.02999999999997</v>
      </c>
      <c r="H27">
        <v>307.12799999999999</v>
      </c>
      <c r="J27">
        <v>6.3761999999999999</v>
      </c>
      <c r="K27" s="153">
        <v>54.46</v>
      </c>
      <c r="L27" s="156">
        <f t="shared" ref="L27:L58" si="0">K27*J27</f>
        <v>347.24785200000002</v>
      </c>
      <c r="M27" s="155">
        <f t="shared" ref="M27:M58" si="1">AVERAGE(D27:E27)</f>
        <v>267.6225</v>
      </c>
      <c r="N27" s="153">
        <f t="shared" ref="N27:N58" si="2">AVERAGE(G27:H27)</f>
        <v>311.07899999999995</v>
      </c>
      <c r="O27" s="155">
        <f t="shared" ref="O27:O58" si="3">$E$7*L27+$F$7</f>
        <v>258.09627500781392</v>
      </c>
      <c r="P27">
        <f t="shared" ref="P27:P58" si="4">$I$7*L27+$J$7</f>
        <v>259.3226866225329</v>
      </c>
      <c r="S27" s="155"/>
      <c r="Y27" s="153"/>
      <c r="Z27" s="155"/>
      <c r="AD27" s="155"/>
      <c r="AH27" s="155"/>
      <c r="AK27" s="153"/>
    </row>
    <row r="28" spans="3:37" x14ac:dyDescent="0.25">
      <c r="C28" s="157">
        <v>38749</v>
      </c>
      <c r="D28" s="155">
        <v>280.23200000000003</v>
      </c>
      <c r="E28">
        <v>283.01299999999998</v>
      </c>
      <c r="F28">
        <v>307.63</v>
      </c>
      <c r="G28">
        <v>314.02999999999997</v>
      </c>
      <c r="H28">
        <v>311.12799999999999</v>
      </c>
      <c r="J28">
        <v>6.1407999999999996</v>
      </c>
      <c r="K28" s="153">
        <v>55.49</v>
      </c>
      <c r="L28" s="156">
        <f t="shared" si="0"/>
        <v>340.75299200000001</v>
      </c>
      <c r="M28" s="155">
        <f t="shared" si="1"/>
        <v>281.6225</v>
      </c>
      <c r="N28" s="153">
        <f t="shared" si="2"/>
        <v>312.57899999999995</v>
      </c>
      <c r="O28" s="155">
        <f t="shared" si="3"/>
        <v>253.60630567425645</v>
      </c>
      <c r="P28">
        <f t="shared" si="4"/>
        <v>254.34912438136848</v>
      </c>
      <c r="S28" s="155"/>
      <c r="Y28" s="153"/>
      <c r="Z28" s="155"/>
      <c r="AD28" s="155"/>
      <c r="AH28" s="155"/>
      <c r="AK28" s="153"/>
    </row>
    <row r="29" spans="3:37" x14ac:dyDescent="0.25">
      <c r="C29" s="157">
        <v>38777</v>
      </c>
      <c r="D29" s="155">
        <v>269.23200000000003</v>
      </c>
      <c r="E29">
        <v>272.01299999999998</v>
      </c>
      <c r="F29">
        <v>307.63</v>
      </c>
      <c r="G29">
        <v>312.02999999999997</v>
      </c>
      <c r="H29">
        <v>315.12799999999999</v>
      </c>
      <c r="J29">
        <v>6.1372999999999998</v>
      </c>
      <c r="K29" s="153">
        <v>61.08</v>
      </c>
      <c r="L29" s="156">
        <f t="shared" si="0"/>
        <v>374.86628399999995</v>
      </c>
      <c r="M29" s="155">
        <f t="shared" si="1"/>
        <v>270.6225</v>
      </c>
      <c r="N29" s="153">
        <f t="shared" si="2"/>
        <v>313.57899999999995</v>
      </c>
      <c r="O29" s="155">
        <f t="shared" si="3"/>
        <v>277.18920583633701</v>
      </c>
      <c r="P29">
        <f t="shared" si="4"/>
        <v>280.47202480000971</v>
      </c>
      <c r="S29" s="155"/>
      <c r="Y29" s="153"/>
      <c r="Z29" s="155"/>
      <c r="AD29" s="155"/>
      <c r="AH29" s="155"/>
      <c r="AK29" s="153"/>
    </row>
    <row r="30" spans="3:37" x14ac:dyDescent="0.25">
      <c r="C30" s="157">
        <v>38808</v>
      </c>
      <c r="D30" s="155">
        <v>295.63200000000001</v>
      </c>
      <c r="E30">
        <v>297.41300000000001</v>
      </c>
      <c r="F30">
        <v>338.63</v>
      </c>
      <c r="G30">
        <v>342.03</v>
      </c>
      <c r="H30">
        <v>330.12799999999999</v>
      </c>
      <c r="J30">
        <v>6.26</v>
      </c>
      <c r="K30" s="153">
        <v>65.66</v>
      </c>
      <c r="L30" s="156">
        <f t="shared" si="0"/>
        <v>411.03159999999997</v>
      </c>
      <c r="M30" s="155">
        <f t="shared" si="1"/>
        <v>296.52250000000004</v>
      </c>
      <c r="N30" s="153">
        <f t="shared" si="2"/>
        <v>336.07899999999995</v>
      </c>
      <c r="O30" s="155">
        <f t="shared" si="3"/>
        <v>302.19069313220098</v>
      </c>
      <c r="P30">
        <f t="shared" si="4"/>
        <v>308.16630151996668</v>
      </c>
      <c r="S30" s="155"/>
      <c r="Y30" s="153"/>
      <c r="Z30" s="155"/>
      <c r="AD30" s="155"/>
      <c r="AH30" s="155"/>
      <c r="AK30" s="153"/>
    </row>
    <row r="31" spans="3:37" x14ac:dyDescent="0.25">
      <c r="C31" s="157">
        <v>38838</v>
      </c>
      <c r="D31" s="155">
        <v>334.63200000000001</v>
      </c>
      <c r="E31">
        <v>336.41300000000001</v>
      </c>
      <c r="F31">
        <v>365.63</v>
      </c>
      <c r="G31">
        <v>369.03</v>
      </c>
      <c r="H31">
        <v>350.12799999999999</v>
      </c>
      <c r="J31">
        <v>6.0904999999999996</v>
      </c>
      <c r="K31" s="153">
        <v>68.8</v>
      </c>
      <c r="L31" s="156">
        <f t="shared" si="0"/>
        <v>419.02639999999997</v>
      </c>
      <c r="M31" s="155">
        <f t="shared" si="1"/>
        <v>335.52250000000004</v>
      </c>
      <c r="N31" s="153">
        <f t="shared" si="2"/>
        <v>359.57899999999995</v>
      </c>
      <c r="O31" s="155">
        <f t="shared" si="3"/>
        <v>307.71758775778568</v>
      </c>
      <c r="P31">
        <f t="shared" si="4"/>
        <v>314.28847126737639</v>
      </c>
      <c r="S31" s="155"/>
      <c r="Y31" s="153"/>
      <c r="Z31" s="155"/>
      <c r="AD31" s="155"/>
      <c r="AH31" s="155"/>
      <c r="AK31" s="153"/>
    </row>
    <row r="32" spans="3:37" x14ac:dyDescent="0.25">
      <c r="C32" s="157">
        <v>38869</v>
      </c>
      <c r="D32" s="155">
        <v>370.63200000000001</v>
      </c>
      <c r="E32">
        <v>372.41300000000001</v>
      </c>
      <c r="F32">
        <v>394.63</v>
      </c>
      <c r="G32">
        <v>401.03</v>
      </c>
      <c r="H32">
        <v>370.12799999999999</v>
      </c>
      <c r="J32">
        <v>6.34</v>
      </c>
      <c r="K32" s="153">
        <v>70.11</v>
      </c>
      <c r="L32" s="156">
        <f t="shared" si="0"/>
        <v>444.49739999999997</v>
      </c>
      <c r="M32" s="155">
        <f t="shared" si="1"/>
        <v>371.52250000000004</v>
      </c>
      <c r="N32" s="153">
        <f t="shared" si="2"/>
        <v>385.57899999999995</v>
      </c>
      <c r="O32" s="155">
        <f t="shared" si="3"/>
        <v>325.32597483541969</v>
      </c>
      <c r="P32">
        <f t="shared" si="4"/>
        <v>333.79337265781425</v>
      </c>
      <c r="S32" s="155"/>
      <c r="Y32" s="153"/>
      <c r="Z32" s="155"/>
      <c r="AD32" s="155"/>
      <c r="AH32" s="155"/>
      <c r="AK32" s="153"/>
    </row>
    <row r="33" spans="3:37" x14ac:dyDescent="0.25">
      <c r="C33" s="157">
        <v>38899</v>
      </c>
      <c r="D33" s="155">
        <v>395.63200000000001</v>
      </c>
      <c r="E33">
        <v>397.41300000000001</v>
      </c>
      <c r="F33">
        <v>426.63</v>
      </c>
      <c r="G33">
        <v>432.03</v>
      </c>
      <c r="H33">
        <v>406.12799999999999</v>
      </c>
      <c r="J33">
        <v>6.9859999999999998</v>
      </c>
      <c r="K33" s="153">
        <v>72.209999999999994</v>
      </c>
      <c r="L33" s="156">
        <f t="shared" si="0"/>
        <v>504.45905999999997</v>
      </c>
      <c r="M33" s="155">
        <f t="shared" si="1"/>
        <v>396.52250000000004</v>
      </c>
      <c r="N33" s="153">
        <f t="shared" si="2"/>
        <v>419.07899999999995</v>
      </c>
      <c r="O33" s="155">
        <f t="shared" si="3"/>
        <v>366.77814079268416</v>
      </c>
      <c r="P33">
        <f t="shared" si="4"/>
        <v>379.71015117090604</v>
      </c>
      <c r="S33" s="155"/>
      <c r="Y33" s="153"/>
      <c r="Z33" s="155"/>
      <c r="AD33" s="155"/>
      <c r="AH33" s="155"/>
      <c r="AK33" s="153"/>
    </row>
    <row r="34" spans="3:37" x14ac:dyDescent="0.25">
      <c r="C34" s="157">
        <v>38930</v>
      </c>
      <c r="D34" s="155">
        <v>426.63200000000001</v>
      </c>
      <c r="E34">
        <v>428.41300000000001</v>
      </c>
      <c r="F34">
        <v>428.63</v>
      </c>
      <c r="G34">
        <v>457.03</v>
      </c>
      <c r="H34">
        <v>427.12799999999999</v>
      </c>
      <c r="J34">
        <v>7.1276000000000002</v>
      </c>
      <c r="K34" s="153">
        <v>73.7</v>
      </c>
      <c r="L34" s="156">
        <f t="shared" si="0"/>
        <v>525.30412000000001</v>
      </c>
      <c r="M34" s="155">
        <f t="shared" si="1"/>
        <v>427.52250000000004</v>
      </c>
      <c r="N34" s="153">
        <f t="shared" si="2"/>
        <v>442.07899999999995</v>
      </c>
      <c r="O34" s="155">
        <f t="shared" si="3"/>
        <v>381.18856382815608</v>
      </c>
      <c r="P34">
        <f t="shared" si="4"/>
        <v>395.67265126033169</v>
      </c>
      <c r="S34" s="155"/>
      <c r="Y34" s="153"/>
      <c r="Z34" s="155"/>
      <c r="AD34" s="155"/>
      <c r="AH34" s="155"/>
      <c r="AK34" s="153"/>
    </row>
    <row r="35" spans="3:37" x14ac:dyDescent="0.25">
      <c r="C35" s="157">
        <v>38961</v>
      </c>
      <c r="D35" s="155">
        <v>390.63200000000001</v>
      </c>
      <c r="E35">
        <v>392.41300000000001</v>
      </c>
      <c r="F35">
        <v>423.63</v>
      </c>
      <c r="G35">
        <v>445.03</v>
      </c>
      <c r="H35">
        <v>422.12799999999999</v>
      </c>
      <c r="J35">
        <v>6.9705000000000004</v>
      </c>
      <c r="K35" s="153">
        <v>65.12</v>
      </c>
      <c r="L35" s="156">
        <f t="shared" si="0"/>
        <v>453.91896000000008</v>
      </c>
      <c r="M35" s="155">
        <f t="shared" si="1"/>
        <v>391.52250000000004</v>
      </c>
      <c r="N35" s="153">
        <f t="shared" si="2"/>
        <v>433.57899999999995</v>
      </c>
      <c r="O35" s="155">
        <f t="shared" si="3"/>
        <v>331.83920460084528</v>
      </c>
      <c r="P35">
        <f t="shared" si="4"/>
        <v>341.00811093837234</v>
      </c>
      <c r="S35" s="155"/>
      <c r="Y35" s="153"/>
      <c r="Z35" s="155"/>
      <c r="AD35" s="155"/>
      <c r="AH35" s="155"/>
      <c r="AK35" s="153"/>
    </row>
    <row r="36" spans="3:37" x14ac:dyDescent="0.25">
      <c r="C36" s="157">
        <v>38991</v>
      </c>
      <c r="D36" s="155">
        <v>337.63200000000001</v>
      </c>
      <c r="E36">
        <v>339.63</v>
      </c>
      <c r="F36">
        <v>389.63</v>
      </c>
      <c r="G36">
        <v>391.03</v>
      </c>
      <c r="H36">
        <v>400.12799999999999</v>
      </c>
      <c r="J36">
        <v>7.4347000000000003</v>
      </c>
      <c r="K36" s="153">
        <v>59.11</v>
      </c>
      <c r="L36" s="156">
        <f t="shared" si="0"/>
        <v>439.46511700000002</v>
      </c>
      <c r="M36" s="155">
        <f t="shared" si="1"/>
        <v>338.63099999999997</v>
      </c>
      <c r="N36" s="153">
        <f t="shared" si="2"/>
        <v>395.57899999999995</v>
      </c>
      <c r="O36" s="155">
        <f t="shared" si="3"/>
        <v>321.84710133425381</v>
      </c>
      <c r="P36">
        <f t="shared" si="4"/>
        <v>329.93980649693418</v>
      </c>
      <c r="S36" s="155"/>
      <c r="Y36" s="153"/>
      <c r="Z36" s="155"/>
      <c r="AD36" s="155"/>
      <c r="AH36" s="155"/>
      <c r="AK36" s="153"/>
    </row>
    <row r="37" spans="3:37" x14ac:dyDescent="0.25">
      <c r="C37" s="157">
        <v>39022</v>
      </c>
      <c r="D37" s="155">
        <v>316.63200000000001</v>
      </c>
      <c r="E37">
        <v>318.41300000000001</v>
      </c>
      <c r="F37">
        <v>387.63</v>
      </c>
      <c r="G37">
        <v>390.03</v>
      </c>
      <c r="H37">
        <v>387.12799999999999</v>
      </c>
      <c r="J37">
        <v>7.7000999999999999</v>
      </c>
      <c r="K37" s="153">
        <v>63.03</v>
      </c>
      <c r="L37" s="156">
        <f t="shared" si="0"/>
        <v>485.33730300000002</v>
      </c>
      <c r="M37" s="155">
        <f t="shared" si="1"/>
        <v>317.52250000000004</v>
      </c>
      <c r="N37" s="153">
        <f t="shared" si="2"/>
        <v>388.57899999999995</v>
      </c>
      <c r="O37" s="155">
        <f t="shared" si="3"/>
        <v>353.55905638844183</v>
      </c>
      <c r="P37">
        <f t="shared" si="4"/>
        <v>365.06730304178217</v>
      </c>
      <c r="S37" s="155"/>
      <c r="Y37" s="153"/>
      <c r="Z37" s="155"/>
      <c r="AD37" s="155"/>
      <c r="AH37" s="155"/>
      <c r="AK37" s="153"/>
    </row>
    <row r="38" spans="3:37" x14ac:dyDescent="0.25">
      <c r="C38" s="157">
        <v>39052</v>
      </c>
      <c r="D38" s="155">
        <v>309.63200000000001</v>
      </c>
      <c r="E38">
        <v>311.41300000000001</v>
      </c>
      <c r="F38">
        <v>362.63</v>
      </c>
      <c r="G38">
        <v>364.03</v>
      </c>
      <c r="H38">
        <v>362.12799999999999</v>
      </c>
      <c r="J38">
        <v>7.3083</v>
      </c>
      <c r="K38" s="153">
        <v>58.32</v>
      </c>
      <c r="L38" s="156">
        <f t="shared" si="0"/>
        <v>426.220056</v>
      </c>
      <c r="M38" s="155">
        <f t="shared" si="1"/>
        <v>310.52250000000004</v>
      </c>
      <c r="N38" s="153">
        <f t="shared" si="2"/>
        <v>363.07899999999995</v>
      </c>
      <c r="O38" s="155">
        <f t="shared" si="3"/>
        <v>312.69064257900766</v>
      </c>
      <c r="P38">
        <f t="shared" si="4"/>
        <v>319.79714980048198</v>
      </c>
      <c r="S38" s="155"/>
      <c r="Y38" s="153"/>
      <c r="Z38" s="155"/>
      <c r="AD38" s="155"/>
      <c r="AH38" s="155"/>
      <c r="AK38" s="153"/>
    </row>
    <row r="39" spans="3:37" x14ac:dyDescent="0.25">
      <c r="C39" s="157">
        <v>39083</v>
      </c>
      <c r="D39" s="155">
        <v>315.63200000000001</v>
      </c>
      <c r="E39">
        <v>319.41300000000001</v>
      </c>
      <c r="F39">
        <v>345.63</v>
      </c>
      <c r="G39">
        <v>347.03</v>
      </c>
      <c r="H39">
        <v>365.12799999999999</v>
      </c>
      <c r="J39">
        <v>7.0609000000000002</v>
      </c>
      <c r="K39" s="153">
        <v>58.02</v>
      </c>
      <c r="L39" s="156">
        <f t="shared" si="0"/>
        <v>409.67341800000003</v>
      </c>
      <c r="M39" s="155">
        <f t="shared" si="1"/>
        <v>317.52250000000004</v>
      </c>
      <c r="N39" s="153">
        <f t="shared" si="2"/>
        <v>356.07899999999995</v>
      </c>
      <c r="O39" s="155">
        <f t="shared" si="3"/>
        <v>301.25176673049418</v>
      </c>
      <c r="P39">
        <f t="shared" si="4"/>
        <v>307.12624789112346</v>
      </c>
      <c r="S39" s="155"/>
      <c r="Y39" s="153"/>
      <c r="Z39" s="155"/>
      <c r="AD39" s="155"/>
      <c r="AH39" s="155"/>
      <c r="AK39" s="153"/>
    </row>
    <row r="40" spans="3:37" x14ac:dyDescent="0.25">
      <c r="C40" s="157">
        <v>39114</v>
      </c>
      <c r="D40" s="155">
        <v>292.63200000000001</v>
      </c>
      <c r="E40">
        <v>296.41300000000001</v>
      </c>
      <c r="F40">
        <v>336.63</v>
      </c>
      <c r="G40">
        <v>341.03</v>
      </c>
      <c r="H40">
        <v>339.12799999999999</v>
      </c>
      <c r="J40">
        <v>7.1928999999999998</v>
      </c>
      <c r="K40" s="153">
        <v>53.12</v>
      </c>
      <c r="L40" s="156">
        <f t="shared" si="0"/>
        <v>382.08684799999997</v>
      </c>
      <c r="M40" s="155">
        <f t="shared" si="1"/>
        <v>294.52250000000004</v>
      </c>
      <c r="N40" s="153">
        <f t="shared" si="2"/>
        <v>340.07899999999995</v>
      </c>
      <c r="O40" s="155">
        <f t="shared" si="3"/>
        <v>282.18086245880295</v>
      </c>
      <c r="P40">
        <f t="shared" si="4"/>
        <v>286.00130864451307</v>
      </c>
      <c r="S40" s="155"/>
      <c r="Y40" s="153"/>
      <c r="Z40" s="155"/>
      <c r="AD40" s="155"/>
      <c r="AH40" s="155"/>
      <c r="AK40" s="153"/>
    </row>
    <row r="41" spans="3:37" x14ac:dyDescent="0.25">
      <c r="C41" s="157">
        <v>39142</v>
      </c>
      <c r="D41" s="155">
        <v>315.53199999999998</v>
      </c>
      <c r="E41">
        <v>319.31299999999999</v>
      </c>
      <c r="F41">
        <v>346.63</v>
      </c>
      <c r="G41">
        <v>349.03</v>
      </c>
      <c r="H41">
        <v>349.12799999999999</v>
      </c>
      <c r="J41">
        <v>7.1955999999999998</v>
      </c>
      <c r="K41" s="153">
        <v>57.35</v>
      </c>
      <c r="L41" s="156">
        <f t="shared" si="0"/>
        <v>412.66766000000001</v>
      </c>
      <c r="M41" s="155">
        <f t="shared" si="1"/>
        <v>317.42250000000001</v>
      </c>
      <c r="N41" s="153">
        <f t="shared" si="2"/>
        <v>349.07899999999995</v>
      </c>
      <c r="O41" s="155">
        <f t="shared" si="3"/>
        <v>303.32171970211323</v>
      </c>
      <c r="P41">
        <f t="shared" si="4"/>
        <v>309.41914549817096</v>
      </c>
      <c r="S41" s="155"/>
      <c r="Y41" s="153"/>
      <c r="Z41" s="155"/>
      <c r="AD41" s="155"/>
      <c r="AH41" s="155"/>
      <c r="AK41" s="153"/>
    </row>
    <row r="42" spans="3:37" x14ac:dyDescent="0.25">
      <c r="C42" s="157">
        <v>39173</v>
      </c>
      <c r="D42" s="155">
        <v>374.53199999999998</v>
      </c>
      <c r="E42">
        <v>377.31299999999999</v>
      </c>
      <c r="F42">
        <v>374.63</v>
      </c>
      <c r="G42">
        <v>376.03</v>
      </c>
      <c r="H42">
        <v>379.12799999999999</v>
      </c>
      <c r="J42">
        <v>7.3841000000000001</v>
      </c>
      <c r="K42" s="153">
        <v>62.1</v>
      </c>
      <c r="L42" s="156">
        <f t="shared" si="0"/>
        <v>458.55261000000002</v>
      </c>
      <c r="M42" s="155">
        <f t="shared" si="1"/>
        <v>375.92250000000001</v>
      </c>
      <c r="N42" s="153">
        <f t="shared" si="2"/>
        <v>377.57899999999995</v>
      </c>
      <c r="O42" s="155">
        <f t="shared" si="3"/>
        <v>335.04249865220868</v>
      </c>
      <c r="P42">
        <f t="shared" si="4"/>
        <v>344.55641631812978</v>
      </c>
      <c r="S42" s="155"/>
      <c r="Y42" s="153"/>
      <c r="Z42" s="155"/>
      <c r="AD42" s="155"/>
      <c r="AH42" s="155"/>
      <c r="AK42" s="153"/>
    </row>
    <row r="43" spans="3:37" x14ac:dyDescent="0.25">
      <c r="C43" s="157">
        <v>39203</v>
      </c>
      <c r="D43" s="155">
        <v>408.53199999999998</v>
      </c>
      <c r="E43">
        <v>411.31299999999999</v>
      </c>
      <c r="F43">
        <v>404.63</v>
      </c>
      <c r="G43">
        <v>406.03</v>
      </c>
      <c r="H43">
        <v>397.12799999999999</v>
      </c>
      <c r="J43">
        <v>7.1680000000000001</v>
      </c>
      <c r="K43" s="153">
        <v>64.13</v>
      </c>
      <c r="L43" s="156">
        <f t="shared" si="0"/>
        <v>459.68383999999998</v>
      </c>
      <c r="M43" s="155">
        <f t="shared" si="1"/>
        <v>409.92250000000001</v>
      </c>
      <c r="N43" s="153">
        <f t="shared" si="2"/>
        <v>401.57899999999995</v>
      </c>
      <c r="O43" s="155">
        <f t="shared" si="3"/>
        <v>335.82453059888655</v>
      </c>
      <c r="P43">
        <f t="shared" si="4"/>
        <v>345.42267714808952</v>
      </c>
      <c r="S43" s="155"/>
      <c r="Y43" s="153"/>
      <c r="Z43" s="155"/>
      <c r="AD43" s="155"/>
      <c r="AH43" s="155"/>
      <c r="AK43" s="153"/>
    </row>
    <row r="44" spans="3:37" x14ac:dyDescent="0.25">
      <c r="C44" s="157">
        <v>39234</v>
      </c>
      <c r="D44" s="155">
        <v>431.53199999999998</v>
      </c>
      <c r="E44">
        <v>434.31299999999999</v>
      </c>
      <c r="F44">
        <v>409.63</v>
      </c>
      <c r="G44">
        <v>413.03</v>
      </c>
      <c r="H44">
        <v>399.12799999999999</v>
      </c>
      <c r="J44">
        <v>7.0457000000000001</v>
      </c>
      <c r="K44" s="153">
        <v>66.45</v>
      </c>
      <c r="L44" s="156">
        <f t="shared" si="0"/>
        <v>468.18676500000004</v>
      </c>
      <c r="M44" s="155">
        <f t="shared" si="1"/>
        <v>432.92250000000001</v>
      </c>
      <c r="N44" s="153">
        <f t="shared" si="2"/>
        <v>406.07899999999995</v>
      </c>
      <c r="O44" s="155">
        <f t="shared" si="3"/>
        <v>341.70269771804527</v>
      </c>
      <c r="P44">
        <f t="shared" si="4"/>
        <v>351.93395325249412</v>
      </c>
      <c r="S44" s="155"/>
      <c r="Y44" s="153"/>
      <c r="Z44" s="155"/>
      <c r="AD44" s="155"/>
      <c r="AH44" s="155"/>
      <c r="AK44" s="153"/>
    </row>
    <row r="45" spans="3:37" x14ac:dyDescent="0.25">
      <c r="C45" s="157">
        <v>39264</v>
      </c>
      <c r="D45" s="155">
        <v>423.33199999999999</v>
      </c>
      <c r="E45">
        <v>426.113</v>
      </c>
      <c r="F45">
        <v>420.63</v>
      </c>
      <c r="G45">
        <v>424.03</v>
      </c>
      <c r="H45">
        <v>416.12799999999999</v>
      </c>
      <c r="J45">
        <v>7.1947999999999999</v>
      </c>
      <c r="K45" s="153">
        <v>63.33</v>
      </c>
      <c r="L45" s="156">
        <f t="shared" si="0"/>
        <v>455.64668399999999</v>
      </c>
      <c r="M45" s="155">
        <f t="shared" si="1"/>
        <v>424.72249999999997</v>
      </c>
      <c r="N45" s="153">
        <f t="shared" si="2"/>
        <v>420.07899999999995</v>
      </c>
      <c r="O45" s="155">
        <f t="shared" si="3"/>
        <v>333.03359951880361</v>
      </c>
      <c r="P45">
        <f t="shared" si="4"/>
        <v>342.33114836328269</v>
      </c>
      <c r="S45" s="155"/>
      <c r="Y45" s="153"/>
      <c r="Z45" s="155"/>
      <c r="AD45" s="155"/>
      <c r="AH45" s="155"/>
      <c r="AK45" s="153"/>
    </row>
    <row r="46" spans="3:37" x14ac:dyDescent="0.25">
      <c r="C46" s="157">
        <v>39295</v>
      </c>
      <c r="D46" s="155">
        <v>408.33199999999999</v>
      </c>
      <c r="E46">
        <v>411.113</v>
      </c>
      <c r="F46">
        <v>435.63</v>
      </c>
      <c r="G46">
        <v>439.03</v>
      </c>
      <c r="H46">
        <v>423.12799999999999</v>
      </c>
      <c r="J46">
        <v>6.9782000000000002</v>
      </c>
      <c r="K46" s="153">
        <v>60.48</v>
      </c>
      <c r="L46" s="156">
        <f t="shared" si="0"/>
        <v>422.04153600000001</v>
      </c>
      <c r="M46" s="155">
        <f t="shared" si="1"/>
        <v>409.72249999999997</v>
      </c>
      <c r="N46" s="153">
        <f t="shared" si="2"/>
        <v>431.07899999999995</v>
      </c>
      <c r="O46" s="155">
        <f t="shared" si="3"/>
        <v>309.8019849852094</v>
      </c>
      <c r="P46">
        <f t="shared" si="4"/>
        <v>316.5973688512467</v>
      </c>
      <c r="S46" s="155"/>
      <c r="Y46" s="153"/>
      <c r="Z46" s="155"/>
      <c r="AD46" s="155"/>
      <c r="AH46" s="155"/>
      <c r="AK46" s="153"/>
    </row>
    <row r="47" spans="3:37" x14ac:dyDescent="0.25">
      <c r="C47" s="157">
        <v>39326</v>
      </c>
      <c r="D47" s="155">
        <v>386.63200000000001</v>
      </c>
      <c r="E47">
        <v>389.41300000000001</v>
      </c>
      <c r="F47">
        <v>440.63</v>
      </c>
      <c r="G47">
        <v>444.03</v>
      </c>
      <c r="H47">
        <v>423.12799999999999</v>
      </c>
      <c r="J47">
        <v>7.2355999999999998</v>
      </c>
      <c r="K47" s="153">
        <v>71.790000000000006</v>
      </c>
      <c r="L47" s="156">
        <f t="shared" si="0"/>
        <v>519.44372400000009</v>
      </c>
      <c r="M47" s="155">
        <f t="shared" si="1"/>
        <v>388.02250000000004</v>
      </c>
      <c r="N47" s="153">
        <f t="shared" si="2"/>
        <v>433.57899999999995</v>
      </c>
      <c r="O47" s="155">
        <f t="shared" si="3"/>
        <v>377.1372065514015</v>
      </c>
      <c r="P47">
        <f t="shared" si="4"/>
        <v>391.18494186184267</v>
      </c>
      <c r="S47" s="155"/>
      <c r="Y47" s="153"/>
      <c r="Z47" s="155"/>
      <c r="AD47" s="155"/>
      <c r="AH47" s="155"/>
      <c r="AK47" s="153"/>
    </row>
    <row r="48" spans="3:37" x14ac:dyDescent="0.25">
      <c r="C48" s="157">
        <v>39356</v>
      </c>
      <c r="D48" s="155">
        <v>395.63200000000001</v>
      </c>
      <c r="E48">
        <v>399.41300000000001</v>
      </c>
      <c r="F48">
        <v>463.63</v>
      </c>
      <c r="G48">
        <v>467.03</v>
      </c>
      <c r="H48">
        <v>441.12799999999999</v>
      </c>
      <c r="J48">
        <v>7.1580000000000004</v>
      </c>
      <c r="K48" s="153">
        <v>76.432000000000002</v>
      </c>
      <c r="L48" s="156">
        <f t="shared" si="0"/>
        <v>547.10025600000006</v>
      </c>
      <c r="M48" s="155">
        <f t="shared" si="1"/>
        <v>397.52250000000004</v>
      </c>
      <c r="N48" s="153">
        <f t="shared" si="2"/>
        <v>454.07899999999995</v>
      </c>
      <c r="O48" s="155">
        <f t="shared" si="3"/>
        <v>396.25647633590035</v>
      </c>
      <c r="P48">
        <f t="shared" si="4"/>
        <v>412.36345583701001</v>
      </c>
      <c r="S48" s="155"/>
      <c r="Y48" s="153"/>
      <c r="Z48" s="155"/>
      <c r="AD48" s="155"/>
      <c r="AH48" s="155"/>
      <c r="AK48" s="153"/>
    </row>
    <row r="49" spans="3:37" x14ac:dyDescent="0.25">
      <c r="C49" s="157">
        <v>39387</v>
      </c>
      <c r="D49" s="155">
        <v>398.63200000000001</v>
      </c>
      <c r="E49">
        <v>402.41300000000001</v>
      </c>
      <c r="F49">
        <v>457.63</v>
      </c>
      <c r="G49">
        <v>461.03</v>
      </c>
      <c r="H49">
        <v>451.12799999999999</v>
      </c>
      <c r="J49">
        <v>6.7877000000000001</v>
      </c>
      <c r="K49" s="153">
        <v>82.78</v>
      </c>
      <c r="L49" s="156">
        <f t="shared" si="0"/>
        <v>561.885806</v>
      </c>
      <c r="M49" s="155">
        <f t="shared" si="1"/>
        <v>400.52250000000004</v>
      </c>
      <c r="N49" s="153">
        <f t="shared" si="2"/>
        <v>456.07899999999995</v>
      </c>
      <c r="O49" s="155">
        <f t="shared" si="3"/>
        <v>406.47789236023038</v>
      </c>
      <c r="P49">
        <f t="shared" si="4"/>
        <v>423.68577120560127</v>
      </c>
      <c r="S49" s="155"/>
      <c r="Y49" s="153"/>
      <c r="Z49" s="155"/>
      <c r="AD49" s="155"/>
      <c r="AH49" s="155"/>
      <c r="AK49" s="153"/>
    </row>
    <row r="50" spans="3:37" x14ac:dyDescent="0.25">
      <c r="C50" s="157">
        <v>39417</v>
      </c>
      <c r="D50" s="155">
        <v>441.63</v>
      </c>
      <c r="E50">
        <v>445.41300000000001</v>
      </c>
      <c r="F50">
        <v>508.63</v>
      </c>
      <c r="G50">
        <v>513.03</v>
      </c>
      <c r="H50">
        <v>509.12799999999999</v>
      </c>
      <c r="J50">
        <v>6.7243000000000004</v>
      </c>
      <c r="K50" s="153">
        <v>92.91</v>
      </c>
      <c r="L50" s="156">
        <f t="shared" si="0"/>
        <v>624.75471300000004</v>
      </c>
      <c r="M50" s="155">
        <f t="shared" si="1"/>
        <v>443.5215</v>
      </c>
      <c r="N50" s="153">
        <f t="shared" si="2"/>
        <v>511.07899999999995</v>
      </c>
      <c r="O50" s="155">
        <f t="shared" si="3"/>
        <v>449.93987067296939</v>
      </c>
      <c r="P50">
        <f t="shared" si="4"/>
        <v>471.82882925434723</v>
      </c>
      <c r="S50" s="155"/>
      <c r="Y50" s="153"/>
      <c r="Z50" s="155"/>
      <c r="AD50" s="155"/>
      <c r="AH50" s="155"/>
      <c r="AK50" s="153"/>
    </row>
    <row r="51" spans="3:37" x14ac:dyDescent="0.25">
      <c r="C51" s="157">
        <v>39448</v>
      </c>
      <c r="D51" s="155">
        <v>441.63200000000001</v>
      </c>
      <c r="E51">
        <v>445.41300000000001</v>
      </c>
      <c r="F51">
        <v>509.63</v>
      </c>
      <c r="G51">
        <v>513.03</v>
      </c>
      <c r="H51">
        <v>500.12799999999999</v>
      </c>
      <c r="J51">
        <v>6.8433000000000002</v>
      </c>
      <c r="K51" s="153">
        <v>90.37</v>
      </c>
      <c r="L51" s="156">
        <f t="shared" si="0"/>
        <v>618.42902100000003</v>
      </c>
      <c r="M51" s="155">
        <f t="shared" si="1"/>
        <v>443.52250000000004</v>
      </c>
      <c r="N51" s="153">
        <f t="shared" si="2"/>
        <v>506.57899999999995</v>
      </c>
      <c r="O51" s="155">
        <f t="shared" si="3"/>
        <v>445.56684906918889</v>
      </c>
      <c r="P51">
        <f t="shared" si="4"/>
        <v>466.98481061800464</v>
      </c>
      <c r="S51" s="155"/>
      <c r="Y51" s="153"/>
      <c r="Z51" s="155"/>
      <c r="AD51" s="155"/>
      <c r="AH51" s="155"/>
      <c r="AK51" s="153"/>
    </row>
    <row r="52" spans="3:37" x14ac:dyDescent="0.25">
      <c r="C52" s="157">
        <v>39479</v>
      </c>
      <c r="D52" s="155">
        <v>458.63200000000001</v>
      </c>
      <c r="E52">
        <v>462.41300000000001</v>
      </c>
      <c r="F52">
        <v>516.63</v>
      </c>
      <c r="G52">
        <v>520.29999999999995</v>
      </c>
      <c r="H52">
        <v>502.12799999999999</v>
      </c>
      <c r="J52">
        <v>6.9837999999999996</v>
      </c>
      <c r="K52" s="153">
        <v>92.16</v>
      </c>
      <c r="L52" s="156">
        <f t="shared" si="0"/>
        <v>643.62700799999993</v>
      </c>
      <c r="M52" s="155">
        <f t="shared" si="1"/>
        <v>460.52250000000004</v>
      </c>
      <c r="N52" s="153">
        <f t="shared" si="2"/>
        <v>511.21399999999994</v>
      </c>
      <c r="O52" s="155">
        <f t="shared" si="3"/>
        <v>462.98649920751041</v>
      </c>
      <c r="P52">
        <f t="shared" si="4"/>
        <v>486.28064712511207</v>
      </c>
      <c r="S52" s="155"/>
      <c r="Y52" s="153"/>
      <c r="Z52" s="155"/>
      <c r="AD52" s="155"/>
      <c r="AH52" s="155"/>
      <c r="AK52" s="153"/>
    </row>
    <row r="53" spans="3:37" x14ac:dyDescent="0.25">
      <c r="C53" s="157">
        <v>39508</v>
      </c>
      <c r="D53" s="155">
        <v>519.63199999999995</v>
      </c>
      <c r="E53">
        <v>523.41300000000001</v>
      </c>
      <c r="F53">
        <v>594.63</v>
      </c>
      <c r="G53">
        <v>598.29999999999995</v>
      </c>
      <c r="H53">
        <v>578.12800000000004</v>
      </c>
      <c r="J53">
        <v>7.6645000000000003</v>
      </c>
      <c r="K53" s="153">
        <v>94.74</v>
      </c>
      <c r="L53" s="156">
        <f t="shared" si="0"/>
        <v>726.13472999999999</v>
      </c>
      <c r="M53" s="155">
        <f t="shared" si="1"/>
        <v>521.52250000000004</v>
      </c>
      <c r="N53" s="153">
        <f t="shared" si="2"/>
        <v>588.21399999999994</v>
      </c>
      <c r="O53" s="155">
        <f t="shared" si="3"/>
        <v>520.02500990084081</v>
      </c>
      <c r="P53">
        <f t="shared" si="4"/>
        <v>549.46250027417022</v>
      </c>
      <c r="S53" s="155"/>
      <c r="Y53" s="153"/>
      <c r="Z53" s="155"/>
      <c r="AD53" s="155"/>
      <c r="AH53" s="155"/>
      <c r="AK53" s="153"/>
    </row>
    <row r="54" spans="3:37" x14ac:dyDescent="0.25">
      <c r="C54" s="157">
        <v>39539</v>
      </c>
      <c r="D54" s="155">
        <v>575.63199999999995</v>
      </c>
      <c r="E54">
        <v>578.41300000000001</v>
      </c>
      <c r="F54">
        <v>711.63</v>
      </c>
      <c r="G54">
        <v>717.03</v>
      </c>
      <c r="H54">
        <v>696.12800000000004</v>
      </c>
      <c r="J54">
        <v>7.9884000000000004</v>
      </c>
      <c r="K54" s="153">
        <v>102.4</v>
      </c>
      <c r="L54" s="156">
        <f t="shared" si="0"/>
        <v>818.01216000000011</v>
      </c>
      <c r="M54" s="155">
        <f t="shared" si="1"/>
        <v>577.02250000000004</v>
      </c>
      <c r="N54" s="153">
        <f t="shared" si="2"/>
        <v>706.57899999999995</v>
      </c>
      <c r="O54" s="155">
        <f t="shared" si="3"/>
        <v>583.54090449226737</v>
      </c>
      <c r="P54">
        <f t="shared" si="4"/>
        <v>619.81938505124447</v>
      </c>
      <c r="S54" s="155"/>
      <c r="Y54" s="153"/>
      <c r="Z54" s="155"/>
      <c r="AD54" s="155"/>
      <c r="AH54" s="155"/>
      <c r="AK54" s="153"/>
    </row>
    <row r="55" spans="3:37" x14ac:dyDescent="0.25">
      <c r="C55" s="157">
        <v>39569</v>
      </c>
      <c r="D55" s="155">
        <v>606.63199999999995</v>
      </c>
      <c r="E55">
        <v>609.41300000000001</v>
      </c>
      <c r="F55">
        <v>758.63</v>
      </c>
      <c r="G55">
        <v>765.03</v>
      </c>
      <c r="H55">
        <v>749.12800000000004</v>
      </c>
      <c r="J55">
        <v>7.8445999999999998</v>
      </c>
      <c r="K55" s="153">
        <v>108.37</v>
      </c>
      <c r="L55" s="156">
        <f t="shared" si="0"/>
        <v>850.11930200000006</v>
      </c>
      <c r="M55" s="155">
        <f t="shared" si="1"/>
        <v>608.02250000000004</v>
      </c>
      <c r="N55" s="153">
        <f t="shared" si="2"/>
        <v>757.07899999999995</v>
      </c>
      <c r="O55" s="155">
        <f t="shared" si="3"/>
        <v>605.73693072965727</v>
      </c>
      <c r="P55">
        <f t="shared" si="4"/>
        <v>644.40603805421972</v>
      </c>
      <c r="S55" s="155"/>
      <c r="Y55" s="153"/>
      <c r="Z55" s="155"/>
      <c r="AD55" s="155"/>
      <c r="AH55" s="155"/>
      <c r="AK55" s="153"/>
    </row>
    <row r="56" spans="3:37" x14ac:dyDescent="0.25">
      <c r="C56" s="157">
        <v>39600</v>
      </c>
      <c r="D56" s="155">
        <v>651.63199999999995</v>
      </c>
      <c r="E56">
        <v>654.41300000000001</v>
      </c>
      <c r="F56">
        <v>829.63</v>
      </c>
      <c r="G56">
        <v>835.03</v>
      </c>
      <c r="H56">
        <v>820.12800000000004</v>
      </c>
      <c r="J56">
        <v>7.6433999999999997</v>
      </c>
      <c r="K56" s="153">
        <v>122.25</v>
      </c>
      <c r="L56" s="156">
        <f t="shared" si="0"/>
        <v>934.40564999999992</v>
      </c>
      <c r="M56" s="155">
        <f t="shared" si="1"/>
        <v>653.02250000000004</v>
      </c>
      <c r="N56" s="153">
        <f t="shared" si="2"/>
        <v>827.57899999999995</v>
      </c>
      <c r="O56" s="155">
        <f t="shared" si="3"/>
        <v>664.00502546265398</v>
      </c>
      <c r="P56">
        <f t="shared" si="4"/>
        <v>708.94990780021033</v>
      </c>
      <c r="S56" s="155"/>
      <c r="Y56" s="153"/>
      <c r="Z56" s="155"/>
      <c r="AD56" s="155"/>
      <c r="AH56" s="155"/>
      <c r="AK56" s="153"/>
    </row>
    <row r="57" spans="3:37" x14ac:dyDescent="0.25">
      <c r="C57" s="157">
        <v>39630</v>
      </c>
      <c r="D57" s="155">
        <v>723.23199999999997</v>
      </c>
      <c r="E57">
        <v>730.01300000000003</v>
      </c>
      <c r="F57">
        <v>892.63</v>
      </c>
      <c r="G57">
        <v>898.03</v>
      </c>
      <c r="H57">
        <v>869.12800000000004</v>
      </c>
      <c r="J57">
        <v>7.9352</v>
      </c>
      <c r="K57" s="153">
        <v>131.54</v>
      </c>
      <c r="L57" s="156">
        <f t="shared" si="0"/>
        <v>1043.796208</v>
      </c>
      <c r="M57" s="155">
        <f t="shared" si="1"/>
        <v>726.62249999999995</v>
      </c>
      <c r="N57" s="153">
        <f t="shared" si="2"/>
        <v>883.57899999999995</v>
      </c>
      <c r="O57" s="155">
        <f t="shared" si="3"/>
        <v>739.62794124540198</v>
      </c>
      <c r="P57">
        <f t="shared" si="4"/>
        <v>792.71780253677241</v>
      </c>
      <c r="S57" s="155"/>
      <c r="Y57" s="153"/>
      <c r="Z57" s="155"/>
      <c r="AD57" s="155"/>
      <c r="AH57" s="155"/>
      <c r="AK57" s="153"/>
    </row>
    <row r="58" spans="3:37" x14ac:dyDescent="0.25">
      <c r="C58" s="157">
        <v>39661</v>
      </c>
      <c r="D58" s="155">
        <v>682.63199999999995</v>
      </c>
      <c r="E58">
        <v>692.41300000000001</v>
      </c>
      <c r="F58">
        <v>870.63</v>
      </c>
      <c r="G58">
        <v>875.03</v>
      </c>
      <c r="H58">
        <v>867.12800000000004</v>
      </c>
      <c r="J58">
        <v>7.6814</v>
      </c>
      <c r="K58" s="153">
        <v>133.63999999999999</v>
      </c>
      <c r="L58" s="156">
        <f t="shared" si="0"/>
        <v>1026.5422959999999</v>
      </c>
      <c r="M58" s="155">
        <f t="shared" si="1"/>
        <v>687.52250000000004</v>
      </c>
      <c r="N58" s="153">
        <f t="shared" si="2"/>
        <v>871.07899999999995</v>
      </c>
      <c r="O58" s="155">
        <f t="shared" si="3"/>
        <v>727.70011897303584</v>
      </c>
      <c r="P58">
        <f t="shared" si="4"/>
        <v>779.50529214615972</v>
      </c>
      <c r="S58" s="155"/>
      <c r="Y58" s="153"/>
      <c r="Z58" s="155"/>
      <c r="AD58" s="155"/>
      <c r="AH58" s="155"/>
      <c r="AK58" s="153"/>
    </row>
    <row r="59" spans="3:37" x14ac:dyDescent="0.25">
      <c r="C59" s="157">
        <v>39692</v>
      </c>
      <c r="D59" s="155">
        <v>593.63199999999995</v>
      </c>
      <c r="E59">
        <v>598.41300000000001</v>
      </c>
      <c r="F59">
        <v>706.63</v>
      </c>
      <c r="G59">
        <v>709.03</v>
      </c>
      <c r="H59">
        <v>721.12800000000004</v>
      </c>
      <c r="J59">
        <v>7.6844999999999999</v>
      </c>
      <c r="K59" s="153">
        <v>113</v>
      </c>
      <c r="L59" s="156">
        <f t="shared" ref="L59:L90" si="5">K59*J59</f>
        <v>868.34849999999994</v>
      </c>
      <c r="M59" s="155">
        <f t="shared" ref="M59:M90" si="6">AVERAGE(D59:E59)</f>
        <v>596.02250000000004</v>
      </c>
      <c r="N59" s="153">
        <f t="shared" ref="N59:N90" si="7">AVERAGE(G59:H59)</f>
        <v>715.07899999999995</v>
      </c>
      <c r="O59" s="155">
        <f t="shared" ref="O59:O90" si="8">$E$7*L59+$F$7</f>
        <v>618.33897911797453</v>
      </c>
      <c r="P59">
        <f t="shared" ref="P59:P90" si="9">$I$7*L59+$J$7</f>
        <v>658.36539219880638</v>
      </c>
      <c r="S59" s="155"/>
      <c r="Y59" s="153"/>
      <c r="Z59" s="155"/>
      <c r="AD59" s="155"/>
      <c r="AH59" s="155"/>
      <c r="AK59" s="153"/>
    </row>
    <row r="60" spans="3:37" x14ac:dyDescent="0.25">
      <c r="C60" s="157">
        <v>39722</v>
      </c>
      <c r="D60" s="155">
        <v>564.03200000000004</v>
      </c>
      <c r="E60">
        <v>570.81299999999999</v>
      </c>
      <c r="F60">
        <v>650.63</v>
      </c>
      <c r="G60">
        <v>654.03</v>
      </c>
      <c r="H60">
        <v>656.12800000000004</v>
      </c>
      <c r="J60">
        <v>8.0182000000000002</v>
      </c>
      <c r="K60" s="153">
        <v>99.08</v>
      </c>
      <c r="L60" s="156">
        <f t="shared" si="5"/>
        <v>794.44325600000002</v>
      </c>
      <c r="M60" s="155">
        <f t="shared" si="6"/>
        <v>567.42250000000001</v>
      </c>
      <c r="N60" s="153">
        <f t="shared" si="7"/>
        <v>655.07899999999995</v>
      </c>
      <c r="O60" s="155">
        <f t="shared" si="8"/>
        <v>567.24745764575175</v>
      </c>
      <c r="P60">
        <f t="shared" si="9"/>
        <v>601.77104975224961</v>
      </c>
      <c r="S60" s="155"/>
      <c r="Y60" s="153"/>
      <c r="Z60" s="155"/>
      <c r="AD60" s="155"/>
      <c r="AH60" s="155"/>
      <c r="AK60" s="153"/>
    </row>
    <row r="61" spans="3:37" x14ac:dyDescent="0.25">
      <c r="C61" s="157">
        <v>39753</v>
      </c>
      <c r="D61" s="155">
        <v>519.03200000000004</v>
      </c>
      <c r="E61">
        <v>525.81299999999999</v>
      </c>
      <c r="F61">
        <v>626.63</v>
      </c>
      <c r="G61">
        <v>633.03</v>
      </c>
      <c r="H61">
        <v>617.12800000000004</v>
      </c>
      <c r="J61">
        <v>9.5900999999999996</v>
      </c>
      <c r="K61" s="153">
        <v>75.33</v>
      </c>
      <c r="L61" s="156">
        <f t="shared" si="5"/>
        <v>722.42223300000001</v>
      </c>
      <c r="M61" s="155">
        <f t="shared" si="6"/>
        <v>522.42250000000001</v>
      </c>
      <c r="N61" s="153">
        <f t="shared" si="7"/>
        <v>625.07899999999995</v>
      </c>
      <c r="O61" s="155">
        <f t="shared" si="8"/>
        <v>517.45851921729661</v>
      </c>
      <c r="P61">
        <f t="shared" si="9"/>
        <v>546.61958527682827</v>
      </c>
      <c r="S61" s="155"/>
      <c r="Y61" s="153"/>
      <c r="Z61" s="155"/>
      <c r="AD61" s="155"/>
      <c r="AH61" s="155"/>
      <c r="AK61" s="153"/>
    </row>
    <row r="62" spans="3:37" x14ac:dyDescent="0.25">
      <c r="C62" s="157">
        <v>39783</v>
      </c>
      <c r="D62" s="155">
        <v>358.03199999999998</v>
      </c>
      <c r="E62">
        <v>364.81299999999999</v>
      </c>
      <c r="F62">
        <v>545.63</v>
      </c>
      <c r="G62">
        <v>553.03</v>
      </c>
      <c r="H62">
        <v>542.12800000000004</v>
      </c>
      <c r="J62">
        <v>10.1823</v>
      </c>
      <c r="K62" s="153">
        <v>53.11</v>
      </c>
      <c r="L62" s="156">
        <f t="shared" si="5"/>
        <v>540.78195299999993</v>
      </c>
      <c r="M62" s="155">
        <f t="shared" si="6"/>
        <v>361.42250000000001</v>
      </c>
      <c r="N62" s="153">
        <f t="shared" si="7"/>
        <v>547.57899999999995</v>
      </c>
      <c r="O62" s="155">
        <f t="shared" si="8"/>
        <v>391.88856283043225</v>
      </c>
      <c r="P62">
        <f t="shared" si="9"/>
        <v>407.52509546757381</v>
      </c>
      <c r="S62" s="155"/>
      <c r="Y62" s="153"/>
      <c r="Z62" s="155"/>
      <c r="AD62" s="155"/>
      <c r="AH62" s="155"/>
      <c r="AK62" s="153"/>
    </row>
    <row r="63" spans="3:37" x14ac:dyDescent="0.25">
      <c r="C63" s="157">
        <v>39814</v>
      </c>
      <c r="D63" s="155">
        <v>265.98200000000003</v>
      </c>
      <c r="E63">
        <v>274.76299999999998</v>
      </c>
      <c r="F63">
        <v>421.63</v>
      </c>
      <c r="G63">
        <v>431.03</v>
      </c>
      <c r="H63">
        <v>405.12799999999999</v>
      </c>
      <c r="J63">
        <v>9.9518000000000004</v>
      </c>
      <c r="K63" s="153">
        <v>39.988999999999997</v>
      </c>
      <c r="L63" s="156">
        <f t="shared" si="5"/>
        <v>397.9625302</v>
      </c>
      <c r="M63" s="155">
        <f t="shared" si="6"/>
        <v>270.3725</v>
      </c>
      <c r="N63" s="153">
        <f t="shared" si="7"/>
        <v>418.07899999999995</v>
      </c>
      <c r="O63" s="155">
        <f t="shared" si="8"/>
        <v>293.15589906117839</v>
      </c>
      <c r="P63">
        <f t="shared" si="9"/>
        <v>298.1584134231606</v>
      </c>
      <c r="S63" s="155"/>
      <c r="Y63" s="153"/>
      <c r="Z63" s="155"/>
      <c r="AD63" s="155"/>
      <c r="AH63" s="155"/>
      <c r="AK63" s="153"/>
    </row>
    <row r="64" spans="3:37" x14ac:dyDescent="0.25">
      <c r="C64" s="157">
        <v>39845</v>
      </c>
      <c r="D64" s="155">
        <v>326.98200000000003</v>
      </c>
      <c r="E64">
        <v>335.76299999999998</v>
      </c>
      <c r="F64">
        <v>416.63</v>
      </c>
      <c r="G64">
        <v>424.03</v>
      </c>
      <c r="H64">
        <v>391.12799999999999</v>
      </c>
      <c r="J64">
        <v>9.9331999999999994</v>
      </c>
      <c r="K64" s="153">
        <v>43.548000000000002</v>
      </c>
      <c r="L64" s="156">
        <f t="shared" si="5"/>
        <v>432.57099360000001</v>
      </c>
      <c r="M64" s="155">
        <f t="shared" si="6"/>
        <v>331.3725</v>
      </c>
      <c r="N64" s="153">
        <f t="shared" si="7"/>
        <v>407.57899999999995</v>
      </c>
      <c r="O64" s="155">
        <f t="shared" si="8"/>
        <v>317.08111674832571</v>
      </c>
      <c r="P64">
        <f t="shared" si="9"/>
        <v>324.66050073388953</v>
      </c>
      <c r="S64" s="155"/>
      <c r="Y64" s="153"/>
      <c r="Z64" s="155"/>
      <c r="AD64" s="155"/>
      <c r="AH64" s="155"/>
      <c r="AK64" s="153"/>
    </row>
    <row r="65" spans="3:47" x14ac:dyDescent="0.25">
      <c r="C65" s="157">
        <v>39873</v>
      </c>
      <c r="D65" s="155">
        <v>371.98200000000003</v>
      </c>
      <c r="E65">
        <v>380.76299999999998</v>
      </c>
      <c r="F65">
        <v>378.63</v>
      </c>
      <c r="G65">
        <v>386.03</v>
      </c>
      <c r="H65">
        <v>365.12799999999999</v>
      </c>
      <c r="J65">
        <v>10.0602</v>
      </c>
      <c r="K65" s="153">
        <v>43.07</v>
      </c>
      <c r="L65" s="156">
        <f t="shared" si="5"/>
        <v>433.29281400000002</v>
      </c>
      <c r="M65" s="155">
        <f t="shared" si="6"/>
        <v>376.3725</v>
      </c>
      <c r="N65" s="153">
        <f t="shared" si="7"/>
        <v>375.57899999999995</v>
      </c>
      <c r="O65" s="155">
        <f t="shared" si="8"/>
        <v>317.58011926113369</v>
      </c>
      <c r="P65">
        <f t="shared" si="9"/>
        <v>325.21324839686338</v>
      </c>
      <c r="S65" s="155"/>
      <c r="Y65" s="153"/>
      <c r="Z65" s="155"/>
      <c r="AD65" s="155"/>
      <c r="AH65" s="155"/>
      <c r="AK65" s="153"/>
    </row>
    <row r="66" spans="3:47" x14ac:dyDescent="0.25">
      <c r="C66" s="157">
        <v>39904</v>
      </c>
      <c r="D66" s="155">
        <v>367.48200000000003</v>
      </c>
      <c r="E66">
        <v>371.26299999999998</v>
      </c>
      <c r="F66">
        <v>376.63</v>
      </c>
      <c r="G66">
        <v>384.03</v>
      </c>
      <c r="H66">
        <v>360.12799999999999</v>
      </c>
      <c r="J66">
        <v>10.0655</v>
      </c>
      <c r="K66" s="153">
        <v>46.543999999999997</v>
      </c>
      <c r="L66" s="156">
        <f t="shared" si="5"/>
        <v>468.488632</v>
      </c>
      <c r="M66" s="155">
        <f t="shared" si="6"/>
        <v>369.3725</v>
      </c>
      <c r="N66" s="153">
        <f t="shared" si="7"/>
        <v>372.07899999999995</v>
      </c>
      <c r="O66" s="155">
        <f t="shared" si="8"/>
        <v>341.9113817501588</v>
      </c>
      <c r="P66">
        <f t="shared" si="9"/>
        <v>352.16511363363446</v>
      </c>
      <c r="S66" s="155"/>
      <c r="Y66" s="153"/>
      <c r="Z66" s="155"/>
      <c r="AD66" s="155"/>
      <c r="AH66" s="155"/>
      <c r="AK66" s="153"/>
    </row>
    <row r="67" spans="3:47" x14ac:dyDescent="0.25">
      <c r="C67" s="157">
        <v>39934</v>
      </c>
      <c r="D67" s="155">
        <v>364.48200000000003</v>
      </c>
      <c r="E67">
        <v>368.26299999999998</v>
      </c>
      <c r="F67">
        <v>384.63</v>
      </c>
      <c r="G67">
        <v>390.03</v>
      </c>
      <c r="H67">
        <v>373.12799999999999</v>
      </c>
      <c r="J67">
        <v>9.1531000000000002</v>
      </c>
      <c r="K67" s="153">
        <v>50.274000000000001</v>
      </c>
      <c r="L67" s="156">
        <f t="shared" si="5"/>
        <v>460.1629494</v>
      </c>
      <c r="M67" s="155">
        <f t="shared" si="6"/>
        <v>366.3725</v>
      </c>
      <c r="N67" s="153">
        <f t="shared" si="7"/>
        <v>381.57899999999995</v>
      </c>
      <c r="O67" s="155">
        <f t="shared" si="8"/>
        <v>336.15574428377261</v>
      </c>
      <c r="P67">
        <f t="shared" si="9"/>
        <v>345.78956425900907</v>
      </c>
      <c r="S67" s="155"/>
      <c r="Y67" s="153"/>
      <c r="Z67" s="155"/>
      <c r="AD67" s="155"/>
      <c r="AH67" s="155"/>
      <c r="AK67" s="153"/>
      <c r="AR67" t="s">
        <v>137</v>
      </c>
    </row>
    <row r="68" spans="3:47" x14ac:dyDescent="0.25">
      <c r="C68" s="157">
        <v>39965</v>
      </c>
      <c r="D68" s="155">
        <v>379.38200000000001</v>
      </c>
      <c r="E68">
        <v>383.16300000000001</v>
      </c>
      <c r="F68">
        <v>371.63</v>
      </c>
      <c r="G68">
        <v>376.03</v>
      </c>
      <c r="H68">
        <v>364.12799999999999</v>
      </c>
      <c r="J68">
        <v>8.4370999999999992</v>
      </c>
      <c r="K68" s="153">
        <v>56.576999999999998</v>
      </c>
      <c r="L68" s="156">
        <f t="shared" si="5"/>
        <v>477.34580669999991</v>
      </c>
      <c r="M68" s="155">
        <f t="shared" si="6"/>
        <v>381.27250000000004</v>
      </c>
      <c r="N68" s="153">
        <f t="shared" si="7"/>
        <v>370.07899999999995</v>
      </c>
      <c r="O68" s="155">
        <f t="shared" si="8"/>
        <v>348.03444564760395</v>
      </c>
      <c r="P68">
        <f t="shared" si="9"/>
        <v>358.94766316531286</v>
      </c>
      <c r="S68" s="155"/>
      <c r="Y68" s="153"/>
      <c r="Z68" s="155"/>
      <c r="AD68" s="155"/>
      <c r="AH68" s="155"/>
      <c r="AK68" s="153"/>
    </row>
    <row r="69" spans="3:47" x14ac:dyDescent="0.25">
      <c r="C69" s="157">
        <v>39995</v>
      </c>
      <c r="D69" s="155">
        <v>416.38200000000001</v>
      </c>
      <c r="E69">
        <v>423.16300000000001</v>
      </c>
      <c r="F69">
        <v>411.63</v>
      </c>
      <c r="G69">
        <v>416.03</v>
      </c>
      <c r="H69">
        <v>410.12799999999999</v>
      </c>
      <c r="J69">
        <v>8.1092999999999993</v>
      </c>
      <c r="K69" s="153">
        <v>68.34</v>
      </c>
      <c r="L69" s="156">
        <f t="shared" si="5"/>
        <v>554.18956200000002</v>
      </c>
      <c r="M69" s="155">
        <f t="shared" si="6"/>
        <v>419.77250000000004</v>
      </c>
      <c r="N69" s="153">
        <f t="shared" si="7"/>
        <v>413.07899999999995</v>
      </c>
      <c r="O69" s="155">
        <f t="shared" si="8"/>
        <v>401.1573928354407</v>
      </c>
      <c r="P69">
        <f t="shared" si="9"/>
        <v>417.79222637827809</v>
      </c>
      <c r="S69" s="155"/>
      <c r="Y69" s="153"/>
      <c r="Z69" s="155"/>
      <c r="AD69" s="155"/>
      <c r="AH69" s="155"/>
      <c r="AK69" s="153"/>
    </row>
    <row r="70" spans="3:47" x14ac:dyDescent="0.25">
      <c r="C70" s="157">
        <v>40026</v>
      </c>
      <c r="D70" s="155">
        <v>389.98099999999999</v>
      </c>
      <c r="E70">
        <v>396.76299999999998</v>
      </c>
      <c r="F70">
        <v>391.63</v>
      </c>
      <c r="G70">
        <v>395.03</v>
      </c>
      <c r="H70">
        <v>396.12799999999999</v>
      </c>
      <c r="J70">
        <v>7.984</v>
      </c>
      <c r="K70" s="153">
        <v>64.89</v>
      </c>
      <c r="L70" s="156">
        <f t="shared" si="5"/>
        <v>518.08176000000003</v>
      </c>
      <c r="M70" s="155">
        <f t="shared" si="6"/>
        <v>393.37199999999996</v>
      </c>
      <c r="N70" s="153">
        <f t="shared" si="7"/>
        <v>395.57899999999995</v>
      </c>
      <c r="O70" s="155">
        <f t="shared" si="8"/>
        <v>376.19566561081007</v>
      </c>
      <c r="P70">
        <f t="shared" si="9"/>
        <v>390.14199209476135</v>
      </c>
      <c r="S70" s="155"/>
      <c r="Y70" s="153"/>
      <c r="Z70" s="155"/>
      <c r="AD70" s="155"/>
      <c r="AH70" s="155"/>
      <c r="AK70" s="153"/>
      <c r="AQ70" s="163">
        <v>100</v>
      </c>
      <c r="AR70" s="162">
        <v>100</v>
      </c>
    </row>
    <row r="71" spans="3:47" x14ac:dyDescent="0.25">
      <c r="C71" s="157">
        <v>40057</v>
      </c>
      <c r="D71" s="155">
        <v>425.928</v>
      </c>
      <c r="E71">
        <v>432.76299999999998</v>
      </c>
      <c r="F71">
        <v>426.63</v>
      </c>
      <c r="G71">
        <v>431.03</v>
      </c>
      <c r="H71">
        <v>417.12799999999999</v>
      </c>
      <c r="J71">
        <v>7.9912999999999998</v>
      </c>
      <c r="K71" s="153">
        <v>72.66</v>
      </c>
      <c r="L71" s="156">
        <f t="shared" si="5"/>
        <v>580.64785799999993</v>
      </c>
      <c r="M71" s="155">
        <f t="shared" si="6"/>
        <v>429.34550000000002</v>
      </c>
      <c r="N71" s="153">
        <f t="shared" si="7"/>
        <v>424.07899999999995</v>
      </c>
      <c r="O71" s="155">
        <f t="shared" si="8"/>
        <v>419.44830867630344</v>
      </c>
      <c r="P71">
        <f t="shared" si="9"/>
        <v>438.05316840799873</v>
      </c>
      <c r="S71" s="155"/>
      <c r="Y71" s="153"/>
      <c r="Z71" s="155"/>
      <c r="AD71" s="155"/>
      <c r="AH71" s="155"/>
      <c r="AK71" s="153"/>
      <c r="AQ71" s="161">
        <f>0.4706</f>
        <v>0.47060000000000002</v>
      </c>
      <c r="AR71" s="160">
        <v>0.33400000000000002</v>
      </c>
    </row>
    <row r="72" spans="3:47" x14ac:dyDescent="0.25">
      <c r="C72" s="157">
        <v>40087</v>
      </c>
      <c r="D72" s="155">
        <v>379.48200000000003</v>
      </c>
      <c r="E72">
        <v>385.26299999999998</v>
      </c>
      <c r="F72">
        <v>386.63</v>
      </c>
      <c r="G72">
        <v>390.03</v>
      </c>
      <c r="H72">
        <v>382.12799999999999</v>
      </c>
      <c r="J72">
        <v>7.5763999999999996</v>
      </c>
      <c r="K72" s="153">
        <v>67.84</v>
      </c>
      <c r="L72" s="156">
        <f t="shared" si="5"/>
        <v>513.98297600000001</v>
      </c>
      <c r="M72" s="155">
        <f t="shared" si="6"/>
        <v>382.3725</v>
      </c>
      <c r="N72" s="153">
        <f t="shared" si="7"/>
        <v>386.07899999999995</v>
      </c>
      <c r="O72" s="155">
        <f t="shared" si="8"/>
        <v>373.36213040529742</v>
      </c>
      <c r="P72">
        <f t="shared" si="9"/>
        <v>387.0032704999789</v>
      </c>
      <c r="S72" s="155"/>
      <c r="Y72" s="153"/>
      <c r="Z72" s="155"/>
      <c r="AD72" s="155"/>
      <c r="AH72" s="155"/>
      <c r="AK72" s="153"/>
      <c r="AQ72" s="161">
        <v>77.042000000000002</v>
      </c>
      <c r="AR72" s="160">
        <v>50.293999999999997</v>
      </c>
    </row>
    <row r="73" spans="3:47" x14ac:dyDescent="0.25">
      <c r="C73" s="157">
        <v>40118</v>
      </c>
      <c r="D73" s="155">
        <v>379.48200000000003</v>
      </c>
      <c r="E73">
        <v>385.26299999999998</v>
      </c>
      <c r="F73">
        <v>396.63</v>
      </c>
      <c r="G73">
        <v>398.03</v>
      </c>
      <c r="H73">
        <v>396.12799999999999</v>
      </c>
      <c r="J73">
        <v>7.4988000000000001</v>
      </c>
      <c r="K73" s="153">
        <v>72.92</v>
      </c>
      <c r="L73" s="156">
        <f t="shared" si="5"/>
        <v>546.81249600000001</v>
      </c>
      <c r="M73" s="155">
        <f t="shared" si="6"/>
        <v>382.3725</v>
      </c>
      <c r="N73" s="153">
        <f t="shared" si="7"/>
        <v>397.07899999999995</v>
      </c>
      <c r="O73" s="155">
        <f t="shared" si="8"/>
        <v>396.05754463060958</v>
      </c>
      <c r="P73">
        <f t="shared" si="9"/>
        <v>412.14309815870473</v>
      </c>
      <c r="S73" s="155"/>
      <c r="Y73" s="153"/>
      <c r="Z73" s="155"/>
      <c r="AD73" s="155"/>
      <c r="AH73" s="155"/>
      <c r="AK73" s="153"/>
      <c r="AL73" t="str">
        <f>L25</f>
        <v>Crude in Rands</v>
      </c>
      <c r="AP73" t="s">
        <v>136</v>
      </c>
      <c r="AQ73" s="159">
        <f>AQ70*AQ$71+AQ$72</f>
        <v>124.102</v>
      </c>
      <c r="AR73" s="159">
        <f>AR70*AR$71+AR$72</f>
        <v>83.693999999999988</v>
      </c>
    </row>
    <row r="74" spans="3:47" x14ac:dyDescent="0.25">
      <c r="C74" s="157">
        <v>40148</v>
      </c>
      <c r="D74" s="155">
        <v>406.48200000000003</v>
      </c>
      <c r="E74">
        <v>412.26299999999998</v>
      </c>
      <c r="F74">
        <v>421.63</v>
      </c>
      <c r="G74">
        <v>424.03</v>
      </c>
      <c r="H74">
        <v>425.12799999999999</v>
      </c>
      <c r="J74">
        <v>7.5721999999999996</v>
      </c>
      <c r="K74" s="153">
        <v>76.599999999999994</v>
      </c>
      <c r="L74" s="156">
        <f t="shared" si="5"/>
        <v>580.03051999999991</v>
      </c>
      <c r="M74" s="155">
        <f t="shared" si="6"/>
        <v>409.3725</v>
      </c>
      <c r="N74" s="153">
        <f t="shared" si="7"/>
        <v>424.57899999999995</v>
      </c>
      <c r="O74" s="155">
        <f t="shared" si="8"/>
        <v>419.02153601477727</v>
      </c>
      <c r="P74">
        <f t="shared" si="9"/>
        <v>437.58043012467374</v>
      </c>
      <c r="S74" s="155"/>
      <c r="Y74" s="153"/>
      <c r="Z74" s="155"/>
      <c r="AD74" s="155"/>
      <c r="AH74" s="155"/>
      <c r="AK74" s="153"/>
      <c r="AL74" t="s">
        <v>135</v>
      </c>
      <c r="AQ74" t="s">
        <v>134</v>
      </c>
      <c r="AR74" t="s">
        <v>133</v>
      </c>
      <c r="AT74" t="s">
        <v>132</v>
      </c>
      <c r="AU74" t="s">
        <v>131</v>
      </c>
    </row>
    <row r="75" spans="3:47" x14ac:dyDescent="0.25">
      <c r="C75" s="157">
        <v>40179</v>
      </c>
      <c r="D75" s="155">
        <v>397.48200000000003</v>
      </c>
      <c r="E75">
        <v>406.26299999999998</v>
      </c>
      <c r="F75">
        <v>407.63</v>
      </c>
      <c r="G75">
        <v>410.03</v>
      </c>
      <c r="H75">
        <v>413.12799999999999</v>
      </c>
      <c r="J75">
        <v>7.5246000000000004</v>
      </c>
      <c r="K75" s="153">
        <v>74.31</v>
      </c>
      <c r="L75" s="156">
        <f t="shared" si="5"/>
        <v>559.15302600000007</v>
      </c>
      <c r="M75" s="155">
        <f t="shared" si="6"/>
        <v>401.8725</v>
      </c>
      <c r="N75" s="153">
        <f t="shared" si="7"/>
        <v>411.57899999999995</v>
      </c>
      <c r="O75" s="155">
        <f t="shared" si="8"/>
        <v>404.58869099247823</v>
      </c>
      <c r="P75">
        <f t="shared" si="9"/>
        <v>421.5930930845318</v>
      </c>
      <c r="S75" s="155">
        <v>767</v>
      </c>
      <c r="T75">
        <v>763</v>
      </c>
      <c r="U75">
        <v>786</v>
      </c>
      <c r="V75">
        <v>689.45</v>
      </c>
      <c r="W75">
        <v>676.15</v>
      </c>
      <c r="X75">
        <v>483.1</v>
      </c>
      <c r="Y75" s="153">
        <v>512.20000000000005</v>
      </c>
      <c r="Z75" s="154">
        <f t="shared" ref="Z75:Z110" si="10">AVERAGE(S75:U75)</f>
        <v>772</v>
      </c>
      <c r="AA75" s="94">
        <f t="shared" ref="AA75:AA110" si="11">AVERAGE(V75:W75)</f>
        <v>682.8</v>
      </c>
      <c r="AB75" s="94">
        <f t="shared" ref="AB75:AB110" si="12">AVERAGE(X75:Y75)</f>
        <v>497.65000000000003</v>
      </c>
      <c r="AC75" s="94"/>
      <c r="AD75" s="155">
        <f t="shared" ref="AD75:AD110" si="13">L75*$E$12+$F$12</f>
        <v>789.22523227507838</v>
      </c>
      <c r="AE75">
        <f t="shared" ref="AE75:AE110" si="14">L75*$I$12+$J$12</f>
        <v>710.35635681148051</v>
      </c>
      <c r="AF75">
        <f t="shared" ref="AF75:AF110" si="15">L75*$M$12+$N$12</f>
        <v>502.55261762128106</v>
      </c>
      <c r="AH75" s="154">
        <f t="shared" ref="AH75:AH110" si="16">M75*$E$17+$F$17</f>
        <v>785.35960832452008</v>
      </c>
      <c r="AI75" s="94">
        <f t="shared" ref="AI75:AI110" si="17">N75*$I$17+$J$17</f>
        <v>697.28841299445492</v>
      </c>
      <c r="AJ75" s="94">
        <f t="shared" ref="AJ75:AJ110" si="18">H75*$M$17+$N$17</f>
        <v>496.18505630617784</v>
      </c>
      <c r="AK75" s="153"/>
      <c r="AL75">
        <f t="shared" ref="AL75:AL110" si="19">L75/$AP$7</f>
        <v>90.9191912195122</v>
      </c>
      <c r="AQ75" s="148">
        <f t="shared" ref="AQ75:AQ110" si="20">(Z75-M75)/$AN$8 *10</f>
        <v>115.30451713395638</v>
      </c>
      <c r="AR75" s="148">
        <f t="shared" ref="AR75:AR110" si="21">(AA75-N75)/$AN$9*10</f>
        <v>75.7600558659218</v>
      </c>
      <c r="AT75">
        <f t="shared" ref="AT75:AT110" si="22">AQ75*$AN$8/1000</f>
        <v>3.7012749999999999</v>
      </c>
      <c r="AU75">
        <f t="shared" ref="AU75:AU110" si="23">AR75*$AN$9/1000</f>
        <v>2.7122100000000002</v>
      </c>
    </row>
    <row r="76" spans="3:47" x14ac:dyDescent="0.25">
      <c r="C76" s="157">
        <v>40210</v>
      </c>
      <c r="D76" s="155">
        <v>415.48200000000003</v>
      </c>
      <c r="E76">
        <v>424.26299999999998</v>
      </c>
      <c r="F76">
        <v>417.63</v>
      </c>
      <c r="G76">
        <v>420.03</v>
      </c>
      <c r="H76">
        <v>418.12799999999999</v>
      </c>
      <c r="J76">
        <v>7.4734999999999996</v>
      </c>
      <c r="K76" s="153">
        <v>76.84</v>
      </c>
      <c r="L76" s="156">
        <f t="shared" si="5"/>
        <v>574.26373999999998</v>
      </c>
      <c r="M76" s="155">
        <f t="shared" si="6"/>
        <v>419.8725</v>
      </c>
      <c r="N76" s="153">
        <f t="shared" si="7"/>
        <v>419.07899999999995</v>
      </c>
      <c r="O76" s="155">
        <f t="shared" si="8"/>
        <v>415.03489652549308</v>
      </c>
      <c r="P76">
        <f t="shared" si="9"/>
        <v>433.1644089539169</v>
      </c>
      <c r="S76" s="155">
        <v>785</v>
      </c>
      <c r="T76">
        <v>781</v>
      </c>
      <c r="U76">
        <v>804</v>
      </c>
      <c r="V76">
        <v>699.45</v>
      </c>
      <c r="W76">
        <v>686.15</v>
      </c>
      <c r="X76">
        <v>488.1</v>
      </c>
      <c r="Y76" s="153">
        <v>517.20000000000005</v>
      </c>
      <c r="Z76" s="154">
        <f t="shared" si="10"/>
        <v>790</v>
      </c>
      <c r="AA76" s="94">
        <f t="shared" si="11"/>
        <v>692.8</v>
      </c>
      <c r="AB76" s="94">
        <f t="shared" si="12"/>
        <v>502.65000000000003</v>
      </c>
      <c r="AC76" s="94"/>
      <c r="AD76" s="155">
        <f t="shared" si="13"/>
        <v>803.38272704595818</v>
      </c>
      <c r="AE76">
        <f t="shared" si="14"/>
        <v>724.86549267425937</v>
      </c>
      <c r="AF76">
        <f t="shared" si="15"/>
        <v>514.73147064117984</v>
      </c>
      <c r="AH76" s="154">
        <f t="shared" si="16"/>
        <v>809.77797005609966</v>
      </c>
      <c r="AI76" s="94">
        <f t="shared" si="17"/>
        <v>706.71592718939928</v>
      </c>
      <c r="AJ76" s="94">
        <f t="shared" si="18"/>
        <v>501.52979789622339</v>
      </c>
      <c r="AK76" s="153"/>
      <c r="AL76">
        <f t="shared" si="19"/>
        <v>93.37621788617885</v>
      </c>
      <c r="AQ76" s="148">
        <f t="shared" si="20"/>
        <v>115.30451713395638</v>
      </c>
      <c r="AR76" s="148">
        <f t="shared" si="21"/>
        <v>76.458379888268155</v>
      </c>
      <c r="AT76">
        <f t="shared" si="22"/>
        <v>3.7012749999999999</v>
      </c>
      <c r="AU76">
        <f t="shared" si="23"/>
        <v>2.7372099999999997</v>
      </c>
    </row>
    <row r="77" spans="3:47" x14ac:dyDescent="0.25">
      <c r="C77" s="157">
        <v>40238</v>
      </c>
      <c r="D77" s="155">
        <v>421.78199999999998</v>
      </c>
      <c r="E77">
        <v>430.56299999999999</v>
      </c>
      <c r="F77">
        <v>421.63</v>
      </c>
      <c r="G77">
        <v>424.03</v>
      </c>
      <c r="H77">
        <v>416.12799999999999</v>
      </c>
      <c r="J77">
        <v>7.6901999999999999</v>
      </c>
      <c r="K77" s="153">
        <v>73.17</v>
      </c>
      <c r="L77" s="156">
        <f t="shared" si="5"/>
        <v>562.69193400000006</v>
      </c>
      <c r="M77" s="155">
        <f t="shared" si="6"/>
        <v>426.17250000000001</v>
      </c>
      <c r="N77" s="153">
        <f t="shared" si="7"/>
        <v>420.07899999999995</v>
      </c>
      <c r="O77" s="155">
        <f t="shared" si="8"/>
        <v>407.03517765951665</v>
      </c>
      <c r="P77">
        <f t="shared" si="9"/>
        <v>424.30307901244322</v>
      </c>
      <c r="S77" s="155">
        <v>791</v>
      </c>
      <c r="T77">
        <v>787</v>
      </c>
      <c r="U77">
        <v>810</v>
      </c>
      <c r="V77">
        <v>703.45</v>
      </c>
      <c r="W77">
        <v>690.15</v>
      </c>
      <c r="X77">
        <v>486.1</v>
      </c>
      <c r="Y77" s="153">
        <v>515.20000000000005</v>
      </c>
      <c r="Z77" s="154">
        <f t="shared" si="10"/>
        <v>796</v>
      </c>
      <c r="AA77" s="94">
        <f t="shared" si="11"/>
        <v>696.8</v>
      </c>
      <c r="AB77" s="94">
        <f t="shared" si="12"/>
        <v>500.65000000000003</v>
      </c>
      <c r="AC77" s="94"/>
      <c r="AD77" s="155">
        <f t="shared" si="13"/>
        <v>792.54089767015</v>
      </c>
      <c r="AE77">
        <f t="shared" si="14"/>
        <v>713.75437605649267</v>
      </c>
      <c r="AF77">
        <f t="shared" si="15"/>
        <v>505.40488789672565</v>
      </c>
      <c r="AH77" s="154">
        <f t="shared" si="16"/>
        <v>818.32439666215248</v>
      </c>
      <c r="AI77" s="94">
        <f t="shared" si="17"/>
        <v>707.9729290820585</v>
      </c>
      <c r="AJ77" s="94">
        <f t="shared" si="18"/>
        <v>499.39190126020515</v>
      </c>
      <c r="AK77" s="153"/>
      <c r="AL77">
        <f t="shared" si="19"/>
        <v>91.494623414634148</v>
      </c>
      <c r="AQ77" s="148">
        <f t="shared" si="20"/>
        <v>115.21105919003114</v>
      </c>
      <c r="AR77" s="148">
        <f t="shared" si="21"/>
        <v>77.296368715083801</v>
      </c>
      <c r="AT77">
        <f t="shared" si="22"/>
        <v>3.6982749999999998</v>
      </c>
      <c r="AU77">
        <f t="shared" si="23"/>
        <v>2.7672099999999999</v>
      </c>
    </row>
    <row r="78" spans="3:47" x14ac:dyDescent="0.25">
      <c r="C78" s="157">
        <v>40269</v>
      </c>
      <c r="D78" s="155">
        <v>445.28199999999998</v>
      </c>
      <c r="E78">
        <v>453.06299999999999</v>
      </c>
      <c r="F78">
        <v>444.63</v>
      </c>
      <c r="G78">
        <v>447.03</v>
      </c>
      <c r="H78">
        <v>437.12799999999999</v>
      </c>
      <c r="J78">
        <v>7.4752999999999998</v>
      </c>
      <c r="K78" s="153">
        <v>78.89</v>
      </c>
      <c r="L78" s="156">
        <f t="shared" si="5"/>
        <v>589.72641699999997</v>
      </c>
      <c r="M78" s="155">
        <f t="shared" si="6"/>
        <v>449.17250000000001</v>
      </c>
      <c r="N78" s="153">
        <f t="shared" si="7"/>
        <v>442.07899999999995</v>
      </c>
      <c r="O78" s="155">
        <f t="shared" si="8"/>
        <v>425.72441801551815</v>
      </c>
      <c r="P78">
        <f t="shared" si="9"/>
        <v>445.00524716667616</v>
      </c>
      <c r="S78" s="155">
        <v>840</v>
      </c>
      <c r="T78">
        <v>835</v>
      </c>
      <c r="U78">
        <v>858</v>
      </c>
      <c r="V78">
        <v>751.95</v>
      </c>
      <c r="W78">
        <v>738.65</v>
      </c>
      <c r="X78">
        <v>507.1</v>
      </c>
      <c r="Y78" s="153">
        <v>536.20000000000005</v>
      </c>
      <c r="Z78" s="154">
        <f t="shared" si="10"/>
        <v>844.33333333333337</v>
      </c>
      <c r="AA78" s="94">
        <f t="shared" si="11"/>
        <v>745.3</v>
      </c>
      <c r="AB78" s="94">
        <f t="shared" si="12"/>
        <v>521.65000000000009</v>
      </c>
      <c r="AC78" s="94"/>
      <c r="AD78" s="155">
        <f t="shared" si="13"/>
        <v>817.86998216648431</v>
      </c>
      <c r="AE78">
        <f t="shared" si="14"/>
        <v>739.71257940988733</v>
      </c>
      <c r="AF78">
        <f t="shared" si="15"/>
        <v>527.19399693061723</v>
      </c>
      <c r="AH78" s="154">
        <f t="shared" si="16"/>
        <v>849.52563665250409</v>
      </c>
      <c r="AI78" s="94">
        <f t="shared" si="17"/>
        <v>735.62697072056187</v>
      </c>
      <c r="AJ78" s="94">
        <f t="shared" si="18"/>
        <v>521.83981593839644</v>
      </c>
      <c r="AK78" s="153"/>
      <c r="AL78">
        <f t="shared" si="19"/>
        <v>95.890474308943084</v>
      </c>
      <c r="AQ78" s="148">
        <f t="shared" si="20"/>
        <v>123.10306334371757</v>
      </c>
      <c r="AR78" s="148">
        <f t="shared" si="21"/>
        <v>84.698603351955327</v>
      </c>
      <c r="AT78">
        <f t="shared" si="22"/>
        <v>3.9516083333333341</v>
      </c>
      <c r="AU78">
        <f t="shared" si="23"/>
        <v>3.0322100000000005</v>
      </c>
    </row>
    <row r="79" spans="3:47" x14ac:dyDescent="0.25">
      <c r="C79" s="157">
        <v>40299</v>
      </c>
      <c r="D79" s="155">
        <v>457.28199999999998</v>
      </c>
      <c r="E79">
        <v>465.06299999999999</v>
      </c>
      <c r="F79">
        <v>472.63</v>
      </c>
      <c r="G79">
        <v>475.03</v>
      </c>
      <c r="H79">
        <v>467.12880000000001</v>
      </c>
      <c r="J79">
        <v>7.3749000000000002</v>
      </c>
      <c r="K79" s="153">
        <v>85.75</v>
      </c>
      <c r="L79" s="156">
        <f t="shared" si="5"/>
        <v>632.39767500000005</v>
      </c>
      <c r="M79" s="155">
        <f t="shared" si="6"/>
        <v>461.17250000000001</v>
      </c>
      <c r="N79" s="153">
        <f t="shared" si="7"/>
        <v>471.07939999999996</v>
      </c>
      <c r="O79" s="155">
        <f t="shared" si="8"/>
        <v>455.2235357554415</v>
      </c>
      <c r="P79">
        <f t="shared" si="9"/>
        <v>477.68157237950379</v>
      </c>
      <c r="S79" s="155">
        <v>854</v>
      </c>
      <c r="T79">
        <v>848</v>
      </c>
      <c r="U79">
        <v>872</v>
      </c>
      <c r="V79">
        <v>781.45</v>
      </c>
      <c r="W79">
        <v>767.65</v>
      </c>
      <c r="X79">
        <v>566.20000000000005</v>
      </c>
      <c r="Y79" s="153">
        <v>538.1</v>
      </c>
      <c r="Z79" s="154">
        <f t="shared" si="10"/>
        <v>858</v>
      </c>
      <c r="AA79" s="94">
        <f t="shared" si="11"/>
        <v>774.55</v>
      </c>
      <c r="AB79" s="94">
        <f t="shared" si="12"/>
        <v>552.15000000000009</v>
      </c>
      <c r="AC79" s="94"/>
      <c r="AD79" s="155">
        <f t="shared" si="13"/>
        <v>857.84943727375912</v>
      </c>
      <c r="AE79">
        <f t="shared" si="14"/>
        <v>780.68503642003895</v>
      </c>
      <c r="AF79">
        <f t="shared" si="15"/>
        <v>561.5859508353883</v>
      </c>
      <c r="AH79" s="154">
        <f t="shared" si="16"/>
        <v>865.80454447355714</v>
      </c>
      <c r="AI79" s="94">
        <f t="shared" si="17"/>
        <v>772.08052840843686</v>
      </c>
      <c r="AJ79" s="94">
        <f t="shared" si="18"/>
        <v>553.90912063732435</v>
      </c>
      <c r="AK79" s="153"/>
      <c r="AL79">
        <f t="shared" si="19"/>
        <v>102.82889024390244</v>
      </c>
      <c r="AQ79" s="148">
        <f t="shared" si="20"/>
        <v>123.62227414330218</v>
      </c>
      <c r="AR79" s="148">
        <f t="shared" si="21"/>
        <v>84.768324022346363</v>
      </c>
      <c r="AT79">
        <f t="shared" si="22"/>
        <v>3.9682750000000002</v>
      </c>
      <c r="AU79">
        <f t="shared" si="23"/>
        <v>3.0347059999999995</v>
      </c>
    </row>
    <row r="80" spans="3:47" x14ac:dyDescent="0.25">
      <c r="C80" s="157">
        <v>40330</v>
      </c>
      <c r="D80" s="155">
        <v>430.28199999999998</v>
      </c>
      <c r="E80">
        <v>438.06299999999999</v>
      </c>
      <c r="F80">
        <v>457.63</v>
      </c>
      <c r="G80">
        <v>460.03</v>
      </c>
      <c r="H80">
        <v>454.12799999999999</v>
      </c>
      <c r="J80">
        <v>7.6574999999999998</v>
      </c>
      <c r="K80" s="153">
        <v>76.3</v>
      </c>
      <c r="L80" s="156">
        <f t="shared" si="5"/>
        <v>584.26724999999999</v>
      </c>
      <c r="M80" s="155">
        <f t="shared" si="6"/>
        <v>434.17250000000001</v>
      </c>
      <c r="N80" s="153">
        <f t="shared" si="7"/>
        <v>457.07899999999995</v>
      </c>
      <c r="O80" s="155">
        <f t="shared" si="8"/>
        <v>421.95043483239044</v>
      </c>
      <c r="P80">
        <f t="shared" si="9"/>
        <v>440.82478648555127</v>
      </c>
      <c r="S80" s="155">
        <v>827</v>
      </c>
      <c r="T80">
        <v>821</v>
      </c>
      <c r="U80">
        <v>845</v>
      </c>
      <c r="V80">
        <v>766.45</v>
      </c>
      <c r="W80">
        <v>752.65</v>
      </c>
      <c r="X80">
        <v>553.20000000000005</v>
      </c>
      <c r="Y80" s="153">
        <v>525.1</v>
      </c>
      <c r="Z80" s="154">
        <f t="shared" si="10"/>
        <v>831</v>
      </c>
      <c r="AA80" s="94">
        <f t="shared" si="11"/>
        <v>759.55</v>
      </c>
      <c r="AB80" s="94">
        <f t="shared" si="12"/>
        <v>539.15000000000009</v>
      </c>
      <c r="AC80" s="94"/>
      <c r="AD80" s="155">
        <f t="shared" si="13"/>
        <v>812.75519220646925</v>
      </c>
      <c r="AE80">
        <f t="shared" si="14"/>
        <v>734.47074929513576</v>
      </c>
      <c r="AF80">
        <f t="shared" si="15"/>
        <v>522.79404650444394</v>
      </c>
      <c r="AH80" s="154">
        <f t="shared" si="16"/>
        <v>829.17700187618777</v>
      </c>
      <c r="AI80" s="94">
        <f t="shared" si="17"/>
        <v>754.48199911045037</v>
      </c>
      <c r="AJ80" s="94">
        <f t="shared" si="18"/>
        <v>540.01193734455137</v>
      </c>
      <c r="AK80" s="153"/>
      <c r="AL80">
        <f t="shared" si="19"/>
        <v>95.002804878048778</v>
      </c>
      <c r="AQ80" s="148">
        <f t="shared" si="20"/>
        <v>123.62227414330218</v>
      </c>
      <c r="AR80" s="148">
        <f t="shared" si="21"/>
        <v>84.489106145251398</v>
      </c>
      <c r="AT80">
        <f t="shared" si="22"/>
        <v>3.9682750000000002</v>
      </c>
      <c r="AU80">
        <f t="shared" si="23"/>
        <v>3.0247100000000002</v>
      </c>
    </row>
    <row r="81" spans="3:47" x14ac:dyDescent="0.25">
      <c r="C81" s="157">
        <v>40360</v>
      </c>
      <c r="D81" s="155">
        <v>415.28199999999998</v>
      </c>
      <c r="E81">
        <v>420.06299999999999</v>
      </c>
      <c r="F81">
        <v>442.63</v>
      </c>
      <c r="G81">
        <v>444.03</v>
      </c>
      <c r="H81">
        <v>442.12799999999999</v>
      </c>
      <c r="J81">
        <v>7.6707999999999998</v>
      </c>
      <c r="K81" s="153">
        <v>74.61</v>
      </c>
      <c r="L81" s="156">
        <f t="shared" si="5"/>
        <v>572.31838800000003</v>
      </c>
      <c r="M81" s="155">
        <f t="shared" si="6"/>
        <v>417.67250000000001</v>
      </c>
      <c r="N81" s="153">
        <f t="shared" si="7"/>
        <v>443.07899999999995</v>
      </c>
      <c r="O81" s="155">
        <f t="shared" si="8"/>
        <v>413.69005293795243</v>
      </c>
      <c r="P81">
        <f t="shared" si="9"/>
        <v>431.67471875998297</v>
      </c>
      <c r="S81" s="155">
        <v>812</v>
      </c>
      <c r="T81">
        <v>803</v>
      </c>
      <c r="U81">
        <v>827</v>
      </c>
      <c r="V81">
        <v>751.45</v>
      </c>
      <c r="W81">
        <v>737.65</v>
      </c>
      <c r="X81">
        <v>513.1</v>
      </c>
      <c r="Y81" s="153">
        <v>541.20000000000005</v>
      </c>
      <c r="Z81" s="154">
        <f t="shared" si="10"/>
        <v>814</v>
      </c>
      <c r="AA81" s="94">
        <f t="shared" si="11"/>
        <v>744.55</v>
      </c>
      <c r="AB81" s="94">
        <f t="shared" si="12"/>
        <v>527.15000000000009</v>
      </c>
      <c r="AC81" s="94"/>
      <c r="AD81" s="155">
        <f t="shared" si="13"/>
        <v>801.56009240622382</v>
      </c>
      <c r="AE81">
        <f t="shared" si="14"/>
        <v>722.99758779107992</v>
      </c>
      <c r="AF81">
        <f t="shared" si="15"/>
        <v>513.1635661675748</v>
      </c>
      <c r="AH81" s="154">
        <f t="shared" si="16"/>
        <v>806.79350362223988</v>
      </c>
      <c r="AI81" s="94">
        <f t="shared" si="17"/>
        <v>736.88397261322109</v>
      </c>
      <c r="AJ81" s="94">
        <f t="shared" si="18"/>
        <v>527.18455752844216</v>
      </c>
      <c r="AK81" s="153"/>
      <c r="AL81">
        <f t="shared" si="19"/>
        <v>93.059900487804882</v>
      </c>
      <c r="AQ81" s="148">
        <f t="shared" si="20"/>
        <v>123.46651090342678</v>
      </c>
      <c r="AR81" s="148">
        <f t="shared" si="21"/>
        <v>84.209776536312845</v>
      </c>
      <c r="AT81">
        <f t="shared" si="22"/>
        <v>3.9632749999999994</v>
      </c>
      <c r="AU81">
        <f t="shared" si="23"/>
        <v>3.0147099999999996</v>
      </c>
    </row>
    <row r="82" spans="3:47" x14ac:dyDescent="0.25">
      <c r="C82" s="157">
        <v>40391</v>
      </c>
      <c r="D82" s="155">
        <v>405.28199999999998</v>
      </c>
      <c r="E82">
        <v>410.06299999999999</v>
      </c>
      <c r="F82">
        <v>429.63</v>
      </c>
      <c r="G82">
        <v>431.03</v>
      </c>
      <c r="H82">
        <v>427.18200000000002</v>
      </c>
      <c r="J82">
        <v>7.5757000000000003</v>
      </c>
      <c r="K82" s="153">
        <v>78.680000000000007</v>
      </c>
      <c r="L82" s="156">
        <f t="shared" si="5"/>
        <v>596.05607600000008</v>
      </c>
      <c r="M82" s="155">
        <f t="shared" si="6"/>
        <v>407.67250000000001</v>
      </c>
      <c r="N82" s="153">
        <f t="shared" si="7"/>
        <v>429.10599999999999</v>
      </c>
      <c r="O82" s="155">
        <f t="shared" si="8"/>
        <v>430.10018205075164</v>
      </c>
      <c r="P82">
        <f t="shared" si="9"/>
        <v>449.85230360851585</v>
      </c>
      <c r="S82" s="155">
        <v>802</v>
      </c>
      <c r="T82">
        <v>793</v>
      </c>
      <c r="U82">
        <v>817</v>
      </c>
      <c r="V82">
        <v>738.45</v>
      </c>
      <c r="W82">
        <v>724.65</v>
      </c>
      <c r="X82">
        <v>498.1</v>
      </c>
      <c r="Y82" s="153">
        <v>526.20000000000005</v>
      </c>
      <c r="Z82" s="154">
        <f t="shared" si="10"/>
        <v>804</v>
      </c>
      <c r="AA82" s="94">
        <f t="shared" si="11"/>
        <v>731.55</v>
      </c>
      <c r="AB82" s="94">
        <f t="shared" si="12"/>
        <v>512.15000000000009</v>
      </c>
      <c r="AC82" s="94"/>
      <c r="AD82" s="155">
        <f t="shared" si="13"/>
        <v>823.80035145240652</v>
      </c>
      <c r="AE82">
        <f t="shared" si="14"/>
        <v>745.79024605066047</v>
      </c>
      <c r="AF82">
        <f t="shared" si="15"/>
        <v>532.29554187595068</v>
      </c>
      <c r="AH82" s="154">
        <f t="shared" si="16"/>
        <v>793.22774710469571</v>
      </c>
      <c r="AI82" s="94">
        <f t="shared" si="17"/>
        <v>719.3198851670935</v>
      </c>
      <c r="AJ82" s="94">
        <f t="shared" si="18"/>
        <v>511.20805596747795</v>
      </c>
      <c r="AK82" s="153"/>
      <c r="AL82">
        <f t="shared" si="19"/>
        <v>96.919687154471546</v>
      </c>
      <c r="AQ82" s="148">
        <f t="shared" si="20"/>
        <v>123.46651090342678</v>
      </c>
      <c r="AR82" s="148">
        <f t="shared" si="21"/>
        <v>84.481564245810063</v>
      </c>
      <c r="AT82">
        <f t="shared" si="22"/>
        <v>3.9632749999999994</v>
      </c>
      <c r="AU82">
        <f t="shared" si="23"/>
        <v>3.0244400000000002</v>
      </c>
    </row>
    <row r="83" spans="3:47" x14ac:dyDescent="0.25">
      <c r="C83" s="157">
        <v>40422</v>
      </c>
      <c r="D83" s="155">
        <v>395.28199999999998</v>
      </c>
      <c r="E83">
        <v>400.06299999999999</v>
      </c>
      <c r="F83">
        <v>429.63</v>
      </c>
      <c r="G83">
        <v>433.03</v>
      </c>
      <c r="H83">
        <v>422.12799999999999</v>
      </c>
      <c r="J83">
        <v>7.3178000000000001</v>
      </c>
      <c r="K83" s="153">
        <v>77.39</v>
      </c>
      <c r="L83" s="156">
        <f t="shared" si="5"/>
        <v>566.32454200000006</v>
      </c>
      <c r="M83" s="155">
        <f t="shared" si="6"/>
        <v>397.67250000000001</v>
      </c>
      <c r="N83" s="153">
        <f t="shared" si="7"/>
        <v>427.57899999999995</v>
      </c>
      <c r="O83" s="155">
        <f t="shared" si="8"/>
        <v>409.54644018416468</v>
      </c>
      <c r="P83">
        <f t="shared" si="9"/>
        <v>427.0848174926802</v>
      </c>
      <c r="S83" s="155">
        <v>792</v>
      </c>
      <c r="T83">
        <v>783</v>
      </c>
      <c r="U83">
        <v>807</v>
      </c>
      <c r="V83">
        <v>738.45</v>
      </c>
      <c r="W83">
        <v>724.65</v>
      </c>
      <c r="X83">
        <v>493.1</v>
      </c>
      <c r="Y83" s="153">
        <v>521.20000000000005</v>
      </c>
      <c r="Z83" s="154">
        <f t="shared" si="10"/>
        <v>794</v>
      </c>
      <c r="AA83" s="94">
        <f t="shared" si="11"/>
        <v>731.55</v>
      </c>
      <c r="AB83" s="94">
        <f t="shared" si="12"/>
        <v>507.15000000000003</v>
      </c>
      <c r="AC83" s="94"/>
      <c r="AD83" s="155">
        <f t="shared" si="13"/>
        <v>795.9443522497719</v>
      </c>
      <c r="AE83">
        <f t="shared" si="14"/>
        <v>717.24236497668653</v>
      </c>
      <c r="AF83">
        <f t="shared" si="15"/>
        <v>508.33267800054921</v>
      </c>
      <c r="AH83" s="154">
        <f t="shared" si="16"/>
        <v>779.66199058715154</v>
      </c>
      <c r="AI83" s="94">
        <f t="shared" si="17"/>
        <v>717.40044327700286</v>
      </c>
      <c r="AJ83" s="94">
        <f t="shared" si="18"/>
        <v>505.80559116825981</v>
      </c>
      <c r="AK83" s="153"/>
      <c r="AL83">
        <f t="shared" si="19"/>
        <v>92.085291382113823</v>
      </c>
      <c r="AQ83" s="148">
        <f t="shared" si="20"/>
        <v>123.46651090342678</v>
      </c>
      <c r="AR83" s="148">
        <f t="shared" si="21"/>
        <v>84.908100558659228</v>
      </c>
      <c r="AT83">
        <f t="shared" si="22"/>
        <v>3.9632749999999994</v>
      </c>
      <c r="AU83">
        <f t="shared" si="23"/>
        <v>3.0397099999999999</v>
      </c>
    </row>
    <row r="84" spans="3:47" x14ac:dyDescent="0.25">
      <c r="C84" s="157">
        <v>40452</v>
      </c>
      <c r="D84" s="155">
        <v>390.78199999999998</v>
      </c>
      <c r="E84">
        <v>396.56299999999999</v>
      </c>
      <c r="F84">
        <v>426.63</v>
      </c>
      <c r="G84">
        <v>430.03</v>
      </c>
      <c r="H84">
        <v>421.12799999999999</v>
      </c>
      <c r="J84">
        <v>7.1859000000000002</v>
      </c>
      <c r="K84" s="153">
        <v>77.37</v>
      </c>
      <c r="L84" s="156">
        <f t="shared" si="5"/>
        <v>555.97308300000009</v>
      </c>
      <c r="M84" s="155">
        <f t="shared" si="6"/>
        <v>393.67250000000001</v>
      </c>
      <c r="N84" s="153">
        <f t="shared" si="7"/>
        <v>425.57899999999995</v>
      </c>
      <c r="O84" s="155">
        <f t="shared" si="8"/>
        <v>402.3903608433356</v>
      </c>
      <c r="P84">
        <f t="shared" si="9"/>
        <v>419.15799141431029</v>
      </c>
      <c r="S84" s="155">
        <v>796</v>
      </c>
      <c r="T84">
        <v>788</v>
      </c>
      <c r="U84">
        <v>812</v>
      </c>
      <c r="V84">
        <v>735.45</v>
      </c>
      <c r="W84">
        <v>721.65</v>
      </c>
      <c r="X84">
        <v>492.1</v>
      </c>
      <c r="Y84" s="153">
        <v>520.20000000000005</v>
      </c>
      <c r="Z84" s="154">
        <f t="shared" si="10"/>
        <v>798.66666666666663</v>
      </c>
      <c r="AA84" s="94">
        <f t="shared" si="11"/>
        <v>728.55</v>
      </c>
      <c r="AB84" s="94">
        <f t="shared" si="12"/>
        <v>506.15000000000003</v>
      </c>
      <c r="AC84" s="94"/>
      <c r="AD84" s="155">
        <f t="shared" si="13"/>
        <v>786.24588752709383</v>
      </c>
      <c r="AE84">
        <f t="shared" si="14"/>
        <v>707.30301168014569</v>
      </c>
      <c r="AF84">
        <f t="shared" si="15"/>
        <v>499.98966405014897</v>
      </c>
      <c r="AH84" s="154">
        <f t="shared" si="16"/>
        <v>774.23568798013378</v>
      </c>
      <c r="AI84" s="94">
        <f t="shared" si="17"/>
        <v>714.88643949168431</v>
      </c>
      <c r="AJ84" s="94">
        <f t="shared" si="18"/>
        <v>504.73664285025075</v>
      </c>
      <c r="AK84" s="153"/>
      <c r="AL84">
        <f t="shared" si="19"/>
        <v>90.40212731707318</v>
      </c>
      <c r="AQ84" s="148">
        <f t="shared" si="20"/>
        <v>126.16640706126685</v>
      </c>
      <c r="AR84" s="148">
        <f t="shared" si="21"/>
        <v>84.628770949720689</v>
      </c>
      <c r="AT84">
        <f t="shared" si="22"/>
        <v>4.0499416666666663</v>
      </c>
      <c r="AU84">
        <f t="shared" si="23"/>
        <v>3.0297100000000006</v>
      </c>
    </row>
    <row r="85" spans="3:47" x14ac:dyDescent="0.25">
      <c r="C85" s="157">
        <v>40483</v>
      </c>
      <c r="D85" s="155">
        <v>410.78199999999998</v>
      </c>
      <c r="E85">
        <v>416.56299999999999</v>
      </c>
      <c r="F85">
        <v>437.63</v>
      </c>
      <c r="G85">
        <v>442.03</v>
      </c>
      <c r="H85">
        <v>435.12799999999999</v>
      </c>
      <c r="J85">
        <v>6.9374000000000002</v>
      </c>
      <c r="K85" s="153">
        <v>82.73</v>
      </c>
      <c r="L85" s="156">
        <f t="shared" si="5"/>
        <v>573.93110200000001</v>
      </c>
      <c r="M85" s="155">
        <f t="shared" si="6"/>
        <v>413.67250000000001</v>
      </c>
      <c r="N85" s="153">
        <f t="shared" si="7"/>
        <v>438.57899999999995</v>
      </c>
      <c r="O85" s="155">
        <f t="shared" si="8"/>
        <v>414.80494015704545</v>
      </c>
      <c r="P85">
        <f t="shared" si="9"/>
        <v>432.90968509585429</v>
      </c>
      <c r="S85" s="155">
        <v>816</v>
      </c>
      <c r="T85">
        <v>808</v>
      </c>
      <c r="U85">
        <v>832</v>
      </c>
      <c r="V85">
        <v>746.45</v>
      </c>
      <c r="W85">
        <v>732.65</v>
      </c>
      <c r="X85">
        <v>506.1</v>
      </c>
      <c r="Y85" s="153">
        <v>534.20000000000005</v>
      </c>
      <c r="Z85" s="154">
        <f t="shared" si="10"/>
        <v>818.66666666666663</v>
      </c>
      <c r="AA85" s="94">
        <f t="shared" si="11"/>
        <v>739.55</v>
      </c>
      <c r="AB85" s="94">
        <f t="shared" si="12"/>
        <v>520.15000000000009</v>
      </c>
      <c r="AC85" s="94"/>
      <c r="AD85" s="155">
        <f t="shared" si="13"/>
        <v>803.07107263005207</v>
      </c>
      <c r="AE85">
        <f t="shared" si="14"/>
        <v>724.54609744679874</v>
      </c>
      <c r="AF85">
        <f t="shared" si="15"/>
        <v>514.46337283251023</v>
      </c>
      <c r="AH85" s="154">
        <f t="shared" si="16"/>
        <v>801.36720101522224</v>
      </c>
      <c r="AI85" s="94">
        <f t="shared" si="17"/>
        <v>731.22746409625449</v>
      </c>
      <c r="AJ85" s="94">
        <f t="shared" si="18"/>
        <v>519.70191930237831</v>
      </c>
      <c r="AK85" s="153"/>
      <c r="AL85">
        <f t="shared" si="19"/>
        <v>93.322130406504058</v>
      </c>
      <c r="AQ85" s="148">
        <f t="shared" si="20"/>
        <v>126.16640706126685</v>
      </c>
      <c r="AR85" s="148">
        <f t="shared" si="21"/>
        <v>84.070111731843582</v>
      </c>
      <c r="AT85">
        <f t="shared" si="22"/>
        <v>4.0499416666666663</v>
      </c>
      <c r="AU85">
        <f t="shared" si="23"/>
        <v>3.0097100000000001</v>
      </c>
    </row>
    <row r="86" spans="3:47" x14ac:dyDescent="0.25">
      <c r="C86" s="157">
        <v>40513</v>
      </c>
      <c r="D86" s="155">
        <v>423.78199999999998</v>
      </c>
      <c r="E86">
        <v>429.56299999999999</v>
      </c>
      <c r="F86">
        <v>451.63</v>
      </c>
      <c r="G86">
        <v>457.03</v>
      </c>
      <c r="H86">
        <v>449.12799999999999</v>
      </c>
      <c r="J86">
        <v>6.9767000000000001</v>
      </c>
      <c r="K86" s="153">
        <v>85.15</v>
      </c>
      <c r="L86" s="156">
        <f t="shared" si="5"/>
        <v>594.06600500000002</v>
      </c>
      <c r="M86" s="155">
        <f t="shared" si="6"/>
        <v>426.67250000000001</v>
      </c>
      <c r="N86" s="153">
        <f t="shared" si="7"/>
        <v>453.07899999999995</v>
      </c>
      <c r="O86" s="155">
        <f t="shared" si="8"/>
        <v>428.72442371853163</v>
      </c>
      <c r="P86">
        <f t="shared" si="9"/>
        <v>448.32836899209047</v>
      </c>
      <c r="S86" s="155">
        <v>829</v>
      </c>
      <c r="T86">
        <v>821</v>
      </c>
      <c r="U86">
        <v>845</v>
      </c>
      <c r="V86">
        <v>760.45</v>
      </c>
      <c r="W86">
        <v>746.65</v>
      </c>
      <c r="X86">
        <v>520.1</v>
      </c>
      <c r="Y86" s="153">
        <v>548.20000000000005</v>
      </c>
      <c r="Z86" s="154">
        <f t="shared" si="10"/>
        <v>831.66666666666663</v>
      </c>
      <c r="AA86" s="94">
        <f t="shared" si="11"/>
        <v>753.55</v>
      </c>
      <c r="AB86" s="94">
        <f t="shared" si="12"/>
        <v>534.15000000000009</v>
      </c>
      <c r="AC86" s="94"/>
      <c r="AD86" s="155">
        <f t="shared" si="13"/>
        <v>821.93581879192595</v>
      </c>
      <c r="AE86">
        <f t="shared" si="14"/>
        <v>743.87940249187318</v>
      </c>
      <c r="AF86">
        <f t="shared" si="15"/>
        <v>530.69159502021876</v>
      </c>
      <c r="AH86" s="154">
        <f t="shared" si="16"/>
        <v>819.00268448802967</v>
      </c>
      <c r="AI86" s="94">
        <f t="shared" si="17"/>
        <v>749.4539915398135</v>
      </c>
      <c r="AJ86" s="94">
        <f t="shared" si="18"/>
        <v>534.66719575450588</v>
      </c>
      <c r="AK86" s="153"/>
      <c r="AL86">
        <f t="shared" si="19"/>
        <v>96.596098373983736</v>
      </c>
      <c r="AQ86" s="148">
        <f t="shared" si="20"/>
        <v>126.16640706126685</v>
      </c>
      <c r="AR86" s="148">
        <f t="shared" si="21"/>
        <v>83.930446927374319</v>
      </c>
      <c r="AT86">
        <f t="shared" si="22"/>
        <v>4.0499416666666663</v>
      </c>
      <c r="AU86">
        <f t="shared" si="23"/>
        <v>3.0047100000000007</v>
      </c>
    </row>
    <row r="87" spans="3:47" x14ac:dyDescent="0.25">
      <c r="C87" s="157">
        <v>40544</v>
      </c>
      <c r="D87" s="155">
        <v>449.18099999999998</v>
      </c>
      <c r="E87">
        <v>453.94900000000001</v>
      </c>
      <c r="F87">
        <v>471.63</v>
      </c>
      <c r="G87">
        <v>477.03</v>
      </c>
      <c r="H87">
        <v>467.12799999999999</v>
      </c>
      <c r="J87">
        <v>6.9009999999999998</v>
      </c>
      <c r="K87" s="153">
        <v>90.77</v>
      </c>
      <c r="L87" s="156">
        <f t="shared" si="5"/>
        <v>626.40377000000001</v>
      </c>
      <c r="M87" s="155">
        <f t="shared" si="6"/>
        <v>451.565</v>
      </c>
      <c r="N87" s="153">
        <f t="shared" si="7"/>
        <v>472.07899999999995</v>
      </c>
      <c r="O87" s="155">
        <f t="shared" si="8"/>
        <v>451.07988221429406</v>
      </c>
      <c r="P87">
        <f t="shared" si="9"/>
        <v>473.0916259318318</v>
      </c>
      <c r="S87" s="155">
        <v>858</v>
      </c>
      <c r="T87">
        <v>849</v>
      </c>
      <c r="U87">
        <v>858</v>
      </c>
      <c r="V87">
        <v>784.05100000000004</v>
      </c>
      <c r="W87">
        <v>770.25099999999998</v>
      </c>
      <c r="X87">
        <v>541.71299999999997</v>
      </c>
      <c r="Y87" s="153">
        <v>569.81299999999999</v>
      </c>
      <c r="Z87" s="154">
        <f t="shared" si="10"/>
        <v>855</v>
      </c>
      <c r="AA87" s="94">
        <f t="shared" si="11"/>
        <v>777.15100000000007</v>
      </c>
      <c r="AB87" s="94">
        <f t="shared" si="12"/>
        <v>555.76299999999992</v>
      </c>
      <c r="AC87" s="94"/>
      <c r="AD87" s="155">
        <f t="shared" si="13"/>
        <v>852.23364183916544</v>
      </c>
      <c r="AE87">
        <f t="shared" si="14"/>
        <v>774.92975695451594</v>
      </c>
      <c r="AF87">
        <f t="shared" si="15"/>
        <v>556.75501511585605</v>
      </c>
      <c r="AH87" s="154">
        <f t="shared" si="16"/>
        <v>852.77124389932658</v>
      </c>
      <c r="AI87" s="94">
        <f t="shared" si="17"/>
        <v>773.33702750033899</v>
      </c>
      <c r="AJ87" s="94">
        <f t="shared" si="18"/>
        <v>553.90826547866993</v>
      </c>
      <c r="AK87" s="153"/>
      <c r="AL87">
        <f t="shared" si="19"/>
        <v>101.85427154471544</v>
      </c>
      <c r="AQ87" s="148">
        <f t="shared" si="20"/>
        <v>125.68068535825545</v>
      </c>
      <c r="AR87" s="148">
        <f t="shared" si="21"/>
        <v>85.215642458100604</v>
      </c>
      <c r="AT87">
        <f t="shared" si="22"/>
        <v>4.0343499999999999</v>
      </c>
      <c r="AU87">
        <f t="shared" si="23"/>
        <v>3.050720000000001</v>
      </c>
    </row>
    <row r="88" spans="3:47" x14ac:dyDescent="0.25">
      <c r="C88" s="157">
        <v>40575</v>
      </c>
      <c r="D88" s="155">
        <v>475.18099999999998</v>
      </c>
      <c r="E88">
        <v>479.94900000000001</v>
      </c>
      <c r="F88">
        <v>501.63</v>
      </c>
      <c r="G88">
        <v>509.03</v>
      </c>
      <c r="H88">
        <v>499.12799999999999</v>
      </c>
      <c r="J88">
        <v>6.8982999999999999</v>
      </c>
      <c r="K88" s="153">
        <v>95.97</v>
      </c>
      <c r="L88" s="156">
        <f t="shared" si="5"/>
        <v>662.02985100000001</v>
      </c>
      <c r="M88" s="155">
        <f t="shared" si="6"/>
        <v>477.565</v>
      </c>
      <c r="N88" s="153">
        <f t="shared" si="7"/>
        <v>504.07899999999995</v>
      </c>
      <c r="O88" s="155">
        <f t="shared" si="8"/>
        <v>475.70859032575976</v>
      </c>
      <c r="P88">
        <f t="shared" si="9"/>
        <v>500.37297322219149</v>
      </c>
      <c r="S88" s="155">
        <v>884</v>
      </c>
      <c r="T88">
        <v>875</v>
      </c>
      <c r="U88">
        <v>899</v>
      </c>
      <c r="V88">
        <v>814.05100000000004</v>
      </c>
      <c r="W88">
        <v>800.25099999999998</v>
      </c>
      <c r="X88">
        <v>573.71299999999997</v>
      </c>
      <c r="Y88" s="153">
        <v>601.81299999999999</v>
      </c>
      <c r="Z88" s="154">
        <f t="shared" si="10"/>
        <v>886</v>
      </c>
      <c r="AA88" s="94">
        <f t="shared" si="11"/>
        <v>807.15100000000007</v>
      </c>
      <c r="AB88" s="94">
        <f t="shared" si="12"/>
        <v>587.76299999999992</v>
      </c>
      <c r="AC88" s="94"/>
      <c r="AD88" s="155">
        <f t="shared" si="13"/>
        <v>885.6123462117348</v>
      </c>
      <c r="AE88">
        <f t="shared" si="14"/>
        <v>809.13751507152938</v>
      </c>
      <c r="AF88">
        <f t="shared" si="15"/>
        <v>585.4687346776193</v>
      </c>
      <c r="AH88" s="154">
        <f t="shared" si="16"/>
        <v>888.04221084494145</v>
      </c>
      <c r="AI88" s="94">
        <f t="shared" si="17"/>
        <v>813.56108806543477</v>
      </c>
      <c r="AJ88" s="94">
        <f t="shared" si="18"/>
        <v>588.11461165496155</v>
      </c>
      <c r="AK88" s="153"/>
      <c r="AL88">
        <f t="shared" si="19"/>
        <v>107.64713024390244</v>
      </c>
      <c r="AQ88" s="148">
        <f t="shared" si="20"/>
        <v>127.23831775700933</v>
      </c>
      <c r="AR88" s="148">
        <f t="shared" si="21"/>
        <v>84.656983240223497</v>
      </c>
      <c r="AT88">
        <f t="shared" si="22"/>
        <v>4.0843499999999997</v>
      </c>
      <c r="AU88">
        <f t="shared" si="23"/>
        <v>3.0307200000000005</v>
      </c>
    </row>
    <row r="89" spans="3:47" x14ac:dyDescent="0.25">
      <c r="C89" s="157">
        <v>40603</v>
      </c>
      <c r="D89" s="155">
        <v>518.18100000000004</v>
      </c>
      <c r="E89">
        <v>522.94899999999996</v>
      </c>
      <c r="F89">
        <v>565.63</v>
      </c>
      <c r="G89">
        <v>572.03</v>
      </c>
      <c r="H89">
        <v>569.12800000000004</v>
      </c>
      <c r="J89">
        <v>7.2333999999999996</v>
      </c>
      <c r="K89" s="153">
        <v>102.37</v>
      </c>
      <c r="L89" s="156">
        <f t="shared" si="5"/>
        <v>740.483158</v>
      </c>
      <c r="M89" s="155">
        <f t="shared" si="6"/>
        <v>520.56500000000005</v>
      </c>
      <c r="N89" s="153">
        <f t="shared" si="7"/>
        <v>570.57899999999995</v>
      </c>
      <c r="O89" s="155">
        <f t="shared" si="8"/>
        <v>529.94423859934352</v>
      </c>
      <c r="P89">
        <f t="shared" si="9"/>
        <v>560.45008117981968</v>
      </c>
      <c r="S89" s="155">
        <v>927</v>
      </c>
      <c r="T89">
        <v>918</v>
      </c>
      <c r="U89">
        <v>942</v>
      </c>
      <c r="V89">
        <v>878.05100000000004</v>
      </c>
      <c r="W89">
        <v>864.25099999999998</v>
      </c>
      <c r="X89">
        <v>643.71299999999997</v>
      </c>
      <c r="Y89" s="153">
        <v>671.81299999999999</v>
      </c>
      <c r="Z89" s="154">
        <f t="shared" si="10"/>
        <v>929</v>
      </c>
      <c r="AA89" s="94">
        <f t="shared" si="11"/>
        <v>871.15100000000007</v>
      </c>
      <c r="AB89" s="94">
        <f t="shared" si="12"/>
        <v>657.76299999999992</v>
      </c>
      <c r="AC89" s="94"/>
      <c r="AD89" s="155">
        <f t="shared" si="13"/>
        <v>959.11663486485452</v>
      </c>
      <c r="AE89">
        <f t="shared" si="14"/>
        <v>884.46748889985474</v>
      </c>
      <c r="AF89">
        <f t="shared" si="15"/>
        <v>648.70011440448036</v>
      </c>
      <c r="AH89" s="154">
        <f t="shared" si="16"/>
        <v>946.37496387038163</v>
      </c>
      <c r="AI89" s="94">
        <f t="shared" si="17"/>
        <v>897.15171392727427</v>
      </c>
      <c r="AJ89" s="94">
        <f t="shared" si="18"/>
        <v>662.94099391559951</v>
      </c>
      <c r="AK89" s="153"/>
      <c r="AL89">
        <f t="shared" si="19"/>
        <v>120.40376552845528</v>
      </c>
      <c r="AQ89" s="148">
        <f t="shared" si="20"/>
        <v>127.23831775700931</v>
      </c>
      <c r="AR89" s="148">
        <f t="shared" si="21"/>
        <v>83.958659217877141</v>
      </c>
      <c r="AT89">
        <f t="shared" si="22"/>
        <v>4.0843499999999988</v>
      </c>
      <c r="AU89">
        <f t="shared" si="23"/>
        <v>3.0057200000000015</v>
      </c>
    </row>
    <row r="90" spans="3:47" x14ac:dyDescent="0.25">
      <c r="C90" s="157">
        <v>40634</v>
      </c>
      <c r="D90" s="155">
        <v>546.38099999999997</v>
      </c>
      <c r="E90">
        <v>552.149</v>
      </c>
      <c r="F90">
        <v>610.63</v>
      </c>
      <c r="G90">
        <v>616.03</v>
      </c>
      <c r="H90">
        <v>609.12800000000004</v>
      </c>
      <c r="J90">
        <v>6.9512</v>
      </c>
      <c r="K90" s="153">
        <v>114.41</v>
      </c>
      <c r="L90" s="156">
        <f t="shared" si="5"/>
        <v>795.28679199999999</v>
      </c>
      <c r="M90" s="155">
        <f t="shared" si="6"/>
        <v>549.26499999999999</v>
      </c>
      <c r="N90" s="153">
        <f t="shared" si="7"/>
        <v>612.57899999999995</v>
      </c>
      <c r="O90" s="155">
        <f t="shared" si="8"/>
        <v>567.83060351367681</v>
      </c>
      <c r="P90">
        <f t="shared" si="9"/>
        <v>602.41700344465596</v>
      </c>
      <c r="S90" s="155">
        <v>980</v>
      </c>
      <c r="T90">
        <v>966</v>
      </c>
      <c r="U90">
        <v>996</v>
      </c>
      <c r="V90">
        <v>948.45100000000002</v>
      </c>
      <c r="W90">
        <v>928.05100000000004</v>
      </c>
      <c r="X90">
        <v>684.51300000000003</v>
      </c>
      <c r="Y90" s="153">
        <v>720.41300000000001</v>
      </c>
      <c r="Z90" s="154">
        <f t="shared" si="10"/>
        <v>980.66666666666663</v>
      </c>
      <c r="AA90" s="94">
        <f t="shared" si="11"/>
        <v>938.25099999999998</v>
      </c>
      <c r="AB90" s="94">
        <f t="shared" si="12"/>
        <v>702.46299999999997</v>
      </c>
      <c r="AC90" s="94"/>
      <c r="AD90" s="155">
        <f t="shared" si="13"/>
        <v>1010.4631272794564</v>
      </c>
      <c r="AE90">
        <f t="shared" si="14"/>
        <v>937.08931547138627</v>
      </c>
      <c r="AF90">
        <f t="shared" si="15"/>
        <v>692.87045628523651</v>
      </c>
      <c r="AH90" s="154">
        <f t="shared" si="16"/>
        <v>985.30868507573337</v>
      </c>
      <c r="AI90" s="94">
        <f t="shared" si="17"/>
        <v>949.94579341896235</v>
      </c>
      <c r="AJ90" s="94">
        <f t="shared" si="18"/>
        <v>705.69892663596397</v>
      </c>
      <c r="AK90" s="153"/>
      <c r="AL90">
        <f t="shared" si="19"/>
        <v>129.31492552845526</v>
      </c>
      <c r="AQ90" s="148">
        <f t="shared" si="20"/>
        <v>134.39304257528556</v>
      </c>
      <c r="AR90" s="148">
        <f t="shared" si="21"/>
        <v>90.969832402234658</v>
      </c>
      <c r="AT90">
        <f t="shared" si="22"/>
        <v>4.3140166666666664</v>
      </c>
      <c r="AU90">
        <f t="shared" si="23"/>
        <v>3.2567200000000005</v>
      </c>
    </row>
    <row r="91" spans="3:47" x14ac:dyDescent="0.25">
      <c r="C91" s="157">
        <v>40664</v>
      </c>
      <c r="D91" s="155">
        <v>575.38099999999997</v>
      </c>
      <c r="E91">
        <v>581.149</v>
      </c>
      <c r="F91">
        <v>626.63</v>
      </c>
      <c r="G91">
        <v>632.03</v>
      </c>
      <c r="H91">
        <v>624.12800000000004</v>
      </c>
      <c r="J91">
        <v>6.7701000000000002</v>
      </c>
      <c r="K91" s="153">
        <v>123.49</v>
      </c>
      <c r="L91" s="156">
        <f t="shared" ref="L91:L110" si="24">K91*J91</f>
        <v>836.03964899999994</v>
      </c>
      <c r="M91" s="155">
        <f t="shared" ref="M91:M110" si="25">AVERAGE(D91:E91)</f>
        <v>578.26499999999999</v>
      </c>
      <c r="N91" s="153">
        <f t="shared" ref="N91:N110" si="26">AVERAGE(G91:H91)</f>
        <v>628.07899999999995</v>
      </c>
      <c r="O91" s="155">
        <f t="shared" ref="O91:O110" si="27">$E$7*L91+$F$7</f>
        <v>596.00350919368407</v>
      </c>
      <c r="P91">
        <f t="shared" ref="P91:P110" si="28">$I$7*L91+$J$7</f>
        <v>633.62427670301315</v>
      </c>
      <c r="S91" s="155">
        <v>1009</v>
      </c>
      <c r="T91">
        <v>995</v>
      </c>
      <c r="U91">
        <v>1025</v>
      </c>
      <c r="V91">
        <v>964.45100000000002</v>
      </c>
      <c r="W91">
        <v>944.05100000000004</v>
      </c>
      <c r="X91">
        <v>699.51300000000003</v>
      </c>
      <c r="Y91" s="153">
        <v>735.41300000000001</v>
      </c>
      <c r="Z91" s="154">
        <f t="shared" si="10"/>
        <v>1009.6666666666666</v>
      </c>
      <c r="AA91" s="94">
        <f t="shared" si="11"/>
        <v>954.25099999999998</v>
      </c>
      <c r="AB91" s="94">
        <f t="shared" si="12"/>
        <v>717.46299999999997</v>
      </c>
      <c r="AC91" s="94"/>
      <c r="AD91" s="155">
        <f t="shared" si="13"/>
        <v>1048.6451986147963</v>
      </c>
      <c r="AE91">
        <f t="shared" si="14"/>
        <v>976.21974564228378</v>
      </c>
      <c r="AF91">
        <f t="shared" si="15"/>
        <v>725.71622754025145</v>
      </c>
      <c r="AH91" s="154">
        <f t="shared" si="16"/>
        <v>1024.6493789766114</v>
      </c>
      <c r="AI91" s="94">
        <f t="shared" si="17"/>
        <v>969.42932275518058</v>
      </c>
      <c r="AJ91" s="94">
        <f t="shared" si="18"/>
        <v>721.73315140610066</v>
      </c>
      <c r="AK91" s="153"/>
      <c r="AL91">
        <f t="shared" si="19"/>
        <v>135.94140634146339</v>
      </c>
      <c r="AQ91" s="148">
        <f t="shared" si="20"/>
        <v>134.39304257528556</v>
      </c>
      <c r="AR91" s="148">
        <f t="shared" si="21"/>
        <v>91.109497206703921</v>
      </c>
      <c r="AT91">
        <f t="shared" si="22"/>
        <v>4.3140166666666664</v>
      </c>
      <c r="AU91">
        <f t="shared" si="23"/>
        <v>3.2617200000000004</v>
      </c>
    </row>
    <row r="92" spans="3:47" x14ac:dyDescent="0.25">
      <c r="C92" s="157">
        <v>40695</v>
      </c>
      <c r="D92" s="155">
        <v>573.38099999999997</v>
      </c>
      <c r="E92">
        <v>579.149</v>
      </c>
      <c r="F92">
        <v>588.63</v>
      </c>
      <c r="G92">
        <v>595.03</v>
      </c>
      <c r="H92">
        <v>592.12800000000004</v>
      </c>
      <c r="J92">
        <v>6.8516000000000004</v>
      </c>
      <c r="K92" s="153">
        <v>116.15</v>
      </c>
      <c r="L92" s="156">
        <f t="shared" si="24"/>
        <v>795.81334000000004</v>
      </c>
      <c r="M92" s="155">
        <f t="shared" si="25"/>
        <v>576.26499999999999</v>
      </c>
      <c r="N92" s="153">
        <f t="shared" si="26"/>
        <v>593.57899999999995</v>
      </c>
      <c r="O92" s="155">
        <f t="shared" si="27"/>
        <v>568.19461203312858</v>
      </c>
      <c r="P92">
        <f t="shared" si="28"/>
        <v>602.82021756335314</v>
      </c>
      <c r="S92" s="155">
        <v>1007</v>
      </c>
      <c r="T92">
        <v>993</v>
      </c>
      <c r="U92">
        <v>1023</v>
      </c>
      <c r="V92">
        <v>926.45100000000002</v>
      </c>
      <c r="W92">
        <v>906.05100000000004</v>
      </c>
      <c r="X92">
        <v>667.51300000000003</v>
      </c>
      <c r="Y92" s="153">
        <v>703.41300000000001</v>
      </c>
      <c r="Z92" s="154">
        <f t="shared" si="10"/>
        <v>1007.6666666666666</v>
      </c>
      <c r="AA92" s="94">
        <f t="shared" si="11"/>
        <v>916.25099999999998</v>
      </c>
      <c r="AB92" s="94">
        <f t="shared" si="12"/>
        <v>685.46299999999997</v>
      </c>
      <c r="AC92" s="94"/>
      <c r="AD92" s="155">
        <f t="shared" si="13"/>
        <v>1010.9564593984163</v>
      </c>
      <c r="AE92">
        <f t="shared" si="14"/>
        <v>937.59490087722975</v>
      </c>
      <c r="AF92">
        <f t="shared" si="15"/>
        <v>693.29484064589087</v>
      </c>
      <c r="AH92" s="154">
        <f t="shared" si="16"/>
        <v>1021.9362276731026</v>
      </c>
      <c r="AI92" s="94">
        <f t="shared" si="17"/>
        <v>926.06275745843675</v>
      </c>
      <c r="AJ92" s="94">
        <f t="shared" si="18"/>
        <v>687.52680522980904</v>
      </c>
      <c r="AK92" s="153"/>
      <c r="AL92">
        <f t="shared" si="19"/>
        <v>129.4005430894309</v>
      </c>
      <c r="AQ92" s="148">
        <f t="shared" si="20"/>
        <v>134.39304257528556</v>
      </c>
      <c r="AR92" s="148">
        <f t="shared" si="21"/>
        <v>90.131843575419012</v>
      </c>
      <c r="AT92">
        <f t="shared" si="22"/>
        <v>4.3140166666666664</v>
      </c>
      <c r="AU92">
        <f t="shared" si="23"/>
        <v>3.2267200000000003</v>
      </c>
    </row>
    <row r="93" spans="3:47" x14ac:dyDescent="0.25">
      <c r="C93" s="157">
        <v>40725</v>
      </c>
      <c r="D93" s="155">
        <v>540.38099999999997</v>
      </c>
      <c r="E93">
        <v>548.149</v>
      </c>
      <c r="F93">
        <v>577.63</v>
      </c>
      <c r="G93">
        <v>583.03</v>
      </c>
      <c r="H93">
        <v>580.12800000000004</v>
      </c>
      <c r="J93">
        <v>6.8353000000000002</v>
      </c>
      <c r="K93" s="153">
        <v>114.19</v>
      </c>
      <c r="L93" s="156">
        <f t="shared" si="24"/>
        <v>780.52290700000003</v>
      </c>
      <c r="M93" s="155">
        <f t="shared" si="25"/>
        <v>544.26499999999999</v>
      </c>
      <c r="N93" s="153">
        <f t="shared" si="26"/>
        <v>581.57899999999995</v>
      </c>
      <c r="O93" s="155">
        <f t="shared" si="27"/>
        <v>557.62416474607153</v>
      </c>
      <c r="P93">
        <f t="shared" si="28"/>
        <v>591.11127846076204</v>
      </c>
      <c r="S93" s="155">
        <v>974</v>
      </c>
      <c r="T93">
        <v>962</v>
      </c>
      <c r="U93">
        <v>992</v>
      </c>
      <c r="V93">
        <v>915.45100000000002</v>
      </c>
      <c r="W93">
        <v>895.05100000000004</v>
      </c>
      <c r="X93">
        <v>655.51300000000003</v>
      </c>
      <c r="Y93" s="153">
        <v>691.41300000000001</v>
      </c>
      <c r="Z93" s="154">
        <f t="shared" si="10"/>
        <v>976</v>
      </c>
      <c r="AA93" s="94">
        <f t="shared" si="11"/>
        <v>905.25099999999998</v>
      </c>
      <c r="AB93" s="94">
        <f t="shared" si="12"/>
        <v>673.46299999999997</v>
      </c>
      <c r="AC93" s="94"/>
      <c r="AD93" s="155">
        <f t="shared" si="13"/>
        <v>996.63058272296678</v>
      </c>
      <c r="AE93">
        <f t="shared" si="14"/>
        <v>922.91320087299971</v>
      </c>
      <c r="AF93">
        <f t="shared" si="15"/>
        <v>680.97113866082191</v>
      </c>
      <c r="AH93" s="154">
        <f t="shared" si="16"/>
        <v>978.52580681696122</v>
      </c>
      <c r="AI93" s="94">
        <f t="shared" si="17"/>
        <v>910.9787347465259</v>
      </c>
      <c r="AJ93" s="94">
        <f t="shared" si="18"/>
        <v>674.69942541369971</v>
      </c>
      <c r="AK93" s="153"/>
      <c r="AL93">
        <f t="shared" si="19"/>
        <v>126.91429382113822</v>
      </c>
      <c r="AQ93" s="148">
        <f t="shared" si="20"/>
        <v>134.49688473520249</v>
      </c>
      <c r="AR93" s="148">
        <f t="shared" si="21"/>
        <v>90.411173184357551</v>
      </c>
      <c r="AT93">
        <f t="shared" si="22"/>
        <v>4.3173500000000002</v>
      </c>
      <c r="AU93">
        <f t="shared" si="23"/>
        <v>3.23672</v>
      </c>
    </row>
    <row r="94" spans="3:47" x14ac:dyDescent="0.25">
      <c r="C94" s="157">
        <v>40756</v>
      </c>
      <c r="D94" s="155">
        <v>557.38099999999997</v>
      </c>
      <c r="E94">
        <v>565.149</v>
      </c>
      <c r="F94">
        <v>592.63</v>
      </c>
      <c r="G94">
        <v>598.03</v>
      </c>
      <c r="H94">
        <v>590.12800000000004</v>
      </c>
      <c r="J94">
        <v>6.8133999999999997</v>
      </c>
      <c r="K94" s="153">
        <v>116.88</v>
      </c>
      <c r="L94" s="156">
        <f t="shared" si="24"/>
        <v>796.35019199999988</v>
      </c>
      <c r="M94" s="155">
        <f t="shared" si="25"/>
        <v>561.26499999999999</v>
      </c>
      <c r="N94" s="153">
        <f t="shared" si="26"/>
        <v>594.07899999999995</v>
      </c>
      <c r="O94" s="155">
        <f t="shared" si="27"/>
        <v>568.56574382298368</v>
      </c>
      <c r="P94">
        <f t="shared" si="28"/>
        <v>603.23132216549891</v>
      </c>
      <c r="S94" s="155">
        <v>991</v>
      </c>
      <c r="T94">
        <v>979</v>
      </c>
      <c r="U94">
        <v>1009</v>
      </c>
      <c r="V94">
        <v>930.45100000000002</v>
      </c>
      <c r="W94">
        <v>910.05100000000004</v>
      </c>
      <c r="X94">
        <v>665.51300000000003</v>
      </c>
      <c r="Y94" s="153">
        <v>701.41300000000001</v>
      </c>
      <c r="Z94" s="154">
        <f t="shared" si="10"/>
        <v>993</v>
      </c>
      <c r="AA94" s="94">
        <f t="shared" si="11"/>
        <v>920.25099999999998</v>
      </c>
      <c r="AB94" s="94">
        <f t="shared" si="12"/>
        <v>683.46299999999997</v>
      </c>
      <c r="AC94" s="94"/>
      <c r="AD94" s="155">
        <f t="shared" si="13"/>
        <v>1011.4594455169237</v>
      </c>
      <c r="AE94">
        <f t="shared" si="14"/>
        <v>938.11038006677722</v>
      </c>
      <c r="AF94">
        <f t="shared" si="15"/>
        <v>693.72752976974277</v>
      </c>
      <c r="AH94" s="154">
        <f t="shared" si="16"/>
        <v>1001.5875928967864</v>
      </c>
      <c r="AI94" s="94">
        <f t="shared" si="17"/>
        <v>926.69125840476636</v>
      </c>
      <c r="AJ94" s="94">
        <f t="shared" si="18"/>
        <v>685.3889085937908</v>
      </c>
      <c r="AK94" s="153"/>
      <c r="AL94">
        <f t="shared" si="19"/>
        <v>129.48783609756094</v>
      </c>
      <c r="AQ94" s="148">
        <f t="shared" si="20"/>
        <v>134.49688473520249</v>
      </c>
      <c r="AR94" s="148">
        <f t="shared" si="21"/>
        <v>91.109497206703921</v>
      </c>
      <c r="AT94">
        <f t="shared" si="22"/>
        <v>4.3173500000000002</v>
      </c>
      <c r="AU94">
        <f t="shared" si="23"/>
        <v>3.2617200000000004</v>
      </c>
    </row>
    <row r="95" spans="3:47" x14ac:dyDescent="0.25">
      <c r="C95" s="157">
        <v>40787</v>
      </c>
      <c r="D95" s="155">
        <v>566.38099999999997</v>
      </c>
      <c r="E95">
        <v>574.149</v>
      </c>
      <c r="F95">
        <v>592.63</v>
      </c>
      <c r="G95">
        <v>598.03</v>
      </c>
      <c r="H95">
        <v>588.12800000000004</v>
      </c>
      <c r="J95">
        <v>7.0590000000000002</v>
      </c>
      <c r="K95" s="153">
        <v>110.67</v>
      </c>
      <c r="L95" s="156">
        <f t="shared" si="24"/>
        <v>781.21953000000008</v>
      </c>
      <c r="M95" s="155">
        <f t="shared" si="25"/>
        <v>570.26499999999999</v>
      </c>
      <c r="N95" s="153">
        <f t="shared" si="26"/>
        <v>593.07899999999995</v>
      </c>
      <c r="O95" s="155">
        <f t="shared" si="27"/>
        <v>558.10574801454095</v>
      </c>
      <c r="P95">
        <f t="shared" si="28"/>
        <v>591.64473073673514</v>
      </c>
      <c r="S95" s="158">
        <v>1000</v>
      </c>
      <c r="T95">
        <v>988</v>
      </c>
      <c r="U95">
        <v>1018</v>
      </c>
      <c r="V95">
        <v>930.45100000000002</v>
      </c>
      <c r="W95">
        <v>910.05100000000004</v>
      </c>
      <c r="X95">
        <v>663.51300000000003</v>
      </c>
      <c r="Y95" s="153">
        <v>699.41300000000001</v>
      </c>
      <c r="Z95" s="154">
        <f t="shared" si="10"/>
        <v>1002</v>
      </c>
      <c r="AA95" s="94">
        <f t="shared" si="11"/>
        <v>920.25099999999998</v>
      </c>
      <c r="AB95" s="94">
        <f t="shared" si="12"/>
        <v>681.46299999999997</v>
      </c>
      <c r="AC95" s="94"/>
      <c r="AD95" s="155">
        <f t="shared" si="13"/>
        <v>997.2832611126031</v>
      </c>
      <c r="AE95">
        <f t="shared" si="14"/>
        <v>923.58209036108997</v>
      </c>
      <c r="AF95">
        <f t="shared" si="15"/>
        <v>681.53259916674381</v>
      </c>
      <c r="AH95" s="154">
        <f t="shared" si="16"/>
        <v>1013.7967737625761</v>
      </c>
      <c r="AI95" s="94">
        <f t="shared" si="17"/>
        <v>925.43425651210714</v>
      </c>
      <c r="AJ95" s="94">
        <f t="shared" si="18"/>
        <v>683.25101195777268</v>
      </c>
      <c r="AK95" s="153"/>
      <c r="AL95">
        <f t="shared" si="19"/>
        <v>127.02756585365854</v>
      </c>
      <c r="AQ95" s="148">
        <f t="shared" si="20"/>
        <v>134.49688473520249</v>
      </c>
      <c r="AR95" s="148">
        <f t="shared" si="21"/>
        <v>91.388826815642474</v>
      </c>
      <c r="AT95">
        <f t="shared" si="22"/>
        <v>4.3173500000000002</v>
      </c>
      <c r="AU95">
        <f t="shared" si="23"/>
        <v>3.2717200000000002</v>
      </c>
    </row>
    <row r="96" spans="3:47" x14ac:dyDescent="0.25">
      <c r="C96" s="157">
        <v>40817</v>
      </c>
      <c r="D96" s="155">
        <v>599.38099999999997</v>
      </c>
      <c r="E96">
        <v>606.149</v>
      </c>
      <c r="F96">
        <v>627.63</v>
      </c>
      <c r="G96">
        <v>635.03</v>
      </c>
      <c r="H96">
        <v>618.12800000000004</v>
      </c>
      <c r="J96">
        <v>7.5656999999999996</v>
      </c>
      <c r="K96" s="153">
        <v>113.61</v>
      </c>
      <c r="L96" s="156">
        <f t="shared" si="24"/>
        <v>859.539177</v>
      </c>
      <c r="M96" s="155">
        <f t="shared" si="25"/>
        <v>602.76499999999999</v>
      </c>
      <c r="N96" s="153">
        <f t="shared" si="26"/>
        <v>626.57899999999995</v>
      </c>
      <c r="O96" s="155">
        <f t="shared" si="27"/>
        <v>612.24899563574365</v>
      </c>
      <c r="P96">
        <f t="shared" si="28"/>
        <v>651.61948601406618</v>
      </c>
      <c r="S96" s="155">
        <v>1037</v>
      </c>
      <c r="T96">
        <v>1024</v>
      </c>
      <c r="U96">
        <v>1054</v>
      </c>
      <c r="V96">
        <v>965.45100000000002</v>
      </c>
      <c r="W96">
        <v>945.05100000000004</v>
      </c>
      <c r="X96">
        <v>693.51300000000003</v>
      </c>
      <c r="Y96" s="153">
        <v>729.41300000000001</v>
      </c>
      <c r="Z96" s="154">
        <f t="shared" si="10"/>
        <v>1038.3333333333333</v>
      </c>
      <c r="AA96" s="94">
        <f t="shared" si="11"/>
        <v>955.25099999999998</v>
      </c>
      <c r="AB96" s="94">
        <f t="shared" si="12"/>
        <v>711.46299999999997</v>
      </c>
      <c r="AC96" s="94"/>
      <c r="AD96" s="155">
        <f t="shared" si="13"/>
        <v>1070.6623213515609</v>
      </c>
      <c r="AE96">
        <f t="shared" si="14"/>
        <v>998.78372537634391</v>
      </c>
      <c r="AF96">
        <f t="shared" si="15"/>
        <v>744.65625231664501</v>
      </c>
      <c r="AH96" s="154">
        <f t="shared" si="16"/>
        <v>1057.8854824445948</v>
      </c>
      <c r="AI96" s="94">
        <f t="shared" si="17"/>
        <v>967.54381991619175</v>
      </c>
      <c r="AJ96" s="94">
        <f t="shared" si="18"/>
        <v>715.31946149804605</v>
      </c>
      <c r="AK96" s="153"/>
      <c r="AL96">
        <f t="shared" si="19"/>
        <v>139.76246780487804</v>
      </c>
      <c r="AQ96" s="148">
        <f t="shared" si="20"/>
        <v>135.69106957424711</v>
      </c>
      <c r="AR96" s="148">
        <f t="shared" si="21"/>
        <v>91.80782122905029</v>
      </c>
      <c r="AT96">
        <f t="shared" si="22"/>
        <v>4.3556833333333325</v>
      </c>
      <c r="AU96">
        <f t="shared" si="23"/>
        <v>3.2867200000000003</v>
      </c>
    </row>
    <row r="97" spans="3:47" x14ac:dyDescent="0.25">
      <c r="C97" s="157">
        <v>40848</v>
      </c>
      <c r="D97" s="155">
        <v>622.38099999999997</v>
      </c>
      <c r="E97">
        <v>629.149</v>
      </c>
      <c r="F97">
        <v>663.63</v>
      </c>
      <c r="G97">
        <v>671.03</v>
      </c>
      <c r="H97">
        <v>659.12800000000004</v>
      </c>
      <c r="J97">
        <v>8.0012000000000008</v>
      </c>
      <c r="K97" s="153">
        <v>109.28</v>
      </c>
      <c r="L97" s="156">
        <f t="shared" si="24"/>
        <v>874.37113600000009</v>
      </c>
      <c r="M97" s="155">
        <f t="shared" si="25"/>
        <v>625.76499999999999</v>
      </c>
      <c r="N97" s="153">
        <f t="shared" si="26"/>
        <v>665.07899999999995</v>
      </c>
      <c r="O97" s="155">
        <f t="shared" si="27"/>
        <v>622.50249472064797</v>
      </c>
      <c r="P97">
        <f t="shared" si="28"/>
        <v>662.97733995470537</v>
      </c>
      <c r="S97" s="155">
        <v>1060</v>
      </c>
      <c r="T97">
        <v>1047</v>
      </c>
      <c r="U97">
        <v>1077</v>
      </c>
      <c r="V97">
        <v>1001.451</v>
      </c>
      <c r="W97">
        <v>981.05100000000004</v>
      </c>
      <c r="X97">
        <v>734.53099999999995</v>
      </c>
      <c r="Y97" s="153">
        <v>770.41300000000001</v>
      </c>
      <c r="Z97" s="154">
        <f t="shared" si="10"/>
        <v>1061.3333333333333</v>
      </c>
      <c r="AA97" s="94">
        <f t="shared" si="11"/>
        <v>991.25099999999998</v>
      </c>
      <c r="AB97" s="94">
        <f t="shared" si="12"/>
        <v>752.47199999999998</v>
      </c>
      <c r="AC97" s="94"/>
      <c r="AD97" s="155">
        <f t="shared" si="13"/>
        <v>1084.5586456406982</v>
      </c>
      <c r="AE97">
        <f t="shared" si="14"/>
        <v>1013.0252038559292</v>
      </c>
      <c r="AF97">
        <f t="shared" si="15"/>
        <v>756.61043586205301</v>
      </c>
      <c r="AH97" s="154">
        <f t="shared" si="16"/>
        <v>1089.0867224349463</v>
      </c>
      <c r="AI97" s="94">
        <f t="shared" si="17"/>
        <v>1015.9383927835725</v>
      </c>
      <c r="AJ97" s="94">
        <f t="shared" si="18"/>
        <v>759.14634253641964</v>
      </c>
      <c r="AK97" s="153"/>
      <c r="AL97">
        <f t="shared" si="19"/>
        <v>142.17416845528456</v>
      </c>
      <c r="AQ97" s="148">
        <f t="shared" si="20"/>
        <v>135.69106957424711</v>
      </c>
      <c r="AR97" s="148">
        <f t="shared" si="21"/>
        <v>91.109497206703921</v>
      </c>
      <c r="AT97">
        <f t="shared" si="22"/>
        <v>4.3556833333333325</v>
      </c>
      <c r="AU97">
        <f t="shared" si="23"/>
        <v>3.2617200000000004</v>
      </c>
    </row>
    <row r="98" spans="3:47" x14ac:dyDescent="0.25">
      <c r="C98" s="157">
        <v>40878</v>
      </c>
      <c r="D98" s="155">
        <v>596.54999999999995</v>
      </c>
      <c r="E98">
        <v>603.54999999999995</v>
      </c>
      <c r="F98">
        <v>702.63</v>
      </c>
      <c r="G98">
        <v>707.03</v>
      </c>
      <c r="H98">
        <v>694.12800000000004</v>
      </c>
      <c r="J98">
        <v>8.1397999999999993</v>
      </c>
      <c r="K98" s="153">
        <v>110.51</v>
      </c>
      <c r="L98" s="156">
        <f t="shared" si="24"/>
        <v>899.52929799999993</v>
      </c>
      <c r="M98" s="155">
        <f t="shared" si="25"/>
        <v>600.04999999999995</v>
      </c>
      <c r="N98" s="153">
        <f t="shared" si="26"/>
        <v>700.57899999999995</v>
      </c>
      <c r="O98" s="155">
        <f t="shared" si="27"/>
        <v>639.89461339120749</v>
      </c>
      <c r="P98">
        <f t="shared" si="28"/>
        <v>682.24267971265192</v>
      </c>
      <c r="S98" s="155">
        <v>1049</v>
      </c>
      <c r="T98">
        <v>1036</v>
      </c>
      <c r="U98">
        <v>1066</v>
      </c>
      <c r="V98">
        <v>1048.69</v>
      </c>
      <c r="W98">
        <v>1028.29</v>
      </c>
      <c r="X98">
        <v>777.52800000000002</v>
      </c>
      <c r="Y98" s="153">
        <v>813.428</v>
      </c>
      <c r="Z98" s="154">
        <f t="shared" si="10"/>
        <v>1050.3333333333333</v>
      </c>
      <c r="AA98" s="94">
        <f t="shared" si="11"/>
        <v>1038.49</v>
      </c>
      <c r="AB98" s="94">
        <f t="shared" si="12"/>
        <v>795.47800000000007</v>
      </c>
      <c r="AC98" s="94">
        <v>2121</v>
      </c>
      <c r="AD98" s="155">
        <f t="shared" si="13"/>
        <v>1108.129771860144</v>
      </c>
      <c r="AE98">
        <f t="shared" si="14"/>
        <v>1037.1817851078677</v>
      </c>
      <c r="AF98">
        <f t="shared" si="15"/>
        <v>776.88727766111037</v>
      </c>
      <c r="AH98" s="154">
        <f t="shared" si="16"/>
        <v>1054.2023795500813</v>
      </c>
      <c r="AI98" s="94">
        <f t="shared" si="17"/>
        <v>1060.5619599729755</v>
      </c>
      <c r="AJ98" s="94">
        <f t="shared" si="18"/>
        <v>796.55953366673862</v>
      </c>
      <c r="AK98" s="153"/>
      <c r="AL98">
        <f t="shared" si="19"/>
        <v>146.26492650406502</v>
      </c>
      <c r="AQ98" s="148">
        <f t="shared" si="20"/>
        <v>140.27518172377984</v>
      </c>
      <c r="AR98" s="148">
        <f t="shared" si="21"/>
        <v>94.388547486033545</v>
      </c>
      <c r="AT98">
        <f t="shared" si="22"/>
        <v>4.5028333333333332</v>
      </c>
      <c r="AU98">
        <f t="shared" si="23"/>
        <v>3.3791100000000007</v>
      </c>
    </row>
    <row r="99" spans="3:47" x14ac:dyDescent="0.25">
      <c r="C99" s="157">
        <v>40909</v>
      </c>
      <c r="D99" s="155">
        <v>590.54999999999995</v>
      </c>
      <c r="E99">
        <v>598.54999999999995</v>
      </c>
      <c r="F99">
        <v>681.63</v>
      </c>
      <c r="G99">
        <v>687.03</v>
      </c>
      <c r="H99">
        <v>669.12800000000004</v>
      </c>
      <c r="J99">
        <v>8.2121999999999993</v>
      </c>
      <c r="K99" s="153">
        <v>107.96</v>
      </c>
      <c r="L99" s="156">
        <f t="shared" si="24"/>
        <v>886.58911199999989</v>
      </c>
      <c r="M99" s="155">
        <f t="shared" si="25"/>
        <v>594.54999999999995</v>
      </c>
      <c r="N99" s="153">
        <f t="shared" si="26"/>
        <v>678.07899999999995</v>
      </c>
      <c r="O99" s="155">
        <f t="shared" si="27"/>
        <v>630.94891813210575</v>
      </c>
      <c r="P99">
        <f t="shared" si="28"/>
        <v>672.33348683039662</v>
      </c>
      <c r="S99" s="155">
        <v>1043</v>
      </c>
      <c r="T99">
        <v>1031</v>
      </c>
      <c r="U99">
        <v>1061</v>
      </c>
      <c r="V99">
        <v>1027.69</v>
      </c>
      <c r="W99">
        <v>1007.29</v>
      </c>
      <c r="X99">
        <v>752.52800000000002</v>
      </c>
      <c r="Y99" s="153">
        <v>788.428</v>
      </c>
      <c r="Z99" s="154">
        <f t="shared" si="10"/>
        <v>1045</v>
      </c>
      <c r="AA99" s="94">
        <f t="shared" si="11"/>
        <v>1017.49</v>
      </c>
      <c r="AB99" s="94">
        <f t="shared" si="12"/>
        <v>770.47800000000007</v>
      </c>
      <c r="AC99" s="94"/>
      <c r="AD99" s="155">
        <f t="shared" si="13"/>
        <v>1096.0058830995458</v>
      </c>
      <c r="AE99">
        <f t="shared" si="14"/>
        <v>1024.7567655645403</v>
      </c>
      <c r="AF99">
        <f t="shared" si="15"/>
        <v>766.45781527143424</v>
      </c>
      <c r="AH99" s="154">
        <f t="shared" si="16"/>
        <v>1046.7412134654323</v>
      </c>
      <c r="AI99" s="94">
        <f t="shared" si="17"/>
        <v>1032.2794173881425</v>
      </c>
      <c r="AJ99" s="94">
        <f t="shared" si="18"/>
        <v>769.83582571651073</v>
      </c>
      <c r="AK99" s="153"/>
      <c r="AL99">
        <f t="shared" si="19"/>
        <v>144.16083121951218</v>
      </c>
      <c r="AQ99" s="148">
        <f t="shared" si="20"/>
        <v>140.32710280373831</v>
      </c>
      <c r="AR99" s="148">
        <f t="shared" si="21"/>
        <v>94.807541899441361</v>
      </c>
      <c r="AT99">
        <f t="shared" si="22"/>
        <v>4.5045000000000002</v>
      </c>
      <c r="AU99">
        <f t="shared" si="23"/>
        <v>3.3941100000000004</v>
      </c>
    </row>
    <row r="100" spans="3:47" x14ac:dyDescent="0.25">
      <c r="C100" s="157">
        <v>40940</v>
      </c>
      <c r="D100" s="155">
        <v>624.54999999999995</v>
      </c>
      <c r="E100">
        <v>632.54999999999995</v>
      </c>
      <c r="F100">
        <v>680.63</v>
      </c>
      <c r="G100">
        <v>685.03</v>
      </c>
      <c r="H100">
        <v>666.12800000000004</v>
      </c>
      <c r="J100">
        <v>8.0840999999999994</v>
      </c>
      <c r="K100" s="153">
        <v>110.42</v>
      </c>
      <c r="L100" s="156">
        <f t="shared" si="24"/>
        <v>892.64632199999994</v>
      </c>
      <c r="M100" s="155">
        <f t="shared" si="25"/>
        <v>628.54999999999995</v>
      </c>
      <c r="N100" s="153">
        <f t="shared" si="26"/>
        <v>675.57899999999995</v>
      </c>
      <c r="O100" s="155">
        <f t="shared" si="27"/>
        <v>635.13633512753256</v>
      </c>
      <c r="P100">
        <f t="shared" si="28"/>
        <v>676.97191028260409</v>
      </c>
      <c r="S100" s="155">
        <v>1077</v>
      </c>
      <c r="T100">
        <v>1065</v>
      </c>
      <c r="U100">
        <v>1095</v>
      </c>
      <c r="V100">
        <v>1026.69</v>
      </c>
      <c r="W100">
        <v>1006.29</v>
      </c>
      <c r="X100">
        <v>749.52800000000002</v>
      </c>
      <c r="Y100" s="153">
        <v>785.428</v>
      </c>
      <c r="Z100" s="155">
        <f t="shared" si="10"/>
        <v>1079</v>
      </c>
      <c r="AA100">
        <f t="shared" si="11"/>
        <v>1016.49</v>
      </c>
      <c r="AB100">
        <f t="shared" si="12"/>
        <v>767.47800000000007</v>
      </c>
      <c r="AD100" s="155">
        <f t="shared" si="13"/>
        <v>1101.6809901064762</v>
      </c>
      <c r="AE100">
        <f t="shared" si="14"/>
        <v>1030.5728297716573</v>
      </c>
      <c r="AF100">
        <f t="shared" si="15"/>
        <v>771.33977321866701</v>
      </c>
      <c r="AH100" s="154">
        <f t="shared" si="16"/>
        <v>1092.8647856250823</v>
      </c>
      <c r="AI100" s="94">
        <f t="shared" si="17"/>
        <v>1029.1369126564946</v>
      </c>
      <c r="AJ100" s="94">
        <f t="shared" si="18"/>
        <v>766.62898076248348</v>
      </c>
      <c r="AK100" s="153"/>
      <c r="AL100">
        <f t="shared" si="19"/>
        <v>145.14574341463413</v>
      </c>
      <c r="AQ100" s="148">
        <f t="shared" si="20"/>
        <v>140.32710280373831</v>
      </c>
      <c r="AR100" s="148">
        <f t="shared" si="21"/>
        <v>95.226536312849177</v>
      </c>
      <c r="AT100">
        <f t="shared" si="22"/>
        <v>4.5045000000000002</v>
      </c>
      <c r="AU100">
        <f t="shared" si="23"/>
        <v>3.4091100000000001</v>
      </c>
    </row>
    <row r="101" spans="3:47" x14ac:dyDescent="0.25">
      <c r="C101" s="157">
        <v>40969</v>
      </c>
      <c r="D101" s="155">
        <v>648.16999999999996</v>
      </c>
      <c r="E101">
        <v>656.17</v>
      </c>
      <c r="F101">
        <v>686.63</v>
      </c>
      <c r="G101">
        <v>690.03</v>
      </c>
      <c r="H101">
        <v>670.12800000000004</v>
      </c>
      <c r="I101">
        <v>1507.415</v>
      </c>
      <c r="J101">
        <v>7.6790000000000003</v>
      </c>
      <c r="K101" s="153">
        <v>126.39</v>
      </c>
      <c r="L101" s="156">
        <f t="shared" si="24"/>
        <v>970.54881</v>
      </c>
      <c r="M101" s="155">
        <f t="shared" si="25"/>
        <v>652.16999999999996</v>
      </c>
      <c r="N101" s="153">
        <f t="shared" si="26"/>
        <v>680.07899999999995</v>
      </c>
      <c r="O101" s="155">
        <f t="shared" si="27"/>
        <v>688.99119606800366</v>
      </c>
      <c r="P101">
        <f t="shared" si="28"/>
        <v>736.62721814290671</v>
      </c>
      <c r="S101" s="155">
        <v>1105</v>
      </c>
      <c r="T101">
        <v>1093</v>
      </c>
      <c r="U101">
        <v>1123</v>
      </c>
      <c r="V101">
        <v>1037.07</v>
      </c>
      <c r="W101">
        <v>1016.67</v>
      </c>
      <c r="X101">
        <v>753.52800000000002</v>
      </c>
      <c r="Y101" s="153">
        <v>789.428</v>
      </c>
      <c r="Z101" s="155">
        <f t="shared" si="10"/>
        <v>1107</v>
      </c>
      <c r="AA101">
        <f t="shared" si="11"/>
        <v>1026.8699999999999</v>
      </c>
      <c r="AB101">
        <f t="shared" si="12"/>
        <v>771.47800000000007</v>
      </c>
      <c r="AC101">
        <v>2207</v>
      </c>
      <c r="AD101" s="155">
        <f t="shared" si="13"/>
        <v>1174.6692067121598</v>
      </c>
      <c r="AE101">
        <f t="shared" si="14"/>
        <v>1105.3739134557579</v>
      </c>
      <c r="AF101">
        <f t="shared" si="15"/>
        <v>834.12720677319192</v>
      </c>
      <c r="AH101" s="154">
        <f t="shared" si="16"/>
        <v>1124.9071025195217</v>
      </c>
      <c r="AI101" s="94">
        <f t="shared" si="17"/>
        <v>1034.793421173461</v>
      </c>
      <c r="AJ101" s="94">
        <f t="shared" si="18"/>
        <v>770.90477403451985</v>
      </c>
      <c r="AK101" s="153"/>
      <c r="AL101">
        <f t="shared" si="19"/>
        <v>157.81281463414632</v>
      </c>
      <c r="AQ101" s="148">
        <f t="shared" si="20"/>
        <v>141.69158878504672</v>
      </c>
      <c r="AR101" s="148">
        <f t="shared" si="21"/>
        <v>96.868994413407819</v>
      </c>
      <c r="AT101">
        <f t="shared" si="22"/>
        <v>4.5483000000000002</v>
      </c>
      <c r="AU101">
        <f t="shared" si="23"/>
        <v>3.4679099999999998</v>
      </c>
    </row>
    <row r="102" spans="3:47" x14ac:dyDescent="0.25">
      <c r="C102" s="157">
        <v>41000</v>
      </c>
      <c r="D102" s="155">
        <v>687.57</v>
      </c>
      <c r="E102">
        <v>694.57</v>
      </c>
      <c r="F102">
        <v>706.63</v>
      </c>
      <c r="G102">
        <v>712.03</v>
      </c>
      <c r="H102">
        <v>691.12800000000004</v>
      </c>
      <c r="I102">
        <v>1559.3980000000001</v>
      </c>
      <c r="J102">
        <v>7.6193</v>
      </c>
      <c r="K102" s="153">
        <v>125.42</v>
      </c>
      <c r="L102" s="156">
        <f t="shared" si="24"/>
        <v>955.61260600000003</v>
      </c>
      <c r="M102" s="155">
        <f t="shared" si="25"/>
        <v>691.07</v>
      </c>
      <c r="N102" s="153">
        <f t="shared" si="26"/>
        <v>701.57899999999995</v>
      </c>
      <c r="O102" s="155">
        <f t="shared" si="27"/>
        <v>678.66563124909169</v>
      </c>
      <c r="P102">
        <f t="shared" si="28"/>
        <v>725.18953661617184</v>
      </c>
      <c r="S102" s="155">
        <v>1177</v>
      </c>
      <c r="T102">
        <v>1164</v>
      </c>
      <c r="U102">
        <v>1194</v>
      </c>
      <c r="V102">
        <v>1088.97</v>
      </c>
      <c r="W102">
        <v>1064.27</v>
      </c>
      <c r="X102">
        <v>774.12800000000004</v>
      </c>
      <c r="Y102" s="153">
        <v>816.02800000000002</v>
      </c>
      <c r="Z102" s="155">
        <f t="shared" si="10"/>
        <v>1178.3333333333333</v>
      </c>
      <c r="AA102">
        <f t="shared" si="11"/>
        <v>1076.6199999999999</v>
      </c>
      <c r="AB102">
        <f t="shared" si="12"/>
        <v>795.07799999999997</v>
      </c>
      <c r="AC102">
        <v>2275</v>
      </c>
      <c r="AD102" s="155">
        <f t="shared" si="13"/>
        <v>1160.6752134417693</v>
      </c>
      <c r="AE102">
        <f t="shared" si="14"/>
        <v>1091.0323401118258</v>
      </c>
      <c r="AF102">
        <f t="shared" si="15"/>
        <v>822.08900439630725</v>
      </c>
      <c r="AH102" s="154">
        <f t="shared" si="16"/>
        <v>1177.6778953727689</v>
      </c>
      <c r="AI102" s="94">
        <f t="shared" si="17"/>
        <v>1061.8189618656347</v>
      </c>
      <c r="AJ102" s="94">
        <f t="shared" si="18"/>
        <v>793.35268871271126</v>
      </c>
      <c r="AK102" s="153"/>
      <c r="AL102">
        <f t="shared" si="19"/>
        <v>155.38416357723577</v>
      </c>
      <c r="AQ102" s="148">
        <f t="shared" si="20"/>
        <v>151.79543094496361</v>
      </c>
      <c r="AR102" s="148">
        <f t="shared" si="21"/>
        <v>104.76005586592179</v>
      </c>
      <c r="AT102">
        <f t="shared" si="22"/>
        <v>4.872633333333332</v>
      </c>
      <c r="AU102">
        <f t="shared" si="23"/>
        <v>3.7504099999999996</v>
      </c>
    </row>
    <row r="103" spans="3:47" x14ac:dyDescent="0.25">
      <c r="C103" s="157">
        <v>41030</v>
      </c>
      <c r="D103" s="155">
        <v>711.17</v>
      </c>
      <c r="E103">
        <v>718.17</v>
      </c>
      <c r="F103">
        <v>711.63</v>
      </c>
      <c r="G103">
        <v>716.03</v>
      </c>
      <c r="H103">
        <v>700.12800000000004</v>
      </c>
      <c r="I103">
        <v>1583.268</v>
      </c>
      <c r="J103">
        <v>7.8536000000000001</v>
      </c>
      <c r="K103" s="153">
        <v>120.18</v>
      </c>
      <c r="L103" s="156">
        <f t="shared" si="24"/>
        <v>943.8456480000001</v>
      </c>
      <c r="M103" s="155">
        <f t="shared" si="25"/>
        <v>714.67</v>
      </c>
      <c r="N103" s="153">
        <f t="shared" si="26"/>
        <v>708.07899999999995</v>
      </c>
      <c r="O103" s="155">
        <f t="shared" si="27"/>
        <v>670.53100162362512</v>
      </c>
      <c r="P103">
        <f t="shared" si="28"/>
        <v>716.17876532900516</v>
      </c>
      <c r="S103" s="155">
        <v>1205</v>
      </c>
      <c r="T103">
        <v>1187</v>
      </c>
      <c r="U103">
        <v>1222</v>
      </c>
      <c r="V103">
        <v>1098.3699999999999</v>
      </c>
      <c r="W103">
        <v>1073.67</v>
      </c>
      <c r="X103">
        <v>783.12800000000004</v>
      </c>
      <c r="Y103" s="153">
        <v>825.02800000000002</v>
      </c>
      <c r="Z103" s="155">
        <f t="shared" si="10"/>
        <v>1204.6666666666667</v>
      </c>
      <c r="AA103">
        <f t="shared" si="11"/>
        <v>1086.02</v>
      </c>
      <c r="AB103">
        <f t="shared" si="12"/>
        <v>804.07799999999997</v>
      </c>
      <c r="AC103">
        <v>2306</v>
      </c>
      <c r="AD103" s="155">
        <f t="shared" si="13"/>
        <v>1149.6505427111765</v>
      </c>
      <c r="AE103">
        <f t="shared" si="14"/>
        <v>1079.7338407613904</v>
      </c>
      <c r="AF103">
        <f t="shared" si="15"/>
        <v>812.60513407930432</v>
      </c>
      <c r="AH103" s="154">
        <f t="shared" si="16"/>
        <v>1209.693080754173</v>
      </c>
      <c r="AI103" s="94">
        <f t="shared" si="17"/>
        <v>1069.98947416792</v>
      </c>
      <c r="AJ103" s="94">
        <f t="shared" si="18"/>
        <v>802.97322357479322</v>
      </c>
      <c r="AK103" s="153"/>
      <c r="AL103">
        <f t="shared" si="19"/>
        <v>153.47083707317074</v>
      </c>
      <c r="AQ103" s="148">
        <f t="shared" si="20"/>
        <v>152.64693665628249</v>
      </c>
      <c r="AR103" s="148">
        <f t="shared" si="21"/>
        <v>105.57011173184358</v>
      </c>
      <c r="AT103">
        <f t="shared" si="22"/>
        <v>4.8999666666666677</v>
      </c>
      <c r="AU103">
        <f t="shared" si="23"/>
        <v>3.7794099999999999</v>
      </c>
    </row>
    <row r="104" spans="3:47" x14ac:dyDescent="0.25">
      <c r="C104" s="157">
        <v>41061</v>
      </c>
      <c r="D104" s="155">
        <v>653.99</v>
      </c>
      <c r="E104">
        <v>660.99</v>
      </c>
      <c r="F104">
        <v>684.63</v>
      </c>
      <c r="G104">
        <v>689.03</v>
      </c>
      <c r="H104">
        <v>679.12800000000004</v>
      </c>
      <c r="I104">
        <v>1507.4009999999998</v>
      </c>
      <c r="J104">
        <v>8.1030999999999995</v>
      </c>
      <c r="K104" s="153">
        <v>110.27</v>
      </c>
      <c r="L104" s="156">
        <f t="shared" si="24"/>
        <v>893.52883699999995</v>
      </c>
      <c r="M104" s="155">
        <f t="shared" si="25"/>
        <v>657.49</v>
      </c>
      <c r="N104" s="153">
        <f t="shared" si="26"/>
        <v>684.07899999999995</v>
      </c>
      <c r="O104" s="155">
        <f t="shared" si="27"/>
        <v>635.74642761396092</v>
      </c>
      <c r="P104">
        <f t="shared" si="28"/>
        <v>677.64771288362408</v>
      </c>
      <c r="S104" s="155">
        <v>1150</v>
      </c>
      <c r="T104">
        <v>1132</v>
      </c>
      <c r="U104">
        <v>1167</v>
      </c>
      <c r="V104">
        <v>1073.55</v>
      </c>
      <c r="W104">
        <v>1048.8499999999999</v>
      </c>
      <c r="X104">
        <v>762.12800000000004</v>
      </c>
      <c r="Y104" s="153">
        <v>804.02800000000002</v>
      </c>
      <c r="Z104" s="155">
        <f t="shared" si="10"/>
        <v>1149.6666666666667</v>
      </c>
      <c r="AA104">
        <f t="shared" si="11"/>
        <v>1061.1999999999998</v>
      </c>
      <c r="AB104">
        <f t="shared" si="12"/>
        <v>783.07799999999997</v>
      </c>
      <c r="AC104">
        <v>2207</v>
      </c>
      <c r="AD104" s="155">
        <f t="shared" si="13"/>
        <v>1102.5078339933848</v>
      </c>
      <c r="AE104">
        <f t="shared" si="14"/>
        <v>1031.4202106456478</v>
      </c>
      <c r="AF104">
        <f t="shared" si="15"/>
        <v>772.05105797151566</v>
      </c>
      <c r="AH104" s="154">
        <f t="shared" si="16"/>
        <v>1132.1240849868555</v>
      </c>
      <c r="AI104" s="94">
        <f t="shared" si="17"/>
        <v>1039.8214287440981</v>
      </c>
      <c r="AJ104" s="94">
        <f t="shared" si="18"/>
        <v>780.52530889660193</v>
      </c>
      <c r="AK104" s="153"/>
      <c r="AL104">
        <f t="shared" si="19"/>
        <v>145.28924178861786</v>
      </c>
      <c r="AQ104" s="148">
        <f t="shared" si="20"/>
        <v>153.32606438213918</v>
      </c>
      <c r="AR104" s="148">
        <f t="shared" si="21"/>
        <v>105.34106145251394</v>
      </c>
      <c r="AT104">
        <f t="shared" si="22"/>
        <v>4.9217666666666684</v>
      </c>
      <c r="AU104">
        <f t="shared" si="23"/>
        <v>3.7712099999999986</v>
      </c>
    </row>
    <row r="105" spans="3:47" x14ac:dyDescent="0.25">
      <c r="C105" s="157">
        <v>41091</v>
      </c>
      <c r="D105" s="155">
        <v>571.57000000000005</v>
      </c>
      <c r="E105">
        <v>582.57000000000005</v>
      </c>
      <c r="F105">
        <v>628.63</v>
      </c>
      <c r="G105">
        <v>634.03</v>
      </c>
      <c r="H105">
        <v>621.12800000000004</v>
      </c>
      <c r="I105">
        <v>1421.42</v>
      </c>
      <c r="J105">
        <v>8.4189000000000007</v>
      </c>
      <c r="K105" s="153">
        <v>95.22</v>
      </c>
      <c r="L105" s="156">
        <f t="shared" si="24"/>
        <v>801.64765800000009</v>
      </c>
      <c r="M105" s="155">
        <f t="shared" si="25"/>
        <v>577.07000000000005</v>
      </c>
      <c r="N105" s="153">
        <f t="shared" si="26"/>
        <v>627.57899999999995</v>
      </c>
      <c r="O105" s="155">
        <f t="shared" si="27"/>
        <v>572.22794129691908</v>
      </c>
      <c r="P105">
        <f t="shared" si="28"/>
        <v>607.28795723868814</v>
      </c>
      <c r="S105" s="155">
        <v>1061</v>
      </c>
      <c r="T105">
        <v>1047</v>
      </c>
      <c r="U105">
        <v>1082</v>
      </c>
      <c r="V105">
        <v>1010.97</v>
      </c>
      <c r="W105">
        <v>986.27</v>
      </c>
      <c r="X105">
        <v>704.12800000000004</v>
      </c>
      <c r="Y105" s="153">
        <v>746.02800000000002</v>
      </c>
      <c r="Z105" s="155">
        <f t="shared" si="10"/>
        <v>1063.3333333333333</v>
      </c>
      <c r="AA105">
        <f t="shared" si="11"/>
        <v>998.62</v>
      </c>
      <c r="AB105">
        <f t="shared" si="12"/>
        <v>725.07799999999997</v>
      </c>
      <c r="AC105">
        <v>2094</v>
      </c>
      <c r="AD105" s="155">
        <f t="shared" si="13"/>
        <v>1016.4227349547303</v>
      </c>
      <c r="AE105">
        <f t="shared" si="14"/>
        <v>943.19694671891921</v>
      </c>
      <c r="AF105">
        <f t="shared" si="15"/>
        <v>697.99715328269622</v>
      </c>
      <c r="AH105" s="154">
        <f t="shared" si="16"/>
        <v>1023.0282710727651</v>
      </c>
      <c r="AI105" s="94">
        <f t="shared" si="17"/>
        <v>968.80082180885097</v>
      </c>
      <c r="AJ105" s="94">
        <f t="shared" si="18"/>
        <v>718.5263064520733</v>
      </c>
      <c r="AK105" s="153"/>
      <c r="AL105">
        <f t="shared" si="19"/>
        <v>130.34921268292683</v>
      </c>
      <c r="AQ105" s="148">
        <f t="shared" si="20"/>
        <v>151.48390446521285</v>
      </c>
      <c r="AR105" s="148">
        <f t="shared" si="21"/>
        <v>103.64273743016761</v>
      </c>
      <c r="AT105">
        <f t="shared" si="22"/>
        <v>4.8626333333333323</v>
      </c>
      <c r="AU105">
        <f t="shared" si="23"/>
        <v>3.7104100000000004</v>
      </c>
    </row>
    <row r="106" spans="3:47" x14ac:dyDescent="0.25">
      <c r="C106" s="157">
        <v>41122</v>
      </c>
      <c r="D106" s="155">
        <v>597.95000000000005</v>
      </c>
      <c r="E106">
        <v>608.95000000000005</v>
      </c>
      <c r="F106">
        <v>647.63</v>
      </c>
      <c r="G106">
        <v>654.03</v>
      </c>
      <c r="H106">
        <v>636.12800000000004</v>
      </c>
      <c r="I106">
        <v>1461.1410000000001</v>
      </c>
      <c r="J106">
        <v>8.2657000000000007</v>
      </c>
      <c r="K106" s="153">
        <v>102.04</v>
      </c>
      <c r="L106" s="156">
        <f t="shared" si="24"/>
        <v>843.43202800000017</v>
      </c>
      <c r="M106" s="155">
        <f t="shared" si="25"/>
        <v>603.45000000000005</v>
      </c>
      <c r="N106" s="153">
        <f t="shared" si="26"/>
        <v>645.07899999999995</v>
      </c>
      <c r="O106" s="155">
        <f t="shared" si="27"/>
        <v>601.11394344662187</v>
      </c>
      <c r="P106">
        <f t="shared" si="28"/>
        <v>639.28513114279747</v>
      </c>
      <c r="S106" s="155">
        <v>1083</v>
      </c>
      <c r="T106">
        <v>1069</v>
      </c>
      <c r="U106">
        <v>1104</v>
      </c>
      <c r="V106">
        <v>1025.5899999999999</v>
      </c>
      <c r="W106">
        <v>1000.89</v>
      </c>
      <c r="X106">
        <v>719.12800000000004</v>
      </c>
      <c r="Y106" s="153">
        <v>761.02800000000002</v>
      </c>
      <c r="Z106" s="155">
        <f t="shared" si="10"/>
        <v>1085.3333333333333</v>
      </c>
      <c r="AA106">
        <f t="shared" si="11"/>
        <v>1013.24</v>
      </c>
      <c r="AB106">
        <f t="shared" si="12"/>
        <v>740.07799999999997</v>
      </c>
      <c r="AC106">
        <v>2146</v>
      </c>
      <c r="AD106" s="155">
        <f t="shared" si="13"/>
        <v>1055.5712490341784</v>
      </c>
      <c r="AE106">
        <f t="shared" si="14"/>
        <v>983.31782395017558</v>
      </c>
      <c r="AF106">
        <f t="shared" si="15"/>
        <v>731.67429790730284</v>
      </c>
      <c r="AH106" s="154">
        <f t="shared" si="16"/>
        <v>1058.8147367660467</v>
      </c>
      <c r="AI106" s="94">
        <f t="shared" si="17"/>
        <v>990.79835493038775</v>
      </c>
      <c r="AJ106" s="94">
        <f t="shared" si="18"/>
        <v>734.56053122220999</v>
      </c>
      <c r="AK106" s="153"/>
      <c r="AL106">
        <f t="shared" si="19"/>
        <v>137.14341918699188</v>
      </c>
      <c r="AQ106" s="148">
        <f t="shared" si="20"/>
        <v>150.11941848390444</v>
      </c>
      <c r="AR106" s="148">
        <f t="shared" si="21"/>
        <v>102.83826815642459</v>
      </c>
      <c r="AT106">
        <f t="shared" si="22"/>
        <v>4.8188333333333331</v>
      </c>
      <c r="AU106">
        <f t="shared" si="23"/>
        <v>3.68161</v>
      </c>
    </row>
    <row r="107" spans="3:47" x14ac:dyDescent="0.25">
      <c r="C107" s="157">
        <v>41153</v>
      </c>
      <c r="D107" s="155">
        <v>687.45</v>
      </c>
      <c r="E107">
        <v>698.45</v>
      </c>
      <c r="F107">
        <v>716.63</v>
      </c>
      <c r="G107">
        <v>723.03</v>
      </c>
      <c r="H107">
        <v>709.12800000000004</v>
      </c>
      <c r="I107">
        <v>1559.6109999999999</v>
      </c>
      <c r="J107">
        <v>8.2758000000000003</v>
      </c>
      <c r="K107" s="153">
        <v>113.51</v>
      </c>
      <c r="L107" s="156">
        <f t="shared" si="24"/>
        <v>939.38605800000005</v>
      </c>
      <c r="M107" s="155">
        <f t="shared" si="25"/>
        <v>692.95</v>
      </c>
      <c r="N107" s="153">
        <f t="shared" si="26"/>
        <v>716.07899999999995</v>
      </c>
      <c r="O107" s="155">
        <f t="shared" si="27"/>
        <v>667.44803719633342</v>
      </c>
      <c r="P107">
        <f t="shared" si="28"/>
        <v>712.7637496958622</v>
      </c>
      <c r="S107" s="155">
        <v>1176</v>
      </c>
      <c r="T107">
        <v>1162</v>
      </c>
      <c r="U107">
        <v>1197</v>
      </c>
      <c r="V107">
        <v>1094.5899999999999</v>
      </c>
      <c r="W107">
        <v>1069.8900000000001</v>
      </c>
      <c r="X107">
        <v>792.12800000000004</v>
      </c>
      <c r="Y107" s="153">
        <v>834.02800000000002</v>
      </c>
      <c r="Z107" s="155">
        <f t="shared" si="10"/>
        <v>1178.3333333333333</v>
      </c>
      <c r="AA107">
        <f t="shared" si="11"/>
        <v>1082.24</v>
      </c>
      <c r="AB107">
        <f t="shared" si="12"/>
        <v>813.07799999999997</v>
      </c>
      <c r="AC107">
        <v>2275</v>
      </c>
      <c r="AD107" s="155">
        <f t="shared" si="13"/>
        <v>1145.4722740929451</v>
      </c>
      <c r="AE107">
        <f t="shared" si="14"/>
        <v>1075.4517931227222</v>
      </c>
      <c r="AF107">
        <f t="shared" si="15"/>
        <v>809.010817415048</v>
      </c>
      <c r="AH107" s="154">
        <f t="shared" si="16"/>
        <v>1180.2282575980671</v>
      </c>
      <c r="AI107" s="94">
        <f t="shared" si="17"/>
        <v>1080.0454893091937</v>
      </c>
      <c r="AJ107" s="94">
        <f t="shared" si="18"/>
        <v>812.59375843687531</v>
      </c>
      <c r="AK107" s="153"/>
      <c r="AL107">
        <f t="shared" si="19"/>
        <v>152.74570048780487</v>
      </c>
      <c r="AQ107" s="148">
        <f t="shared" si="20"/>
        <v>151.20976116303214</v>
      </c>
      <c r="AR107" s="148">
        <f t="shared" si="21"/>
        <v>102.27960893854751</v>
      </c>
      <c r="AT107">
        <f t="shared" si="22"/>
        <v>4.8538333333333323</v>
      </c>
      <c r="AU107">
        <f t="shared" si="23"/>
        <v>3.6616100000000005</v>
      </c>
    </row>
    <row r="108" spans="3:47" x14ac:dyDescent="0.25">
      <c r="C108" s="157">
        <v>41183</v>
      </c>
      <c r="D108" s="155">
        <v>695.29</v>
      </c>
      <c r="E108">
        <v>708.29</v>
      </c>
      <c r="F108">
        <v>742.63</v>
      </c>
      <c r="G108">
        <v>750.03</v>
      </c>
      <c r="H108">
        <v>742.12800000000004</v>
      </c>
      <c r="I108">
        <v>1557.1100000000001</v>
      </c>
      <c r="J108">
        <v>8.3074999999999992</v>
      </c>
      <c r="K108" s="153">
        <v>112.96</v>
      </c>
      <c r="L108" s="156">
        <f t="shared" si="24"/>
        <v>938.41519999999991</v>
      </c>
      <c r="M108" s="155">
        <f t="shared" si="25"/>
        <v>701.79</v>
      </c>
      <c r="N108" s="153">
        <f t="shared" si="26"/>
        <v>746.07899999999995</v>
      </c>
      <c r="O108" s="155">
        <f t="shared" si="27"/>
        <v>666.776872206289</v>
      </c>
      <c r="P108">
        <f t="shared" si="28"/>
        <v>712.02029676687948</v>
      </c>
      <c r="S108" s="155">
        <v>1197</v>
      </c>
      <c r="T108">
        <v>1185</v>
      </c>
      <c r="U108">
        <v>1220</v>
      </c>
      <c r="V108">
        <v>1133.75</v>
      </c>
      <c r="W108">
        <v>1109.05</v>
      </c>
      <c r="X108">
        <v>825.12800000000004</v>
      </c>
      <c r="Y108" s="153">
        <v>867.02800000000002</v>
      </c>
      <c r="Z108" s="155">
        <f t="shared" si="10"/>
        <v>1200.6666666666667</v>
      </c>
      <c r="AA108">
        <f t="shared" si="11"/>
        <v>1121.4000000000001</v>
      </c>
      <c r="AB108">
        <f t="shared" si="12"/>
        <v>846.07799999999997</v>
      </c>
      <c r="AC108">
        <v>2272</v>
      </c>
      <c r="AD108" s="155">
        <f t="shared" si="13"/>
        <v>1144.5626600893797</v>
      </c>
      <c r="AE108">
        <f t="shared" si="14"/>
        <v>1074.5195863040724</v>
      </c>
      <c r="AF108">
        <f t="shared" si="15"/>
        <v>808.22833044023037</v>
      </c>
      <c r="AH108" s="154">
        <f t="shared" si="16"/>
        <v>1192.2203863595762</v>
      </c>
      <c r="AI108" s="94">
        <f t="shared" si="17"/>
        <v>1117.755546088971</v>
      </c>
      <c r="AJ108" s="94">
        <f t="shared" si="18"/>
        <v>847.86905293117604</v>
      </c>
      <c r="AK108" s="153"/>
      <c r="AL108">
        <f t="shared" si="19"/>
        <v>152.58783739837395</v>
      </c>
      <c r="AQ108" s="148">
        <f t="shared" si="20"/>
        <v>155.41329179646939</v>
      </c>
      <c r="AR108" s="148">
        <f t="shared" si="21"/>
        <v>104.83826815642462</v>
      </c>
      <c r="AT108">
        <f t="shared" si="22"/>
        <v>4.9887666666666677</v>
      </c>
      <c r="AU108">
        <f t="shared" si="23"/>
        <v>3.753210000000001</v>
      </c>
    </row>
    <row r="109" spans="3:47" x14ac:dyDescent="0.25">
      <c r="C109" s="157">
        <v>41214</v>
      </c>
      <c r="D109" s="155">
        <v>683.09</v>
      </c>
      <c r="E109">
        <v>696.09</v>
      </c>
      <c r="F109">
        <v>750.63</v>
      </c>
      <c r="G109">
        <v>757.03</v>
      </c>
      <c r="H109">
        <v>745.12800000000004</v>
      </c>
      <c r="I109">
        <v>1557.88</v>
      </c>
      <c r="J109">
        <v>8.6478999999999999</v>
      </c>
      <c r="K109" s="153">
        <v>109.05</v>
      </c>
      <c r="L109" s="156">
        <f t="shared" si="24"/>
        <v>943.053495</v>
      </c>
      <c r="M109" s="155">
        <f t="shared" si="25"/>
        <v>689.59</v>
      </c>
      <c r="N109" s="153">
        <f t="shared" si="26"/>
        <v>751.07899999999995</v>
      </c>
      <c r="O109" s="155">
        <f t="shared" si="27"/>
        <v>669.98337739808585</v>
      </c>
      <c r="P109">
        <f t="shared" si="28"/>
        <v>715.57215914349456</v>
      </c>
      <c r="S109" s="155">
        <v>1187</v>
      </c>
      <c r="T109">
        <v>1175</v>
      </c>
      <c r="U109">
        <v>1210</v>
      </c>
      <c r="V109">
        <v>1143.95</v>
      </c>
      <c r="W109">
        <v>1119.25</v>
      </c>
      <c r="X109">
        <v>828.12800000000004</v>
      </c>
      <c r="Y109" s="153">
        <v>870.02800000000002</v>
      </c>
      <c r="Z109" s="155">
        <f t="shared" si="10"/>
        <v>1190.6666666666667</v>
      </c>
      <c r="AA109">
        <f t="shared" si="11"/>
        <v>1131.5999999999999</v>
      </c>
      <c r="AB109">
        <f t="shared" si="12"/>
        <v>849.07799999999997</v>
      </c>
      <c r="AC109">
        <v>2273</v>
      </c>
      <c r="AD109" s="155">
        <f t="shared" si="13"/>
        <v>1148.9083605776757</v>
      </c>
      <c r="AE109">
        <f t="shared" si="14"/>
        <v>1078.973224452915</v>
      </c>
      <c r="AF109">
        <f t="shared" si="15"/>
        <v>811.96667881132203</v>
      </c>
      <c r="AH109" s="154">
        <f t="shared" si="16"/>
        <v>1175.6701634081724</v>
      </c>
      <c r="AI109" s="94">
        <f t="shared" si="17"/>
        <v>1124.0405555522671</v>
      </c>
      <c r="AJ109" s="94">
        <f t="shared" si="18"/>
        <v>851.07589788520329</v>
      </c>
      <c r="AK109" s="153"/>
      <c r="AL109">
        <f t="shared" si="19"/>
        <v>153.34203170731706</v>
      </c>
      <c r="AQ109" s="148">
        <f t="shared" si="20"/>
        <v>156.09865005192108</v>
      </c>
      <c r="AR109" s="148">
        <f t="shared" si="21"/>
        <v>106.29078212290503</v>
      </c>
      <c r="AT109">
        <f t="shared" si="22"/>
        <v>5.010766666666667</v>
      </c>
      <c r="AU109">
        <f t="shared" si="23"/>
        <v>3.8052099999999998</v>
      </c>
    </row>
    <row r="110" spans="3:47" x14ac:dyDescent="0.25">
      <c r="C110" s="152">
        <v>41244</v>
      </c>
      <c r="D110" s="144">
        <v>660.19</v>
      </c>
      <c r="E110" s="151">
        <v>673.19</v>
      </c>
      <c r="F110" s="151">
        <v>735.63</v>
      </c>
      <c r="G110" s="151">
        <v>741.03</v>
      </c>
      <c r="H110" s="151">
        <v>731.12800000000004</v>
      </c>
      <c r="I110" s="151">
        <v>1531.421</v>
      </c>
      <c r="J110" s="151">
        <v>8.8252000000000006</v>
      </c>
      <c r="K110" s="143">
        <v>109.04</v>
      </c>
      <c r="L110" s="145">
        <f t="shared" si="24"/>
        <v>962.2998080000001</v>
      </c>
      <c r="M110" s="144">
        <f t="shared" si="25"/>
        <v>666.69</v>
      </c>
      <c r="N110" s="143">
        <f t="shared" si="26"/>
        <v>736.07899999999995</v>
      </c>
      <c r="O110" s="144">
        <f t="shared" si="27"/>
        <v>683.28856875772226</v>
      </c>
      <c r="P110" s="151">
        <f t="shared" si="28"/>
        <v>730.31038839222856</v>
      </c>
      <c r="Q110" s="151"/>
      <c r="R110" s="151"/>
      <c r="S110" s="144">
        <v>1178</v>
      </c>
      <c r="T110" s="151">
        <v>1166</v>
      </c>
      <c r="U110" s="151">
        <v>1201</v>
      </c>
      <c r="V110" s="151">
        <v>1138.95</v>
      </c>
      <c r="W110" s="151">
        <v>1114.25</v>
      </c>
      <c r="X110" s="151">
        <v>824.12800000000004</v>
      </c>
      <c r="Y110" s="143">
        <v>866.02800000000002</v>
      </c>
      <c r="Z110" s="144">
        <f t="shared" si="10"/>
        <v>1181.6666666666667</v>
      </c>
      <c r="AA110" s="151">
        <f t="shared" si="11"/>
        <v>1126.5999999999999</v>
      </c>
      <c r="AB110" s="151">
        <f t="shared" si="12"/>
        <v>845.07799999999997</v>
      </c>
      <c r="AC110" s="151">
        <v>2238</v>
      </c>
      <c r="AD110" s="144">
        <f t="shared" si="13"/>
        <v>1166.9405710778692</v>
      </c>
      <c r="AE110" s="151">
        <f t="shared" si="14"/>
        <v>1097.4533154780361</v>
      </c>
      <c r="AF110" s="151">
        <f t="shared" si="15"/>
        <v>827.47871994994523</v>
      </c>
      <c r="AG110" s="151"/>
      <c r="AH110" s="150">
        <f t="shared" si="16"/>
        <v>1144.6045809829961</v>
      </c>
      <c r="AI110" s="149">
        <f t="shared" si="17"/>
        <v>1105.1855271623785</v>
      </c>
      <c r="AJ110" s="149">
        <f t="shared" si="18"/>
        <v>836.11062143307572</v>
      </c>
      <c r="AK110" s="143"/>
      <c r="AL110">
        <f t="shared" si="19"/>
        <v>156.47151349593497</v>
      </c>
      <c r="AQ110" s="148">
        <f t="shared" si="20"/>
        <v>160.42886812045691</v>
      </c>
      <c r="AR110" s="148">
        <f t="shared" si="21"/>
        <v>109.08407821229049</v>
      </c>
      <c r="AT110">
        <f t="shared" si="22"/>
        <v>5.1497666666666673</v>
      </c>
      <c r="AU110">
        <f t="shared" si="23"/>
        <v>3.905209999999999</v>
      </c>
    </row>
    <row r="111" spans="3:47" x14ac:dyDescent="0.25">
      <c r="E111" s="147">
        <v>884.85</v>
      </c>
      <c r="F111" s="147">
        <v>769</v>
      </c>
    </row>
    <row r="112" spans="3:47" x14ac:dyDescent="0.25">
      <c r="AM112" t="s">
        <v>130</v>
      </c>
      <c r="AN112" t="s">
        <v>129</v>
      </c>
      <c r="AO112">
        <v>0.82</v>
      </c>
    </row>
    <row r="113" spans="3:41" x14ac:dyDescent="0.25">
      <c r="AM113" t="s">
        <v>56</v>
      </c>
      <c r="AN113" t="s">
        <v>56</v>
      </c>
    </row>
    <row r="114" spans="3:41" x14ac:dyDescent="0.25">
      <c r="C114" s="146">
        <v>44197</v>
      </c>
      <c r="D114">
        <v>512.16999999999996</v>
      </c>
      <c r="E114">
        <v>519.16999999999996</v>
      </c>
      <c r="F114">
        <v>541.63</v>
      </c>
      <c r="G114">
        <v>543.03</v>
      </c>
      <c r="H114">
        <v>527.12800000000004</v>
      </c>
      <c r="I114">
        <v>926.43899999999996</v>
      </c>
      <c r="J114">
        <v>14.939</v>
      </c>
      <c r="K114">
        <v>49.2</v>
      </c>
      <c r="L114" s="145">
        <f>K114*J114</f>
        <v>734.99880000000007</v>
      </c>
      <c r="M114" s="144">
        <f>AVERAGE(D114:E114)</f>
        <v>515.66999999999996</v>
      </c>
      <c r="N114" s="143">
        <f>AVERAGE(G114:H114)</f>
        <v>535.07899999999995</v>
      </c>
      <c r="AM114" s="11">
        <f>1/$AC$8/100*M114*1000</f>
        <v>150.78070175438597</v>
      </c>
      <c r="AN114" s="11">
        <f>1/$AC$9/100*N114*1000</f>
        <v>140.44068241469816</v>
      </c>
      <c r="AO114">
        <f>AM114*AO$112</f>
        <v>123.64017543859649</v>
      </c>
    </row>
    <row r="115" spans="3:41" x14ac:dyDescent="0.25">
      <c r="C115" s="146">
        <v>44228</v>
      </c>
      <c r="D115">
        <v>593.16999999999996</v>
      </c>
      <c r="E115">
        <v>600.16999999999996</v>
      </c>
      <c r="F115">
        <v>599.63</v>
      </c>
      <c r="G115">
        <v>602.03</v>
      </c>
      <c r="H115">
        <v>586.12800000000004</v>
      </c>
      <c r="I115">
        <v>1008</v>
      </c>
      <c r="J115">
        <v>15.087</v>
      </c>
      <c r="K115">
        <v>53.1</v>
      </c>
      <c r="L115" s="145">
        <f>K115*J115</f>
        <v>801.11969999999997</v>
      </c>
      <c r="M115" s="144">
        <f>AVERAGE(D115:E115)</f>
        <v>596.66999999999996</v>
      </c>
      <c r="N115" s="143">
        <f>AVERAGE(G115:H115)</f>
        <v>594.07899999999995</v>
      </c>
      <c r="AM115" s="11">
        <f>1/$AC$8/100*M115*1000</f>
        <v>174.46491228070175</v>
      </c>
      <c r="AN115" s="11">
        <f>1/$AC$9/100*N115*1000</f>
        <v>155.92624671916008</v>
      </c>
      <c r="AO115">
        <f>AM115*AO$112</f>
        <v>143.06122807017542</v>
      </c>
    </row>
    <row r="116" spans="3:41" x14ac:dyDescent="0.25">
      <c r="C116" s="146">
        <v>44256</v>
      </c>
      <c r="D116">
        <v>658.17</v>
      </c>
      <c r="E116">
        <v>665.17</v>
      </c>
      <c r="F116">
        <v>653.63</v>
      </c>
      <c r="G116">
        <v>658.03</v>
      </c>
      <c r="H116">
        <v>633.12800000000004</v>
      </c>
      <c r="I116">
        <v>1071</v>
      </c>
      <c r="J116">
        <v>14.763</v>
      </c>
      <c r="K116">
        <v>60</v>
      </c>
      <c r="L116" s="145">
        <f>K116*J116</f>
        <v>885.78</v>
      </c>
      <c r="M116" s="144">
        <f>AVERAGE(D116:E116)</f>
        <v>661.67</v>
      </c>
      <c r="N116" s="143">
        <f>AVERAGE(G116:H116)</f>
        <v>645.57899999999995</v>
      </c>
      <c r="AM116" s="11">
        <f>1/$AC$8/100*M116*1000</f>
        <v>193.47076023391813</v>
      </c>
      <c r="AN116" s="11">
        <f>1/$AC$9/100*N116*1000</f>
        <v>169.44330708661414</v>
      </c>
      <c r="AO116">
        <f>AM116*AO$112</f>
        <v>158.64602339181286</v>
      </c>
    </row>
    <row r="118" spans="3:41" x14ac:dyDescent="0.25">
      <c r="M118">
        <f t="array" ref="M118:N120">LINEST(M114:M116,$L$114:$L$116,TRUE,TRUE)</f>
        <v>0.95910807590847547</v>
      </c>
      <c r="N118">
        <v>-182.95080346020779</v>
      </c>
    </row>
    <row r="119" spans="3:41" x14ac:dyDescent="0.25">
      <c r="M119">
        <v>0.12935058131866148</v>
      </c>
      <c r="N119">
        <v>104.72930660320328</v>
      </c>
    </row>
    <row r="120" spans="3:41" x14ac:dyDescent="0.25">
      <c r="M120">
        <v>0.98213621838584708</v>
      </c>
      <c r="N120">
        <v>13.825858832607096</v>
      </c>
    </row>
  </sheetData>
  <hyperlinks>
    <hyperlink ref="AF11" r:id="rId1" xr:uid="{8A2DA2CA-8653-4C53-87E3-009299B5C4C3}"/>
    <hyperlink ref="D24" r:id="rId2" xr:uid="{658437A8-E8D7-44D2-8C85-636CF441EB73}"/>
  </hyperlinks>
  <pageMargins left="0.7" right="0.7" top="0.75" bottom="0.75" header="0.3" footer="0.3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7BAE-9FE7-45C6-B318-3E42CF4C209D}">
  <dimension ref="A2:DQ138"/>
  <sheetViews>
    <sheetView topLeftCell="A19" workbookViewId="0">
      <selection activeCell="U33" sqref="U33"/>
    </sheetView>
  </sheetViews>
  <sheetFormatPr defaultColWidth="11.42578125" defaultRowHeight="15" x14ac:dyDescent="0.25"/>
  <cols>
    <col min="1" max="2" width="10.7109375" customWidth="1"/>
    <col min="4" max="54" width="8" customWidth="1"/>
    <col min="61" max="61" width="19.42578125" customWidth="1"/>
  </cols>
  <sheetData>
    <row r="2" spans="2:55" ht="18" thickBot="1" x14ac:dyDescent="0.35">
      <c r="B2" s="183" t="s">
        <v>339</v>
      </c>
      <c r="C2" s="183"/>
      <c r="D2" s="183"/>
      <c r="E2" s="183"/>
      <c r="F2" s="183"/>
    </row>
    <row r="3" spans="2:55" ht="15.75" thickTop="1" x14ac:dyDescent="0.25"/>
    <row r="9" spans="2:55" x14ac:dyDescent="0.25">
      <c r="G9" t="s">
        <v>338</v>
      </c>
      <c r="H9" t="s">
        <v>337</v>
      </c>
      <c r="I9" t="s">
        <v>336</v>
      </c>
    </row>
    <row r="10" spans="2:55" x14ac:dyDescent="0.25">
      <c r="B10" t="s">
        <v>335</v>
      </c>
      <c r="G10">
        <v>2009</v>
      </c>
      <c r="H10">
        <v>60.4</v>
      </c>
      <c r="I10" s="181">
        <v>61.096005114485806</v>
      </c>
      <c r="V10" t="s">
        <v>313</v>
      </c>
      <c r="AO10" t="s">
        <v>334</v>
      </c>
    </row>
    <row r="12" spans="2:55" ht="15.75" thickBot="1" x14ac:dyDescent="0.3">
      <c r="B12" t="s">
        <v>316</v>
      </c>
      <c r="D12" t="s">
        <v>288</v>
      </c>
      <c r="I12" t="s">
        <v>285</v>
      </c>
      <c r="N12">
        <v>450</v>
      </c>
      <c r="T12" t="s">
        <v>333</v>
      </c>
      <c r="V12" t="s">
        <v>288</v>
      </c>
      <c r="AA12" t="s">
        <v>285</v>
      </c>
      <c r="AF12">
        <v>450</v>
      </c>
      <c r="AM12" t="s">
        <v>332</v>
      </c>
      <c r="AO12" t="s">
        <v>288</v>
      </c>
      <c r="AT12" t="s">
        <v>285</v>
      </c>
      <c r="AY12">
        <v>450</v>
      </c>
    </row>
    <row r="13" spans="2:55" x14ac:dyDescent="0.25">
      <c r="C13">
        <v>2010</v>
      </c>
      <c r="D13" s="78">
        <v>2015</v>
      </c>
      <c r="E13" s="201">
        <v>2020</v>
      </c>
      <c r="F13" s="201">
        <v>2025</v>
      </c>
      <c r="G13" s="201">
        <v>2030</v>
      </c>
      <c r="H13" s="200">
        <v>2035</v>
      </c>
      <c r="I13" s="78">
        <v>2015</v>
      </c>
      <c r="J13" s="201">
        <v>2020</v>
      </c>
      <c r="K13" s="201">
        <v>2025</v>
      </c>
      <c r="L13" s="201">
        <v>2030</v>
      </c>
      <c r="M13" s="200">
        <v>2035</v>
      </c>
      <c r="N13" s="78">
        <v>2015</v>
      </c>
      <c r="O13" s="201">
        <v>2020</v>
      </c>
      <c r="P13" s="201">
        <v>2025</v>
      </c>
      <c r="Q13" s="201">
        <v>2030</v>
      </c>
      <c r="R13" s="200">
        <v>2035</v>
      </c>
      <c r="U13">
        <v>2011</v>
      </c>
      <c r="V13" s="78">
        <v>2015</v>
      </c>
      <c r="W13" s="201">
        <v>2020</v>
      </c>
      <c r="X13" s="201">
        <v>2025</v>
      </c>
      <c r="Y13" s="201">
        <v>2030</v>
      </c>
      <c r="Z13" s="200">
        <v>2035</v>
      </c>
      <c r="AA13" s="78">
        <v>2015</v>
      </c>
      <c r="AB13" s="201">
        <v>2020</v>
      </c>
      <c r="AC13" s="201">
        <v>2025</v>
      </c>
      <c r="AD13" s="201">
        <v>2030</v>
      </c>
      <c r="AE13" s="200">
        <v>2035</v>
      </c>
      <c r="AF13" s="78">
        <v>2015</v>
      </c>
      <c r="AG13" s="201">
        <v>2020</v>
      </c>
      <c r="AH13" s="201">
        <v>2025</v>
      </c>
      <c r="AI13" s="201">
        <v>2030</v>
      </c>
      <c r="AJ13" s="200">
        <v>2035</v>
      </c>
      <c r="AN13">
        <v>2012</v>
      </c>
      <c r="AO13" s="78">
        <v>2015</v>
      </c>
      <c r="AP13" s="201">
        <v>2020</v>
      </c>
      <c r="AQ13" s="201">
        <v>2025</v>
      </c>
      <c r="AR13" s="201">
        <v>2030</v>
      </c>
      <c r="AS13" s="200">
        <v>2035</v>
      </c>
      <c r="AT13" s="78">
        <v>2015</v>
      </c>
      <c r="AU13" s="201">
        <v>2020</v>
      </c>
      <c r="AV13" s="201">
        <v>2025</v>
      </c>
      <c r="AW13" s="201">
        <v>2030</v>
      </c>
      <c r="AX13" s="200">
        <v>2035</v>
      </c>
      <c r="AY13" s="78">
        <v>2015</v>
      </c>
      <c r="AZ13" s="201">
        <v>2020</v>
      </c>
      <c r="BA13" s="201">
        <v>2025</v>
      </c>
      <c r="BB13" s="201">
        <v>2030</v>
      </c>
      <c r="BC13" s="200">
        <v>2035</v>
      </c>
    </row>
    <row r="14" spans="2:55" x14ac:dyDescent="0.25">
      <c r="B14" t="s">
        <v>331</v>
      </c>
      <c r="C14">
        <v>78.099999999999994</v>
      </c>
      <c r="D14" s="109">
        <v>102</v>
      </c>
      <c r="E14">
        <v>108.6</v>
      </c>
      <c r="F14">
        <v>113.6</v>
      </c>
      <c r="G14">
        <v>117.3</v>
      </c>
      <c r="H14" s="207">
        <v>120</v>
      </c>
      <c r="I14" s="109">
        <v>106.3</v>
      </c>
      <c r="J14">
        <v>118.1</v>
      </c>
      <c r="K14">
        <v>127.3</v>
      </c>
      <c r="L14">
        <v>134.5</v>
      </c>
      <c r="M14" s="207">
        <v>140</v>
      </c>
      <c r="N14" s="109">
        <v>97</v>
      </c>
      <c r="O14">
        <v>97</v>
      </c>
      <c r="P14">
        <v>97</v>
      </c>
      <c r="Q14">
        <v>97</v>
      </c>
      <c r="R14" s="207">
        <v>97</v>
      </c>
      <c r="T14" t="s">
        <v>331</v>
      </c>
      <c r="U14">
        <v>107.6</v>
      </c>
      <c r="V14" s="109">
        <v>116</v>
      </c>
      <c r="W14">
        <v>119.5</v>
      </c>
      <c r="X14">
        <v>121.9</v>
      </c>
      <c r="Y14">
        <v>123.6</v>
      </c>
      <c r="Z14" s="207">
        <v>125</v>
      </c>
      <c r="AA14" s="109">
        <v>118.4</v>
      </c>
      <c r="AB14">
        <v>128.30000000000001</v>
      </c>
      <c r="AC14">
        <v>135.6</v>
      </c>
      <c r="AD14">
        <v>141.1</v>
      </c>
      <c r="AE14" s="207">
        <v>145</v>
      </c>
      <c r="AF14" s="109">
        <v>115.3</v>
      </c>
      <c r="AG14">
        <v>113.3</v>
      </c>
      <c r="AH14">
        <v>109.1</v>
      </c>
      <c r="AI14">
        <v>104.7</v>
      </c>
      <c r="AJ14" s="207">
        <v>100</v>
      </c>
      <c r="AM14" t="s">
        <v>331</v>
      </c>
      <c r="AN14">
        <v>109</v>
      </c>
      <c r="AO14" s="109">
        <f>(AN14*5+AP14*3)/8</f>
        <v>110.5</v>
      </c>
      <c r="AP14" s="109">
        <v>113</v>
      </c>
      <c r="AQ14">
        <v>116</v>
      </c>
      <c r="AR14">
        <v>121</v>
      </c>
      <c r="AS14" s="207">
        <v>128</v>
      </c>
      <c r="AT14" s="208">
        <f>(AN14*5+AU14*3)/8</f>
        <v>113.125</v>
      </c>
      <c r="AU14">
        <v>120</v>
      </c>
      <c r="AV14">
        <v>127</v>
      </c>
      <c r="AW14">
        <v>136</v>
      </c>
      <c r="AX14" s="207">
        <v>145</v>
      </c>
      <c r="AY14" s="208">
        <f>(AN14*5+AZ14*3)/8</f>
        <v>109.375</v>
      </c>
      <c r="AZ14">
        <v>110</v>
      </c>
      <c r="BA14">
        <v>107</v>
      </c>
      <c r="BB14">
        <v>104</v>
      </c>
      <c r="BC14" s="207">
        <v>100</v>
      </c>
    </row>
    <row r="15" spans="2:55" x14ac:dyDescent="0.25">
      <c r="B15" t="s">
        <v>330</v>
      </c>
      <c r="D15" s="109"/>
      <c r="H15" s="207"/>
      <c r="I15" s="109"/>
      <c r="M15" s="207"/>
      <c r="N15" s="109"/>
      <c r="R15" s="207"/>
      <c r="T15" t="s">
        <v>330</v>
      </c>
      <c r="V15" s="109"/>
      <c r="Z15" s="207"/>
      <c r="AA15" s="109"/>
      <c r="AE15" s="207"/>
      <c r="AF15" s="109"/>
      <c r="AJ15" s="207"/>
      <c r="AM15" t="s">
        <v>330</v>
      </c>
      <c r="AO15" s="109"/>
      <c r="AP15" s="109"/>
      <c r="AS15" s="207"/>
      <c r="AT15" s="109"/>
      <c r="AX15" s="207"/>
      <c r="AY15" s="109"/>
      <c r="BC15" s="207"/>
    </row>
    <row r="16" spans="2:55" x14ac:dyDescent="0.25">
      <c r="B16" t="s">
        <v>320</v>
      </c>
      <c r="C16">
        <v>4.4000000000000004</v>
      </c>
      <c r="D16" s="109">
        <v>6</v>
      </c>
      <c r="E16">
        <v>6.7</v>
      </c>
      <c r="F16">
        <v>7.3</v>
      </c>
      <c r="G16">
        <v>7.9</v>
      </c>
      <c r="H16" s="207">
        <v>8.6</v>
      </c>
      <c r="I16" s="109">
        <v>6.1</v>
      </c>
      <c r="J16">
        <v>7</v>
      </c>
      <c r="K16">
        <v>7.7</v>
      </c>
      <c r="L16">
        <v>8.4</v>
      </c>
      <c r="M16" s="207">
        <v>9</v>
      </c>
      <c r="N16" s="109">
        <v>5.9</v>
      </c>
      <c r="O16">
        <v>6.5</v>
      </c>
      <c r="P16">
        <v>8</v>
      </c>
      <c r="Q16">
        <v>8.4</v>
      </c>
      <c r="R16" s="207">
        <v>7.8</v>
      </c>
      <c r="T16" t="s">
        <v>320</v>
      </c>
      <c r="U16">
        <v>4.0999999999999996</v>
      </c>
      <c r="V16" s="109">
        <v>4.5999999999999996</v>
      </c>
      <c r="W16">
        <v>5.4</v>
      </c>
      <c r="X16">
        <v>6.3</v>
      </c>
      <c r="Y16">
        <v>7.1</v>
      </c>
      <c r="Z16" s="207">
        <v>8</v>
      </c>
      <c r="AA16" s="109">
        <v>4.5999999999999996</v>
      </c>
      <c r="AB16">
        <v>5.5</v>
      </c>
      <c r="AC16">
        <v>6.4</v>
      </c>
      <c r="AD16">
        <v>7.2</v>
      </c>
      <c r="AE16" s="207">
        <v>8</v>
      </c>
      <c r="AF16" s="109">
        <v>4.4000000000000004</v>
      </c>
      <c r="AG16">
        <v>5.5</v>
      </c>
      <c r="AH16">
        <v>6.9</v>
      </c>
      <c r="AI16">
        <v>7.6</v>
      </c>
      <c r="AJ16" s="207">
        <v>7.6</v>
      </c>
      <c r="AM16" t="s">
        <v>320</v>
      </c>
      <c r="AN16">
        <v>2.7</v>
      </c>
      <c r="AO16" s="209">
        <f>(AN16*5+AP16*3)/8</f>
        <v>3.5999999999999996</v>
      </c>
      <c r="AP16" s="109">
        <v>5.0999999999999996</v>
      </c>
      <c r="AQ16">
        <v>5.6</v>
      </c>
      <c r="AR16">
        <v>6</v>
      </c>
      <c r="AS16" s="207">
        <v>6.8</v>
      </c>
      <c r="AT16" s="208">
        <f>(AN16*5+AU16*3)/8</f>
        <v>3.6375000000000002</v>
      </c>
      <c r="AU16">
        <v>5.2</v>
      </c>
      <c r="AV16">
        <v>5.8</v>
      </c>
      <c r="AW16">
        <v>6.2</v>
      </c>
      <c r="AX16" s="207">
        <v>6.9</v>
      </c>
      <c r="AY16" s="208">
        <f>(AN16*5+AZ16*3)/8</f>
        <v>3.4874999999999998</v>
      </c>
      <c r="AZ16">
        <v>4.8</v>
      </c>
      <c r="BA16">
        <v>5.4</v>
      </c>
      <c r="BB16">
        <v>5.7</v>
      </c>
      <c r="BC16" s="207">
        <v>5.9</v>
      </c>
    </row>
    <row r="17" spans="2:68" x14ac:dyDescent="0.25">
      <c r="B17" t="s">
        <v>319</v>
      </c>
      <c r="C17">
        <v>7.5</v>
      </c>
      <c r="D17" s="109">
        <v>9.6</v>
      </c>
      <c r="E17">
        <v>10.4</v>
      </c>
      <c r="F17">
        <v>11.1</v>
      </c>
      <c r="G17">
        <v>11.7</v>
      </c>
      <c r="H17" s="207">
        <v>12.1</v>
      </c>
      <c r="I17" s="109">
        <v>9.8000000000000007</v>
      </c>
      <c r="J17">
        <v>11</v>
      </c>
      <c r="K17">
        <v>11.9</v>
      </c>
      <c r="L17">
        <v>12.6</v>
      </c>
      <c r="M17" s="207">
        <v>13</v>
      </c>
      <c r="N17" s="109">
        <v>9.4</v>
      </c>
      <c r="O17">
        <v>9.8000000000000007</v>
      </c>
      <c r="P17">
        <v>9.8000000000000007</v>
      </c>
      <c r="Q17">
        <v>9.6999999999999993</v>
      </c>
      <c r="R17" s="207">
        <v>9.4</v>
      </c>
      <c r="T17" t="s">
        <v>319</v>
      </c>
      <c r="U17">
        <v>9.6</v>
      </c>
      <c r="V17" s="109">
        <v>11</v>
      </c>
      <c r="W17">
        <v>11.5</v>
      </c>
      <c r="X17">
        <v>11.9</v>
      </c>
      <c r="Y17">
        <v>12.2</v>
      </c>
      <c r="Z17" s="207">
        <v>12.5</v>
      </c>
      <c r="AA17" s="109">
        <v>11.1</v>
      </c>
      <c r="AB17">
        <v>12.1</v>
      </c>
      <c r="AC17">
        <v>12.9</v>
      </c>
      <c r="AD17">
        <v>13.4</v>
      </c>
      <c r="AE17" s="207">
        <v>13.7</v>
      </c>
      <c r="AF17" s="109">
        <v>10.9</v>
      </c>
      <c r="AG17">
        <v>10.8</v>
      </c>
      <c r="AH17">
        <v>10.4</v>
      </c>
      <c r="AI17">
        <v>10</v>
      </c>
      <c r="AJ17" s="207">
        <v>9.6</v>
      </c>
      <c r="AM17" t="s">
        <v>319</v>
      </c>
      <c r="AN17">
        <v>11.7</v>
      </c>
      <c r="AO17" s="209">
        <f>(AN17*5+AP17*3)/8</f>
        <v>11.775</v>
      </c>
      <c r="AP17" s="109">
        <v>11.9</v>
      </c>
      <c r="AQ17">
        <v>12</v>
      </c>
      <c r="AR17">
        <v>12.3</v>
      </c>
      <c r="AS17" s="207">
        <v>12.7</v>
      </c>
      <c r="AT17" s="208">
        <f>(AN17*5+AU17*3)/8</f>
        <v>11.9625</v>
      </c>
      <c r="AU17">
        <v>12.4</v>
      </c>
      <c r="AV17">
        <v>12.9</v>
      </c>
      <c r="AW17">
        <v>13.4</v>
      </c>
      <c r="AX17" s="207">
        <v>14</v>
      </c>
      <c r="AY17" s="208">
        <f>(AN17*5+AZ17*3)/8</f>
        <v>11.625</v>
      </c>
      <c r="AZ17">
        <v>11.5</v>
      </c>
      <c r="BA17">
        <v>11</v>
      </c>
      <c r="BB17">
        <v>10.199999999999999</v>
      </c>
      <c r="BC17" s="207">
        <v>9.5</v>
      </c>
      <c r="BJ17">
        <v>2010</v>
      </c>
      <c r="BK17">
        <f>BJ17+5</f>
        <v>2015</v>
      </c>
      <c r="BL17">
        <v>2020</v>
      </c>
      <c r="BM17">
        <v>2025</v>
      </c>
      <c r="BN17">
        <v>2030</v>
      </c>
      <c r="BO17">
        <v>2035</v>
      </c>
      <c r="BP17">
        <v>2040</v>
      </c>
    </row>
    <row r="18" spans="2:68" x14ac:dyDescent="0.25">
      <c r="B18" t="s">
        <v>318</v>
      </c>
      <c r="C18">
        <v>11</v>
      </c>
      <c r="D18" s="109">
        <v>12.2</v>
      </c>
      <c r="E18">
        <v>12.9</v>
      </c>
      <c r="F18">
        <v>13.4</v>
      </c>
      <c r="G18">
        <v>13.9</v>
      </c>
      <c r="H18" s="207">
        <v>14.3</v>
      </c>
      <c r="I18" s="109">
        <v>12.7</v>
      </c>
      <c r="J18">
        <v>13.5</v>
      </c>
      <c r="K18">
        <v>14.2</v>
      </c>
      <c r="L18">
        <v>14.8</v>
      </c>
      <c r="M18" s="207">
        <v>15.2</v>
      </c>
      <c r="N18" s="109">
        <v>11.9</v>
      </c>
      <c r="O18">
        <v>12</v>
      </c>
      <c r="P18">
        <v>12</v>
      </c>
      <c r="Q18">
        <v>12.1</v>
      </c>
      <c r="R18" s="207">
        <v>12.1</v>
      </c>
      <c r="T18" t="s">
        <v>318</v>
      </c>
      <c r="U18">
        <v>14.8</v>
      </c>
      <c r="V18" s="109">
        <v>15</v>
      </c>
      <c r="W18">
        <v>14.3</v>
      </c>
      <c r="X18">
        <v>14.5</v>
      </c>
      <c r="Y18">
        <v>14.7</v>
      </c>
      <c r="Z18" s="207">
        <v>14.8</v>
      </c>
      <c r="AA18" s="109">
        <v>15.3</v>
      </c>
      <c r="AB18">
        <v>14.7</v>
      </c>
      <c r="AC18">
        <v>15.2</v>
      </c>
      <c r="AD18">
        <v>15.6</v>
      </c>
      <c r="AE18" s="207">
        <v>16</v>
      </c>
      <c r="AF18" s="109">
        <v>14.9</v>
      </c>
      <c r="AG18">
        <v>13.5</v>
      </c>
      <c r="AH18">
        <v>12.9</v>
      </c>
      <c r="AI18">
        <v>12.5</v>
      </c>
      <c r="AJ18" s="207">
        <v>12.2</v>
      </c>
      <c r="AM18" t="s">
        <v>318</v>
      </c>
      <c r="AN18">
        <v>16.899999999999999</v>
      </c>
      <c r="AO18" s="209">
        <f>(AN18*5+AP18*3)/8</f>
        <v>15.887499999999999</v>
      </c>
      <c r="AP18" s="109">
        <v>14.2</v>
      </c>
      <c r="AQ18">
        <v>14.2</v>
      </c>
      <c r="AR18">
        <v>14.4</v>
      </c>
      <c r="AS18" s="207">
        <v>14.9</v>
      </c>
      <c r="AT18" s="208">
        <f>(AN18*5+AU18*3)/8</f>
        <v>16.074999999999999</v>
      </c>
      <c r="AU18">
        <v>14.7</v>
      </c>
      <c r="AV18">
        <v>15.2</v>
      </c>
      <c r="AW18">
        <v>15.9</v>
      </c>
      <c r="AX18" s="207">
        <v>16.7</v>
      </c>
      <c r="AY18" s="208">
        <f>(AN18*5+AZ18*3)/8</f>
        <v>15.5875</v>
      </c>
      <c r="AZ18">
        <v>13.4</v>
      </c>
      <c r="BA18">
        <v>12.8</v>
      </c>
      <c r="BB18">
        <v>12.2</v>
      </c>
      <c r="BC18" s="207">
        <v>11.7</v>
      </c>
      <c r="BI18" t="s">
        <v>108</v>
      </c>
      <c r="BJ18">
        <v>12.09</v>
      </c>
      <c r="BK18">
        <v>15.98453488</v>
      </c>
      <c r="BL18">
        <v>19.88</v>
      </c>
      <c r="BM18">
        <v>21.242425820000001</v>
      </c>
      <c r="BN18">
        <v>22.6</v>
      </c>
      <c r="BO18">
        <v>23.378894710000001</v>
      </c>
      <c r="BP18">
        <v>24.154876730000002</v>
      </c>
    </row>
    <row r="19" spans="2:68" ht="15.75" thickBot="1" x14ac:dyDescent="0.3">
      <c r="B19" t="s">
        <v>329</v>
      </c>
      <c r="C19">
        <v>99.2</v>
      </c>
      <c r="D19" s="205">
        <v>103.7</v>
      </c>
      <c r="E19" s="86">
        <v>106.3</v>
      </c>
      <c r="F19" s="86">
        <v>108.1</v>
      </c>
      <c r="G19" s="86">
        <v>109.3</v>
      </c>
      <c r="H19" s="204">
        <v>110</v>
      </c>
      <c r="I19" s="205">
        <v>104.6</v>
      </c>
      <c r="J19" s="86">
        <v>109</v>
      </c>
      <c r="K19" s="86">
        <v>112.8</v>
      </c>
      <c r="L19" s="86">
        <v>115.9</v>
      </c>
      <c r="M19" s="204">
        <v>118.4</v>
      </c>
      <c r="N19" s="205">
        <v>100.3</v>
      </c>
      <c r="O19" s="86">
        <v>93.3</v>
      </c>
      <c r="P19" s="86">
        <v>83.2</v>
      </c>
      <c r="Q19" s="86">
        <v>73.7</v>
      </c>
      <c r="R19" s="204">
        <v>67.7</v>
      </c>
      <c r="T19" t="s">
        <v>329</v>
      </c>
      <c r="U19">
        <v>123.4</v>
      </c>
      <c r="V19" s="205">
        <v>108.5</v>
      </c>
      <c r="W19" s="86">
        <v>112</v>
      </c>
      <c r="X19" s="86">
        <v>113</v>
      </c>
      <c r="Y19" s="86">
        <v>114</v>
      </c>
      <c r="Z19" s="204">
        <v>115</v>
      </c>
      <c r="AA19" s="205">
        <v>110</v>
      </c>
      <c r="AB19" s="86">
        <v>115</v>
      </c>
      <c r="AC19" s="86">
        <v>119.2</v>
      </c>
      <c r="AD19" s="86">
        <v>122.5</v>
      </c>
      <c r="AE19" s="204">
        <v>125</v>
      </c>
      <c r="AF19" s="205">
        <v>105.3</v>
      </c>
      <c r="AG19" s="86">
        <v>97.5</v>
      </c>
      <c r="AH19" s="86">
        <v>89</v>
      </c>
      <c r="AI19" s="86">
        <v>78</v>
      </c>
      <c r="AJ19" s="204">
        <v>70</v>
      </c>
      <c r="AM19" t="s">
        <v>329</v>
      </c>
      <c r="AN19">
        <v>99</v>
      </c>
      <c r="AO19" s="206">
        <f>(AN19*5+AP19*3)/8</f>
        <v>101.625</v>
      </c>
      <c r="AP19" s="205">
        <v>106</v>
      </c>
      <c r="AQ19" s="86">
        <v>109</v>
      </c>
      <c r="AR19" s="86">
        <v>110</v>
      </c>
      <c r="AS19" s="204">
        <v>110</v>
      </c>
      <c r="AT19" s="205">
        <f>(AN19*5+AU19*3)/8</f>
        <v>103.875</v>
      </c>
      <c r="AU19" s="86">
        <v>112</v>
      </c>
      <c r="AV19" s="86">
        <v>116</v>
      </c>
      <c r="AW19" s="204">
        <v>118</v>
      </c>
      <c r="AX19" s="205">
        <v>120</v>
      </c>
      <c r="AY19" s="86">
        <f>(AN19*5+AZ19*3)/8</f>
        <v>99.75</v>
      </c>
      <c r="AZ19" s="86">
        <v>101</v>
      </c>
      <c r="BA19" s="86">
        <v>95</v>
      </c>
      <c r="BB19" s="86">
        <v>86</v>
      </c>
      <c r="BC19" s="204">
        <v>75</v>
      </c>
      <c r="BI19" t="s">
        <v>328</v>
      </c>
      <c r="BJ19">
        <v>6.05</v>
      </c>
      <c r="BK19">
        <v>7.99</v>
      </c>
      <c r="BL19">
        <v>9.94</v>
      </c>
      <c r="BM19">
        <v>10.62</v>
      </c>
      <c r="BN19">
        <v>11.3</v>
      </c>
      <c r="BO19">
        <v>11.69</v>
      </c>
      <c r="BP19">
        <v>12.08</v>
      </c>
    </row>
    <row r="20" spans="2:68" x14ac:dyDescent="0.25">
      <c r="D20" s="11">
        <f>(D19/C19)/(D14/C14)</f>
        <v>0.80042002688172043</v>
      </c>
      <c r="E20" s="11">
        <f>(E19/D19)/(E14/D14)</f>
        <v>0.96277511095009505</v>
      </c>
      <c r="F20" s="11">
        <f>(F19/E19)/(F14/E14)</f>
        <v>0.97217382375154016</v>
      </c>
      <c r="G20" s="11">
        <f>(G19/F19)/(G14/F14)</f>
        <v>0.97920762642023396</v>
      </c>
      <c r="H20" s="11">
        <f>(H19/G19)/(H14/G14)</f>
        <v>0.98376029277218657</v>
      </c>
      <c r="I20" s="11">
        <f>(I19/C19)/(I14/C14)</f>
        <v>0.77470753800867898</v>
      </c>
      <c r="J20" s="11">
        <f>(J19/I19)/(J14/I14)</f>
        <v>0.93794674442212023</v>
      </c>
      <c r="K20" s="11">
        <f>(K19/J19)/(K14/J14)</f>
        <v>0.96007264498367662</v>
      </c>
      <c r="L20" s="11">
        <f>(L19/K19)/(L14/K14)</f>
        <v>0.97247950117324478</v>
      </c>
      <c r="M20" s="11">
        <f>(M19/L19)/(M14/L14)</f>
        <v>0.98143719955626774</v>
      </c>
      <c r="N20" s="11">
        <f>(N19/C19)/(N14/C14)</f>
        <v>0.81408276521449929</v>
      </c>
      <c r="O20" s="11">
        <f>(O19/N19)/(O14/N14)</f>
        <v>0.93020937188434694</v>
      </c>
      <c r="P20" s="11">
        <f>(P19/O19)/(P14/O14)</f>
        <v>0.89174705251875674</v>
      </c>
      <c r="Q20" s="11">
        <f>(Q19/P19)/(Q14/P14)</f>
        <v>0.88581730769230771</v>
      </c>
      <c r="R20" s="11">
        <f>(R19/Q19)/(R14/Q14)</f>
        <v>0.91858887381275445</v>
      </c>
      <c r="V20" s="11">
        <f>(V19/U19)/(V14/U14)</f>
        <v>0.8155843067121219</v>
      </c>
      <c r="W20" s="11">
        <f>(W19/V19)/(W14/V14)</f>
        <v>1.0020245647185855</v>
      </c>
      <c r="X20" s="11">
        <f>(X19/W19)/(X14/W14)</f>
        <v>0.98906451423883734</v>
      </c>
      <c r="Y20" s="11">
        <f>(Y19/X19)/(Y14/X14)</f>
        <v>0.99497379499957062</v>
      </c>
      <c r="Z20" s="11">
        <f>(Z19/Y19)/(Z14/Y14)</f>
        <v>0.99747368421052618</v>
      </c>
      <c r="AA20" s="11">
        <f>(AA19/U19)/(AA14/U14)</f>
        <v>0.8100989968899206</v>
      </c>
      <c r="AB20" s="11">
        <f>(AB19/AA19)/(AB14/AA14)</f>
        <v>0.96478424147948694</v>
      </c>
      <c r="AC20" s="11">
        <f>(AC19/AB19)/(AC14/AB14)</f>
        <v>0.98072079004745438</v>
      </c>
      <c r="AD20" s="11">
        <f>(AD19/AC19)/(AD14/AC14)</f>
        <v>0.98762598756653142</v>
      </c>
      <c r="AE20" s="11">
        <f>(AE19/AD19)/(AE14/AD14)</f>
        <v>0.99296270232230821</v>
      </c>
      <c r="AF20" s="11">
        <f>(AF19/U19)/(AF14/U14)</f>
        <v>0.79633568128242704</v>
      </c>
      <c r="AG20" s="11">
        <f>(AG19/AF19)/(AG14/AF14)</f>
        <v>0.94227060246477723</v>
      </c>
      <c r="AH20" s="11">
        <f>(AH19/AG19)/(AH14/AG14)</f>
        <v>0.94796117417565628</v>
      </c>
      <c r="AI20" s="11">
        <f>(AI19/AH19)/(AI14/AH14)</f>
        <v>0.91323524677247991</v>
      </c>
      <c r="AJ20" s="11">
        <f>(AJ19/AI19)/(AJ14/AI14)</f>
        <v>0.93961538461538463</v>
      </c>
      <c r="AM20" t="s">
        <v>327</v>
      </c>
      <c r="AO20" s="11">
        <f>(AO19/AN19)/(AO14/AN14)</f>
        <v>1.0125805566982038</v>
      </c>
      <c r="AP20" s="11">
        <f>(AP19/AO19)/(AP14/AO14)</f>
        <v>1.0199740935462454</v>
      </c>
      <c r="AQ20" s="11">
        <f>(AQ19/AP19)/(AQ14/AP14)</f>
        <v>1.0017078724788551</v>
      </c>
      <c r="AR20" s="11">
        <f>(AR19/AQ19)/(AR14/AQ14)</f>
        <v>0.96747289407839854</v>
      </c>
      <c r="AS20" s="11">
        <f>(AS19/AR19)/(AS14/AR14)</f>
        <v>0.9453125</v>
      </c>
      <c r="AT20" s="11">
        <f>(AT19/AN19)/(AT14/AN14)</f>
        <v>1.0109827557341371</v>
      </c>
      <c r="AU20" s="11">
        <f>(AU19/AT19)/(AU14/AT14)</f>
        <v>1.0164460489370237</v>
      </c>
      <c r="AV20" s="11">
        <f>(AV19/AU19)/(AV14/AU14)</f>
        <v>0.97862767154105745</v>
      </c>
      <c r="AW20" s="11">
        <f>(AW19/AV19)/(AW14/AV14)</f>
        <v>0.9499239350912777</v>
      </c>
      <c r="AX20" s="11">
        <f>(AX19/AW19)/(AX14/AW14)</f>
        <v>0.95382817066043246</v>
      </c>
      <c r="AY20" s="11">
        <f>(AY19/AN19)/(AY14/AN14)</f>
        <v>1.0041212121212122</v>
      </c>
      <c r="AZ20" s="11">
        <f>(AZ19/AY19)/(AZ14/AY14)</f>
        <v>1.0067783094098883</v>
      </c>
      <c r="BA20" s="11">
        <f>(BA19/AZ19)/(BA14/AZ14)</f>
        <v>0.96696585546405101</v>
      </c>
      <c r="BB20" s="11">
        <f>(BB19/BA19)/(BB14/BA14)</f>
        <v>0.93137651821862355</v>
      </c>
      <c r="BC20" s="11">
        <f>(BC19/BB19)/(BC14/BB14)</f>
        <v>0.90697674418604646</v>
      </c>
      <c r="BI20" t="s">
        <v>99</v>
      </c>
      <c r="BJ20">
        <v>133.65790498578201</v>
      </c>
      <c r="BK20">
        <v>144.66341308052401</v>
      </c>
      <c r="BL20">
        <v>165.92115951130501</v>
      </c>
      <c r="BM20">
        <v>184.993407949881</v>
      </c>
      <c r="BN20">
        <v>206.056227652074</v>
      </c>
      <c r="BO20">
        <v>229.741908114235</v>
      </c>
      <c r="BP20">
        <v>257.405837873981</v>
      </c>
    </row>
    <row r="21" spans="2:68" x14ac:dyDescent="0.25">
      <c r="AM21" t="s">
        <v>326</v>
      </c>
      <c r="AO21" s="11">
        <f>(AO17/AN17)/(AO14/AN14)</f>
        <v>0.99274857872142952</v>
      </c>
      <c r="AP21" s="11">
        <f>(AP17/AO17)/(AP14/AO14)</f>
        <v>0.98825695657892276</v>
      </c>
      <c r="AQ21" s="11">
        <f>(AQ17/AP17)/(AQ14/AP14)</f>
        <v>0.98232396406838596</v>
      </c>
      <c r="AR21" s="11">
        <f>(AR17/AQ17)/(AR14/AQ14)</f>
        <v>0.98264462809917363</v>
      </c>
      <c r="AS21" s="11">
        <f>(AS17/AR17)/(AS14/AR14)</f>
        <v>0.97605436991869909</v>
      </c>
      <c r="AT21" s="11">
        <f>(AT17/AN17)/(AT14/AN14)</f>
        <v>0.98515370449072126</v>
      </c>
      <c r="AU21" s="11">
        <f>(AU17/AT17)/(AU14/AT14)</f>
        <v>0.97718564959944276</v>
      </c>
      <c r="AV21" s="11">
        <f>(AV17/AU17)/(AV14/AU14)</f>
        <v>0.98298196596393184</v>
      </c>
      <c r="AW21" s="11">
        <f>(AW17/AV17)/(AW14/AV14)</f>
        <v>0.9700182398540812</v>
      </c>
      <c r="AX21" s="11">
        <f>(AX17/AW17)/(AX14/AW14)</f>
        <v>0.97992794647452386</v>
      </c>
      <c r="AY21" s="11">
        <f>(AY17/AN17)/(AY14/AN14)</f>
        <v>0.99018315018315028</v>
      </c>
      <c r="AZ21" s="11">
        <f>(AZ17/AY17)/(AZ14/AY14)</f>
        <v>0.98362658846529805</v>
      </c>
      <c r="BA21" s="11">
        <f>(BA17/AZ17)/(BA14/AZ14)</f>
        <v>0.98334010564811047</v>
      </c>
      <c r="BB21" s="11">
        <f>(BB17/BA17)/(BB14/BA14)</f>
        <v>0.95402097902097904</v>
      </c>
      <c r="BC21" s="11">
        <f>(BC17/BB17)/(BC14/BB14)</f>
        <v>0.96862745098039216</v>
      </c>
      <c r="BI21" t="s">
        <v>325</v>
      </c>
      <c r="BJ21">
        <v>6.25</v>
      </c>
      <c r="BK21">
        <v>6.25</v>
      </c>
      <c r="BL21">
        <v>6.25</v>
      </c>
      <c r="BM21">
        <v>6.25</v>
      </c>
      <c r="BN21">
        <v>6.25</v>
      </c>
      <c r="BO21">
        <v>6.25</v>
      </c>
      <c r="BP21">
        <v>6.25</v>
      </c>
    </row>
    <row r="22" spans="2:68" x14ac:dyDescent="0.25">
      <c r="T22" t="s">
        <v>324</v>
      </c>
      <c r="U22" t="s">
        <v>323</v>
      </c>
      <c r="AM22" t="s">
        <v>324</v>
      </c>
      <c r="AN22" t="s">
        <v>323</v>
      </c>
      <c r="BI22" t="s">
        <v>322</v>
      </c>
      <c r="BJ22">
        <v>55.690793744075798</v>
      </c>
      <c r="BK22">
        <v>60.276422116885101</v>
      </c>
      <c r="BL22">
        <v>69.133816463043999</v>
      </c>
      <c r="BM22">
        <v>77.080586645783796</v>
      </c>
      <c r="BN22">
        <v>85.856761521697706</v>
      </c>
      <c r="BO22">
        <v>95.725795047598098</v>
      </c>
      <c r="BP22">
        <v>107.252432447492</v>
      </c>
    </row>
    <row r="23" spans="2:68" x14ac:dyDescent="0.25">
      <c r="B23" t="s">
        <v>321</v>
      </c>
      <c r="D23" s="194">
        <f>(D14/C14)^(1/(D13-C13))-1</f>
        <v>5.4847863469976943E-2</v>
      </c>
      <c r="E23" s="194">
        <f>(E14/D14)^(1/(E13-D13))-1</f>
        <v>1.2618670784016128E-2</v>
      </c>
      <c r="F23" s="194">
        <f>(F14/E14)^(1/(F13-E13))-1</f>
        <v>9.0430634103768615E-3</v>
      </c>
      <c r="G23" s="194">
        <f>(G14/F14)^(1/(G13-F13))-1</f>
        <v>6.4308394975671757E-3</v>
      </c>
      <c r="H23" s="194">
        <f>(H14/G14)^(1/(H13-G13))-1</f>
        <v>4.5617707655429829E-3</v>
      </c>
      <c r="I23" s="194">
        <f>(I14/C14)^(1/(I13-C13))-1</f>
        <v>6.3595389637669753E-2</v>
      </c>
      <c r="J23" s="194">
        <f>(J14/I14)^(1/(J13-I13))-1</f>
        <v>2.1276471530135677E-2</v>
      </c>
      <c r="K23" s="194">
        <f>(K14/J14)^(1/(K13-J13))-1</f>
        <v>1.5116065773516763E-2</v>
      </c>
      <c r="L23" s="194">
        <f>(L14/K14)^(1/(L13-K13))-1</f>
        <v>1.1064300287287665E-2</v>
      </c>
      <c r="M23" s="194">
        <f>(M14/L14)^(1/(M13-L13))-1</f>
        <v>8.0478560007939404E-3</v>
      </c>
      <c r="N23" s="194">
        <f>(N14/C14)^(1/(N13-C13))-1</f>
        <v>4.4297263758155792E-2</v>
      </c>
      <c r="O23" s="194">
        <f>(O14/N14)^(1/(O13-N13))-1</f>
        <v>0</v>
      </c>
      <c r="P23" s="194">
        <f>(P14/O14)^(1/(P13-O13))-1</f>
        <v>0</v>
      </c>
      <c r="Q23" s="194">
        <f>(Q14/P14)^(1/(Q13-P13))-1</f>
        <v>0</v>
      </c>
      <c r="R23" s="194">
        <f>(R14/Q14)^(1/(R13-Q13))-1</f>
        <v>0</v>
      </c>
      <c r="T23" s="193">
        <f>C14/I10-1</f>
        <v>0.27831598569580707</v>
      </c>
      <c r="U23" s="193">
        <v>0.34109185113451201</v>
      </c>
      <c r="V23" s="194">
        <f>(V14/U14)^(1/(V13-U13))-1</f>
        <v>1.8970074044000862E-2</v>
      </c>
      <c r="W23" s="194">
        <f>(W14/V14)^(1/(W13-V13))-1</f>
        <v>5.962944044239471E-3</v>
      </c>
      <c r="X23" s="194">
        <f>(X14/W14)^(1/(X13-W13))-1</f>
        <v>3.9848515148914743E-3</v>
      </c>
      <c r="Y23" s="194">
        <f>(Y14/X14)^(1/(Y13-X13))-1</f>
        <v>2.773741429406007E-3</v>
      </c>
      <c r="Z23" s="194">
        <f>(Z14/Y14)^(1/(Z13-Y13))-1</f>
        <v>2.2551775519457085E-3</v>
      </c>
      <c r="AA23" s="194">
        <f>(AA14/U14)^(1/(AA13-U13))-1</f>
        <v>2.4200203441211432E-2</v>
      </c>
      <c r="AB23" s="194">
        <f>(AB14/AA14)^(1/(AB13-AA13))-1</f>
        <v>1.6190173044798639E-2</v>
      </c>
      <c r="AC23" s="194">
        <f>(AC14/AB14)^(1/(AC13-AB13))-1</f>
        <v>1.1129093467930451E-2</v>
      </c>
      <c r="AD23" s="194">
        <f>(AD14/AC14)^(1/(AD13-AC13))-1</f>
        <v>7.9835969709516341E-3</v>
      </c>
      <c r="AE23" s="194">
        <f>(AE14/AD14)^(1/(AE13-AD13))-1</f>
        <v>5.4678712507574279E-3</v>
      </c>
      <c r="AF23" s="194">
        <f>(AF14/U14)^(1/(AF13-U13))-1</f>
        <v>1.7429343745218651E-2</v>
      </c>
      <c r="AG23" s="194">
        <f>(AG14/AF14)^(1/(AG13-AF13))-1</f>
        <v>-3.4935352041365331E-3</v>
      </c>
      <c r="AH23" s="194">
        <f>(AH14/AG14)^(1/(AH13-AG13))-1</f>
        <v>-7.5263888527359324E-3</v>
      </c>
      <c r="AI23" s="194">
        <f>(AI14/AH14)^(1/(AI13-AH13))-1</f>
        <v>-8.1993553946574371E-3</v>
      </c>
      <c r="AJ23" s="194">
        <f>(AJ14/AI14)^(1/(AJ13-AI13))-1</f>
        <v>-9.1437259266209381E-3</v>
      </c>
      <c r="AM23" s="193" t="e">
        <f>V14/AB10-1</f>
        <v>#DIV/0!</v>
      </c>
      <c r="AN23" s="193"/>
      <c r="AO23" s="194">
        <f>(AO14/AN14)^(1/(AO13-AN13))-1</f>
        <v>4.5662733738802697E-3</v>
      </c>
      <c r="AP23" s="194">
        <f>(AP14/AO14)^(1/(AP13-AO13))-1</f>
        <v>4.4844848921270497E-3</v>
      </c>
      <c r="AQ23" s="194">
        <f>(AQ14/AP14)^(1/(AQ13-AP13))-1</f>
        <v>5.2542297827959938E-3</v>
      </c>
      <c r="AR23" s="194">
        <f>(AR14/AQ14)^(1/(AR13-AQ13))-1</f>
        <v>8.4757887127040465E-3</v>
      </c>
      <c r="AS23" s="194">
        <f>(AS14/AR14)^(1/(AS13-AR13))-1</f>
        <v>1.1311439625934394E-2</v>
      </c>
      <c r="AT23" s="194">
        <f>(AT14/AN14)^(1/(AT13-AN13))-1</f>
        <v>1.2458812268670849E-2</v>
      </c>
      <c r="AU23" s="194">
        <f>(AU14/AT14)^(1/(AU13-AT13))-1</f>
        <v>1.1869558861851592E-2</v>
      </c>
      <c r="AV23" s="194">
        <f>(AV14/AU14)^(1/(AV13-AU13))-1</f>
        <v>1.1403599651385044E-2</v>
      </c>
      <c r="AW23" s="194">
        <f>(AW14/AV14)^(1/(AW13-AV13))-1</f>
        <v>1.3787746070069717E-2</v>
      </c>
      <c r="AX23" s="194">
        <f>(AX14/AW14)^(1/(AX13-AW13))-1</f>
        <v>1.2898245280189125E-2</v>
      </c>
      <c r="AY23" s="194">
        <f>(AY14/AN14)^(1/(AY13-AN13))-1</f>
        <v>1.1454763737035467E-3</v>
      </c>
      <c r="AZ23" s="194">
        <f>(AZ14/AY14)^(1/(AZ13-AY13))-1</f>
        <v>1.140253818557202E-3</v>
      </c>
      <c r="BA23" s="194">
        <f>(BA14/AZ14)^(1/(BA13-AZ13))-1</f>
        <v>-5.5150422735510407E-3</v>
      </c>
      <c r="BB23" s="194">
        <f>(BB14/BA14)^(1/(BB13-BA13))-1</f>
        <v>-5.6714433615395743E-3</v>
      </c>
      <c r="BC23" s="194">
        <f>(BC14/BB14)^(1/(BC13-BB13))-1</f>
        <v>-7.8134576287804958E-3</v>
      </c>
      <c r="BI23" t="s">
        <v>307</v>
      </c>
      <c r="BJ23">
        <f t="shared" ref="BJ23:BP27" si="0">SUMIF($BJ$61:$CO$61,BJ$17,$BJ62:$CO62)</f>
        <v>68.779678025794695</v>
      </c>
      <c r="BK23">
        <f t="shared" si="0"/>
        <v>73.365306398604005</v>
      </c>
      <c r="BL23">
        <f t="shared" si="0"/>
        <v>82.222700744763003</v>
      </c>
      <c r="BM23">
        <f t="shared" si="0"/>
        <v>90.169470927502701</v>
      </c>
      <c r="BN23">
        <f t="shared" si="0"/>
        <v>98.945645803416596</v>
      </c>
      <c r="BO23">
        <f t="shared" si="0"/>
        <v>108.814679329317</v>
      </c>
      <c r="BP23">
        <f t="shared" si="0"/>
        <v>120.341316729211</v>
      </c>
    </row>
    <row r="24" spans="2:68" x14ac:dyDescent="0.25">
      <c r="D24" s="203">
        <f>AVERAGE(D23:H23)</f>
        <v>1.7500441585496018E-2</v>
      </c>
      <c r="I24" s="203">
        <f>AVERAGE(I23:M23)</f>
        <v>2.3820016645880758E-2</v>
      </c>
      <c r="N24" s="203">
        <f>AVERAGE(N23:R23)</f>
        <v>8.8594527516311587E-3</v>
      </c>
      <c r="V24" s="203">
        <f>AVERAGE(V23:Z23)</f>
        <v>6.7893577168967045E-3</v>
      </c>
      <c r="AA24" s="203">
        <f>AVERAGE(AA23:AE23)</f>
        <v>1.2994187635129916E-2</v>
      </c>
      <c r="AF24" s="203">
        <f>AVERAGE(AF23:AJ23)</f>
        <v>-2.1867323265864378E-3</v>
      </c>
      <c r="AO24" s="203">
        <f>AVERAGE(AO23:AS23)</f>
        <v>6.8184432774883504E-3</v>
      </c>
      <c r="AT24" s="203">
        <f>AVERAGE(AT23:AX23)</f>
        <v>1.2483592426433265E-2</v>
      </c>
      <c r="AY24" s="203">
        <f>AVERAGE(AY23:BC23)</f>
        <v>-3.3428426143220723E-3</v>
      </c>
      <c r="BI24" t="s">
        <v>306</v>
      </c>
      <c r="BJ24">
        <f t="shared" si="0"/>
        <v>57.641519276979601</v>
      </c>
      <c r="BK24">
        <f t="shared" si="0"/>
        <v>61.310021975227002</v>
      </c>
      <c r="BL24">
        <f t="shared" si="0"/>
        <v>68.395937452154101</v>
      </c>
      <c r="BM24">
        <f t="shared" si="0"/>
        <v>74.753353598345996</v>
      </c>
      <c r="BN24">
        <f t="shared" si="0"/>
        <v>81.774293499077103</v>
      </c>
      <c r="BO24">
        <f t="shared" si="0"/>
        <v>89.6695203197974</v>
      </c>
      <c r="BP24">
        <f t="shared" si="0"/>
        <v>98.890830239712699</v>
      </c>
    </row>
    <row r="25" spans="2:68" x14ac:dyDescent="0.25">
      <c r="I25" s="203">
        <f>I24-D24</f>
        <v>6.3195750603847398E-3</v>
      </c>
      <c r="N25" s="203">
        <f>D24-N24</f>
        <v>8.6409888338648596E-3</v>
      </c>
      <c r="AA25" s="203">
        <f>AA24-V24</f>
        <v>6.2048299182332119E-3</v>
      </c>
      <c r="AF25" s="203">
        <f>V24-AF24</f>
        <v>8.9760900434831432E-3</v>
      </c>
      <c r="AT25" s="203">
        <f>AT24-AO24</f>
        <v>5.665149148944915E-3</v>
      </c>
      <c r="AY25" s="203">
        <f>AO24-AY24</f>
        <v>1.0161285891810423E-2</v>
      </c>
      <c r="BI25" t="s">
        <v>305</v>
      </c>
      <c r="BJ25">
        <f t="shared" si="0"/>
        <v>98.858897655040195</v>
      </c>
      <c r="BK25">
        <f t="shared" si="0"/>
        <v>101.61027467872501</v>
      </c>
      <c r="BL25">
        <f t="shared" si="0"/>
        <v>106.924711286421</v>
      </c>
      <c r="BM25">
        <f t="shared" si="0"/>
        <v>111.69277339606499</v>
      </c>
      <c r="BN25">
        <f t="shared" si="0"/>
        <v>116.958478321613</v>
      </c>
      <c r="BO25">
        <f t="shared" si="0"/>
        <v>122.879898437153</v>
      </c>
      <c r="BP25">
        <f t="shared" si="0"/>
        <v>129.79588087709001</v>
      </c>
    </row>
    <row r="26" spans="2:68" x14ac:dyDescent="0.25">
      <c r="B26" t="s">
        <v>320</v>
      </c>
      <c r="D26" s="202">
        <f t="shared" ref="D26:H29" si="1">D16/C16-1</f>
        <v>0.36363636363636354</v>
      </c>
      <c r="E26" s="202">
        <f t="shared" si="1"/>
        <v>0.1166666666666667</v>
      </c>
      <c r="F26" s="202">
        <f t="shared" si="1"/>
        <v>8.9552238805970186E-2</v>
      </c>
      <c r="G26" s="202">
        <f t="shared" si="1"/>
        <v>8.2191780821917915E-2</v>
      </c>
      <c r="H26" s="202">
        <f t="shared" si="1"/>
        <v>8.8607594936708667E-2</v>
      </c>
      <c r="I26" s="202">
        <f>I16/C16-1</f>
        <v>0.38636363636363624</v>
      </c>
      <c r="J26" s="202">
        <f t="shared" ref="J26:M29" si="2">J16/I16-1</f>
        <v>0.14754098360655754</v>
      </c>
      <c r="K26" s="202">
        <f t="shared" si="2"/>
        <v>0.10000000000000009</v>
      </c>
      <c r="L26" s="202">
        <f t="shared" si="2"/>
        <v>9.0909090909090828E-2</v>
      </c>
      <c r="M26" s="202">
        <f t="shared" si="2"/>
        <v>7.1428571428571397E-2</v>
      </c>
      <c r="N26" s="202">
        <f>N16/C16-1</f>
        <v>0.34090909090909083</v>
      </c>
      <c r="O26" s="202">
        <f t="shared" ref="O26:R29" si="3">O16/N16-1</f>
        <v>0.10169491525423724</v>
      </c>
      <c r="P26" s="202">
        <f t="shared" si="3"/>
        <v>0.23076923076923084</v>
      </c>
      <c r="Q26" s="202">
        <f t="shared" si="3"/>
        <v>5.0000000000000044E-2</v>
      </c>
      <c r="R26" s="202">
        <f t="shared" si="3"/>
        <v>-7.1428571428571508E-2</v>
      </c>
      <c r="V26" s="202">
        <f t="shared" ref="V26:Z29" si="4">V16/U16-1</f>
        <v>0.12195121951219523</v>
      </c>
      <c r="W26" s="202">
        <f t="shared" si="4"/>
        <v>0.17391304347826098</v>
      </c>
      <c r="X26" s="202">
        <f t="shared" si="4"/>
        <v>0.16666666666666652</v>
      </c>
      <c r="Y26" s="202">
        <f t="shared" si="4"/>
        <v>0.12698412698412698</v>
      </c>
      <c r="Z26" s="202">
        <f t="shared" si="4"/>
        <v>0.12676056338028174</v>
      </c>
      <c r="AA26" s="202">
        <f>AA16/U16-1</f>
        <v>0.12195121951219523</v>
      </c>
      <c r="AB26" s="202">
        <f t="shared" ref="AB26:AE29" si="5">AB16/AA16-1</f>
        <v>0.19565217391304368</v>
      </c>
      <c r="AC26" s="202">
        <f t="shared" si="5"/>
        <v>0.1636363636363638</v>
      </c>
      <c r="AD26" s="202">
        <f t="shared" si="5"/>
        <v>0.125</v>
      </c>
      <c r="AE26" s="202">
        <f t="shared" si="5"/>
        <v>0.11111111111111116</v>
      </c>
      <c r="AF26" s="202">
        <f>AF16/U16-1</f>
        <v>7.317073170731736E-2</v>
      </c>
      <c r="AG26" s="202">
        <f t="shared" ref="AG26:AJ29" si="6">AG16/AF16-1</f>
        <v>0.25</v>
      </c>
      <c r="AH26" s="202">
        <f t="shared" si="6"/>
        <v>0.25454545454545463</v>
      </c>
      <c r="AI26" s="202">
        <f t="shared" si="6"/>
        <v>0.10144927536231862</v>
      </c>
      <c r="AJ26" s="202">
        <f t="shared" si="6"/>
        <v>0</v>
      </c>
      <c r="AO26" s="202">
        <f t="shared" ref="AO26:AS29" si="7">AO16/AN16-1</f>
        <v>0.33333333333333304</v>
      </c>
      <c r="AP26" s="202">
        <f t="shared" si="7"/>
        <v>0.41666666666666674</v>
      </c>
      <c r="AQ26" s="202">
        <f t="shared" si="7"/>
        <v>9.8039215686274606E-2</v>
      </c>
      <c r="AR26" s="202">
        <f t="shared" si="7"/>
        <v>7.1428571428571397E-2</v>
      </c>
      <c r="AS26" s="202">
        <f t="shared" si="7"/>
        <v>0.1333333333333333</v>
      </c>
      <c r="AT26" s="202">
        <f>AT16/AN16-1</f>
        <v>0.3472222222222221</v>
      </c>
      <c r="AU26" s="202">
        <f t="shared" ref="AU26:AX29" si="8">AU16/AT16-1</f>
        <v>0.42955326460481102</v>
      </c>
      <c r="AV26" s="202">
        <f t="shared" si="8"/>
        <v>0.11538461538461542</v>
      </c>
      <c r="AW26" s="202">
        <f t="shared" si="8"/>
        <v>6.8965517241379448E-2</v>
      </c>
      <c r="AX26" s="202">
        <f t="shared" si="8"/>
        <v>0.11290322580645173</v>
      </c>
      <c r="AY26" s="202">
        <f>AY16/AN16-1</f>
        <v>0.29166666666666652</v>
      </c>
      <c r="AZ26" s="202">
        <f t="shared" ref="AZ26:BC29" si="9">AZ16/AY16-1</f>
        <v>0.37634408602150549</v>
      </c>
      <c r="BA26" s="202">
        <f t="shared" si="9"/>
        <v>0.12500000000000022</v>
      </c>
      <c r="BB26" s="202">
        <f t="shared" si="9"/>
        <v>5.555555555555558E-2</v>
      </c>
      <c r="BC26" s="202">
        <f t="shared" si="9"/>
        <v>3.5087719298245723E-2</v>
      </c>
      <c r="BI26" t="s">
        <v>303</v>
      </c>
      <c r="BJ26">
        <f t="shared" si="0"/>
        <v>69.726846827097404</v>
      </c>
      <c r="BK26">
        <f t="shared" si="0"/>
        <v>74.862750604643693</v>
      </c>
      <c r="BL26">
        <f t="shared" si="0"/>
        <v>84.783032272341799</v>
      </c>
      <c r="BM26">
        <f t="shared" si="0"/>
        <v>93.683414877010307</v>
      </c>
      <c r="BN26">
        <f t="shared" si="0"/>
        <v>103.512730738033</v>
      </c>
      <c r="BO26">
        <f t="shared" si="0"/>
        <v>114.56604828704199</v>
      </c>
      <c r="BP26">
        <f t="shared" si="0"/>
        <v>127.475882174923</v>
      </c>
    </row>
    <row r="27" spans="2:68" x14ac:dyDescent="0.25">
      <c r="B27" t="s">
        <v>319</v>
      </c>
      <c r="D27" s="202">
        <f t="shared" si="1"/>
        <v>0.28000000000000003</v>
      </c>
      <c r="E27" s="202">
        <f t="shared" si="1"/>
        <v>8.3333333333333481E-2</v>
      </c>
      <c r="F27" s="202">
        <f t="shared" si="1"/>
        <v>6.7307692307692291E-2</v>
      </c>
      <c r="G27" s="202">
        <f t="shared" si="1"/>
        <v>5.4054054054053946E-2</v>
      </c>
      <c r="H27" s="202">
        <f t="shared" si="1"/>
        <v>3.4188034188034289E-2</v>
      </c>
      <c r="I27" s="202">
        <f>I17/C17-1</f>
        <v>0.30666666666666687</v>
      </c>
      <c r="J27" s="202">
        <f t="shared" si="2"/>
        <v>0.12244897959183665</v>
      </c>
      <c r="K27" s="202">
        <f t="shared" si="2"/>
        <v>8.181818181818179E-2</v>
      </c>
      <c r="L27" s="202">
        <f t="shared" si="2"/>
        <v>5.8823529411764719E-2</v>
      </c>
      <c r="M27" s="202">
        <f t="shared" si="2"/>
        <v>3.1746031746031855E-2</v>
      </c>
      <c r="N27" s="202">
        <f>N17/C17-1</f>
        <v>0.25333333333333341</v>
      </c>
      <c r="O27" s="202">
        <f t="shared" si="3"/>
        <v>4.2553191489361764E-2</v>
      </c>
      <c r="P27" s="202">
        <f t="shared" si="3"/>
        <v>0</v>
      </c>
      <c r="Q27" s="202">
        <f t="shared" si="3"/>
        <v>-1.0204081632653184E-2</v>
      </c>
      <c r="R27" s="202">
        <f t="shared" si="3"/>
        <v>-3.0927835051546282E-2</v>
      </c>
      <c r="V27" s="202">
        <f t="shared" si="4"/>
        <v>0.14583333333333348</v>
      </c>
      <c r="W27" s="202">
        <f t="shared" si="4"/>
        <v>4.5454545454545414E-2</v>
      </c>
      <c r="X27" s="202">
        <f t="shared" si="4"/>
        <v>3.4782608695652195E-2</v>
      </c>
      <c r="Y27" s="202">
        <f t="shared" si="4"/>
        <v>2.5210084033613356E-2</v>
      </c>
      <c r="Z27" s="202">
        <f t="shared" si="4"/>
        <v>2.4590163934426368E-2</v>
      </c>
      <c r="AA27" s="202">
        <f>AA17/U17-1</f>
        <v>0.15625</v>
      </c>
      <c r="AB27" s="202">
        <f t="shared" si="5"/>
        <v>9.0090090090090058E-2</v>
      </c>
      <c r="AC27" s="202">
        <f t="shared" si="5"/>
        <v>6.6115702479338845E-2</v>
      </c>
      <c r="AD27" s="202">
        <f t="shared" si="5"/>
        <v>3.8759689922480689E-2</v>
      </c>
      <c r="AE27" s="202">
        <f t="shared" si="5"/>
        <v>2.2388059701492491E-2</v>
      </c>
      <c r="AF27" s="202">
        <f>AF17/U17-1</f>
        <v>0.13541666666666674</v>
      </c>
      <c r="AG27" s="202">
        <f t="shared" si="6"/>
        <v>-9.1743119266054496E-3</v>
      </c>
      <c r="AH27" s="202">
        <f t="shared" si="6"/>
        <v>-3.703703703703709E-2</v>
      </c>
      <c r="AI27" s="202">
        <f t="shared" si="6"/>
        <v>-3.8461538461538547E-2</v>
      </c>
      <c r="AJ27" s="202">
        <f t="shared" si="6"/>
        <v>-4.0000000000000036E-2</v>
      </c>
      <c r="AO27" s="202">
        <f t="shared" si="7"/>
        <v>6.4102564102566095E-3</v>
      </c>
      <c r="AP27" s="202">
        <f t="shared" si="7"/>
        <v>1.0615711252653925E-2</v>
      </c>
      <c r="AQ27" s="202">
        <f t="shared" si="7"/>
        <v>8.4033613445377853E-3</v>
      </c>
      <c r="AR27" s="202">
        <f t="shared" si="7"/>
        <v>2.5000000000000133E-2</v>
      </c>
      <c r="AS27" s="202">
        <f t="shared" si="7"/>
        <v>3.2520325203251987E-2</v>
      </c>
      <c r="AT27" s="202">
        <f>AT17/AN17-1</f>
        <v>2.2435897435897578E-2</v>
      </c>
      <c r="AU27" s="202">
        <f t="shared" si="8"/>
        <v>3.6572622779519337E-2</v>
      </c>
      <c r="AV27" s="202">
        <f t="shared" si="8"/>
        <v>4.0322580645161255E-2</v>
      </c>
      <c r="AW27" s="202">
        <f t="shared" si="8"/>
        <v>3.8759689922480689E-2</v>
      </c>
      <c r="AX27" s="202">
        <f t="shared" si="8"/>
        <v>4.4776119402984982E-2</v>
      </c>
      <c r="AY27" s="202">
        <f>AY17/AN17-1</f>
        <v>-6.4102564102563875E-3</v>
      </c>
      <c r="AZ27" s="202">
        <f t="shared" si="9"/>
        <v>-1.0752688172043001E-2</v>
      </c>
      <c r="BA27" s="202">
        <f t="shared" si="9"/>
        <v>-4.3478260869565188E-2</v>
      </c>
      <c r="BB27" s="202">
        <f t="shared" si="9"/>
        <v>-7.2727272727272751E-2</v>
      </c>
      <c r="BC27" s="202">
        <f t="shared" si="9"/>
        <v>-6.8627450980392135E-2</v>
      </c>
      <c r="BI27" t="s">
        <v>83</v>
      </c>
      <c r="BJ27">
        <f t="shared" si="0"/>
        <v>72.5910425278975</v>
      </c>
      <c r="BK27">
        <f t="shared" si="0"/>
        <v>77.726946305443803</v>
      </c>
      <c r="BL27">
        <f t="shared" si="0"/>
        <v>87.647227973141895</v>
      </c>
      <c r="BM27">
        <f t="shared" si="0"/>
        <v>96.547610577810403</v>
      </c>
      <c r="BN27">
        <f t="shared" si="0"/>
        <v>106.376926438834</v>
      </c>
      <c r="BO27">
        <f t="shared" si="0"/>
        <v>117.430243987842</v>
      </c>
      <c r="BP27">
        <f t="shared" si="0"/>
        <v>130.34007787572301</v>
      </c>
    </row>
    <row r="28" spans="2:68" x14ac:dyDescent="0.25">
      <c r="B28" t="s">
        <v>318</v>
      </c>
      <c r="D28" s="202">
        <f t="shared" si="1"/>
        <v>0.10909090909090913</v>
      </c>
      <c r="E28" s="202">
        <f t="shared" si="1"/>
        <v>5.7377049180328044E-2</v>
      </c>
      <c r="F28" s="202">
        <f t="shared" si="1"/>
        <v>3.8759689922480689E-2</v>
      </c>
      <c r="G28" s="202">
        <f t="shared" si="1"/>
        <v>3.7313432835820892E-2</v>
      </c>
      <c r="H28" s="202">
        <f t="shared" si="1"/>
        <v>2.877697841726623E-2</v>
      </c>
      <c r="I28" s="202">
        <f>I18/C18-1</f>
        <v>0.15454545454545454</v>
      </c>
      <c r="J28" s="202">
        <f t="shared" si="2"/>
        <v>6.2992125984252079E-2</v>
      </c>
      <c r="K28" s="202">
        <f t="shared" si="2"/>
        <v>5.1851851851851816E-2</v>
      </c>
      <c r="L28" s="202">
        <f t="shared" si="2"/>
        <v>4.2253521126760729E-2</v>
      </c>
      <c r="M28" s="202">
        <f t="shared" si="2"/>
        <v>2.7027027027026973E-2</v>
      </c>
      <c r="N28" s="202">
        <f>N18/C18-1</f>
        <v>8.181818181818179E-2</v>
      </c>
      <c r="O28" s="202">
        <f t="shared" si="3"/>
        <v>8.4033613445377853E-3</v>
      </c>
      <c r="P28" s="202">
        <f t="shared" si="3"/>
        <v>0</v>
      </c>
      <c r="Q28" s="202">
        <f t="shared" si="3"/>
        <v>8.3333333333333037E-3</v>
      </c>
      <c r="R28" s="202">
        <f t="shared" si="3"/>
        <v>0</v>
      </c>
      <c r="V28" s="202">
        <f t="shared" si="4"/>
        <v>1.3513513513513375E-2</v>
      </c>
      <c r="W28" s="202">
        <f t="shared" si="4"/>
        <v>-4.6666666666666634E-2</v>
      </c>
      <c r="X28" s="202">
        <f t="shared" si="4"/>
        <v>1.3986013986013957E-2</v>
      </c>
      <c r="Y28" s="202">
        <f t="shared" si="4"/>
        <v>1.379310344827589E-2</v>
      </c>
      <c r="Z28" s="202">
        <f t="shared" si="4"/>
        <v>6.8027210884353817E-3</v>
      </c>
      <c r="AA28" s="202">
        <f>AA18/U18-1</f>
        <v>3.3783783783783772E-2</v>
      </c>
      <c r="AB28" s="202">
        <f t="shared" si="5"/>
        <v>-3.9215686274509887E-2</v>
      </c>
      <c r="AC28" s="202">
        <f t="shared" si="5"/>
        <v>3.4013605442176909E-2</v>
      </c>
      <c r="AD28" s="202">
        <f t="shared" si="5"/>
        <v>2.6315789473684292E-2</v>
      </c>
      <c r="AE28" s="202">
        <f t="shared" si="5"/>
        <v>2.5641025641025772E-2</v>
      </c>
      <c r="AF28" s="202">
        <f>AF18/U18-1</f>
        <v>6.7567567567567988E-3</v>
      </c>
      <c r="AG28" s="202">
        <f t="shared" si="6"/>
        <v>-9.3959731543624136E-2</v>
      </c>
      <c r="AH28" s="202">
        <f t="shared" si="6"/>
        <v>-4.4444444444444398E-2</v>
      </c>
      <c r="AI28" s="202">
        <f t="shared" si="6"/>
        <v>-3.1007751937984551E-2</v>
      </c>
      <c r="AJ28" s="202">
        <f t="shared" si="6"/>
        <v>-2.4000000000000021E-2</v>
      </c>
      <c r="AO28" s="202">
        <f t="shared" si="7"/>
        <v>-5.9911242603550297E-2</v>
      </c>
      <c r="AP28" s="202">
        <f t="shared" si="7"/>
        <v>-0.10621557828481509</v>
      </c>
      <c r="AQ28" s="202">
        <f t="shared" si="7"/>
        <v>0</v>
      </c>
      <c r="AR28" s="202">
        <f t="shared" si="7"/>
        <v>1.4084507042253502E-2</v>
      </c>
      <c r="AS28" s="202">
        <f t="shared" si="7"/>
        <v>3.4722222222222321E-2</v>
      </c>
      <c r="AT28" s="202">
        <f>AT18/AN18-1</f>
        <v>-4.881656804733725E-2</v>
      </c>
      <c r="AU28" s="202">
        <f t="shared" si="8"/>
        <v>-8.5536547433903598E-2</v>
      </c>
      <c r="AV28" s="202">
        <f t="shared" si="8"/>
        <v>3.4013605442176909E-2</v>
      </c>
      <c r="AW28" s="202">
        <f t="shared" si="8"/>
        <v>4.6052631578947345E-2</v>
      </c>
      <c r="AX28" s="202">
        <f t="shared" si="8"/>
        <v>5.031446540880502E-2</v>
      </c>
      <c r="AY28" s="202">
        <f>AY18/AN18-1</f>
        <v>-7.7662721893490994E-2</v>
      </c>
      <c r="AZ28" s="202">
        <f t="shared" si="9"/>
        <v>-0.14033680834001605</v>
      </c>
      <c r="BA28" s="202">
        <f t="shared" si="9"/>
        <v>-4.4776119402985093E-2</v>
      </c>
      <c r="BB28" s="202">
        <f t="shared" si="9"/>
        <v>-4.6875000000000111E-2</v>
      </c>
      <c r="BC28" s="202">
        <f t="shared" si="9"/>
        <v>-4.0983606557377095E-2</v>
      </c>
      <c r="BI28" t="s">
        <v>317</v>
      </c>
      <c r="BJ28">
        <v>80</v>
      </c>
      <c r="BK28">
        <f t="shared" ref="BK28:BP28" si="10">BJ28</f>
        <v>80</v>
      </c>
      <c r="BL28">
        <f t="shared" si="10"/>
        <v>80</v>
      </c>
      <c r="BM28">
        <f t="shared" si="10"/>
        <v>80</v>
      </c>
      <c r="BN28">
        <f t="shared" si="10"/>
        <v>80</v>
      </c>
      <c r="BO28">
        <f t="shared" si="10"/>
        <v>80</v>
      </c>
      <c r="BP28">
        <f t="shared" si="10"/>
        <v>80</v>
      </c>
    </row>
    <row r="29" spans="2:68" x14ac:dyDescent="0.25">
      <c r="D29" s="202">
        <f t="shared" si="1"/>
        <v>4.5362903225806495E-2</v>
      </c>
      <c r="E29" s="202">
        <f t="shared" si="1"/>
        <v>2.5072324011571778E-2</v>
      </c>
      <c r="F29" s="202">
        <f t="shared" si="1"/>
        <v>1.6933207902163572E-2</v>
      </c>
      <c r="G29" s="202">
        <f t="shared" si="1"/>
        <v>1.1100832562442209E-2</v>
      </c>
      <c r="H29" s="202">
        <f t="shared" si="1"/>
        <v>6.4043915827995956E-3</v>
      </c>
      <c r="I29" s="202">
        <f>I19/C19-1</f>
        <v>5.4435483870967749E-2</v>
      </c>
      <c r="J29" s="202">
        <f t="shared" si="2"/>
        <v>4.2065009560229516E-2</v>
      </c>
      <c r="K29" s="202">
        <f t="shared" si="2"/>
        <v>3.4862385321100975E-2</v>
      </c>
      <c r="L29" s="202">
        <f t="shared" si="2"/>
        <v>2.7482269503546153E-2</v>
      </c>
      <c r="M29" s="202">
        <f t="shared" si="2"/>
        <v>2.1570319240724833E-2</v>
      </c>
      <c r="N29" s="202">
        <f>N19/C19-1</f>
        <v>1.1088709677419262E-2</v>
      </c>
      <c r="O29" s="202">
        <f t="shared" si="3"/>
        <v>-6.9790628115653064E-2</v>
      </c>
      <c r="P29" s="202">
        <f t="shared" si="3"/>
        <v>-0.10825294748124326</v>
      </c>
      <c r="Q29" s="202">
        <f t="shared" si="3"/>
        <v>-0.11418269230769229</v>
      </c>
      <c r="R29" s="202">
        <f t="shared" si="3"/>
        <v>-8.1411126187245553E-2</v>
      </c>
      <c r="V29" s="202">
        <f t="shared" si="4"/>
        <v>-0.12074554294975692</v>
      </c>
      <c r="W29" s="202">
        <f t="shared" si="4"/>
        <v>3.2258064516129004E-2</v>
      </c>
      <c r="X29" s="202">
        <f t="shared" si="4"/>
        <v>8.9285714285713969E-3</v>
      </c>
      <c r="Y29" s="202">
        <f t="shared" si="4"/>
        <v>8.8495575221239076E-3</v>
      </c>
      <c r="Z29" s="202">
        <f t="shared" si="4"/>
        <v>8.7719298245614308E-3</v>
      </c>
      <c r="AA29" s="202">
        <f>AA19/U19-1</f>
        <v>-0.10858995137763372</v>
      </c>
      <c r="AB29" s="202">
        <f t="shared" si="5"/>
        <v>4.5454545454545414E-2</v>
      </c>
      <c r="AC29" s="202">
        <f t="shared" si="5"/>
        <v>3.6521739130434883E-2</v>
      </c>
      <c r="AD29" s="202">
        <f t="shared" si="5"/>
        <v>2.7684563758389347E-2</v>
      </c>
      <c r="AE29" s="202">
        <f t="shared" si="5"/>
        <v>2.0408163265306145E-2</v>
      </c>
      <c r="AF29" s="202">
        <f>AF19/U19-1</f>
        <v>-0.14667747163695311</v>
      </c>
      <c r="AG29" s="202">
        <f t="shared" si="6"/>
        <v>-7.407407407407407E-2</v>
      </c>
      <c r="AH29" s="202">
        <f t="shared" si="6"/>
        <v>-8.7179487179487203E-2</v>
      </c>
      <c r="AI29" s="202">
        <f t="shared" si="6"/>
        <v>-0.1235955056179775</v>
      </c>
      <c r="AJ29" s="202">
        <f t="shared" si="6"/>
        <v>-0.10256410256410253</v>
      </c>
      <c r="AO29" s="202">
        <f t="shared" si="7"/>
        <v>2.6515151515151603E-2</v>
      </c>
      <c r="AP29" s="202">
        <f t="shared" si="7"/>
        <v>4.3050430504305126E-2</v>
      </c>
      <c r="AQ29" s="202">
        <f t="shared" si="7"/>
        <v>2.8301886792452935E-2</v>
      </c>
      <c r="AR29" s="202">
        <f t="shared" si="7"/>
        <v>9.1743119266054496E-3</v>
      </c>
      <c r="AS29" s="202">
        <f t="shared" si="7"/>
        <v>0</v>
      </c>
      <c r="AT29" s="202">
        <f>AT19/AN19-1</f>
        <v>4.924242424242431E-2</v>
      </c>
      <c r="AU29" s="202">
        <f t="shared" si="8"/>
        <v>7.8219013237063706E-2</v>
      </c>
      <c r="AV29" s="202">
        <f t="shared" si="8"/>
        <v>3.5714285714285809E-2</v>
      </c>
      <c r="AW29" s="202">
        <f t="shared" si="8"/>
        <v>1.7241379310344751E-2</v>
      </c>
      <c r="AX29" s="202">
        <f t="shared" si="8"/>
        <v>1.6949152542372836E-2</v>
      </c>
      <c r="AY29" s="202">
        <f>AY19/AN19-1</f>
        <v>7.575757575757569E-3</v>
      </c>
      <c r="AZ29" s="202">
        <f t="shared" si="9"/>
        <v>1.2531328320801949E-2</v>
      </c>
      <c r="BA29" s="202">
        <f t="shared" si="9"/>
        <v>-5.9405940594059459E-2</v>
      </c>
      <c r="BB29" s="202">
        <f t="shared" si="9"/>
        <v>-9.4736842105263119E-2</v>
      </c>
      <c r="BC29" s="202">
        <f t="shared" si="9"/>
        <v>-0.12790697674418605</v>
      </c>
    </row>
    <row r="30" spans="2:68" x14ac:dyDescent="0.25">
      <c r="C30" s="11">
        <f t="shared" ref="C30:R30" si="11">C17/C14</f>
        <v>9.6030729833546741E-2</v>
      </c>
      <c r="D30" s="11">
        <f t="shared" si="11"/>
        <v>9.4117647058823528E-2</v>
      </c>
      <c r="E30" s="11">
        <f t="shared" si="11"/>
        <v>9.5764272559852676E-2</v>
      </c>
      <c r="F30" s="11">
        <f t="shared" si="11"/>
        <v>9.7711267605633811E-2</v>
      </c>
      <c r="G30" s="11">
        <f t="shared" si="11"/>
        <v>9.9744245524296671E-2</v>
      </c>
      <c r="H30" s="11">
        <f t="shared" si="11"/>
        <v>0.10083333333333333</v>
      </c>
      <c r="I30" s="11">
        <f t="shared" si="11"/>
        <v>9.2191909689557858E-2</v>
      </c>
      <c r="J30" s="11">
        <f t="shared" si="11"/>
        <v>9.3141405588484341E-2</v>
      </c>
      <c r="K30" s="11">
        <f t="shared" si="11"/>
        <v>9.3479968578161821E-2</v>
      </c>
      <c r="L30" s="11">
        <f t="shared" si="11"/>
        <v>9.3680297397769507E-2</v>
      </c>
      <c r="M30" s="11">
        <f t="shared" si="11"/>
        <v>9.285714285714286E-2</v>
      </c>
      <c r="N30" s="11">
        <f t="shared" si="11"/>
        <v>9.6907216494845363E-2</v>
      </c>
      <c r="O30" s="11">
        <f t="shared" si="11"/>
        <v>0.10103092783505155</v>
      </c>
      <c r="P30" s="11">
        <f t="shared" si="11"/>
        <v>0.10103092783505155</v>
      </c>
      <c r="Q30" s="11">
        <f t="shared" si="11"/>
        <v>9.9999999999999992E-2</v>
      </c>
      <c r="R30" s="11">
        <f t="shared" si="11"/>
        <v>9.6907216494845363E-2</v>
      </c>
    </row>
    <row r="31" spans="2:68" ht="15.75" thickBot="1" x14ac:dyDescent="0.3">
      <c r="C31" s="11">
        <f t="shared" ref="C31:R31" si="12">C18/C14</f>
        <v>0.14084507042253522</v>
      </c>
      <c r="D31" s="11">
        <f t="shared" si="12"/>
        <v>0.11960784313725489</v>
      </c>
      <c r="E31" s="11">
        <f t="shared" si="12"/>
        <v>0.11878453038674035</v>
      </c>
      <c r="F31" s="11">
        <f t="shared" si="12"/>
        <v>0.11795774647887325</v>
      </c>
      <c r="G31" s="11">
        <f t="shared" si="12"/>
        <v>0.1184995737425405</v>
      </c>
      <c r="H31" s="11">
        <f t="shared" si="12"/>
        <v>0.11916666666666667</v>
      </c>
      <c r="I31" s="11">
        <f t="shared" si="12"/>
        <v>0.11947318908748823</v>
      </c>
      <c r="J31" s="11">
        <f t="shared" si="12"/>
        <v>0.11430990685859442</v>
      </c>
      <c r="K31" s="11">
        <f t="shared" si="12"/>
        <v>0.11154752553024351</v>
      </c>
      <c r="L31" s="11">
        <f t="shared" si="12"/>
        <v>0.1100371747211896</v>
      </c>
      <c r="M31" s="11">
        <f t="shared" si="12"/>
        <v>0.10857142857142857</v>
      </c>
      <c r="N31" s="11">
        <f t="shared" si="12"/>
        <v>0.12268041237113403</v>
      </c>
      <c r="O31" s="11">
        <f t="shared" si="12"/>
        <v>0.12371134020618557</v>
      </c>
      <c r="P31" s="11">
        <f t="shared" si="12"/>
        <v>0.12371134020618557</v>
      </c>
      <c r="Q31" s="11">
        <f t="shared" si="12"/>
        <v>0.12474226804123711</v>
      </c>
      <c r="R31" s="11">
        <f t="shared" si="12"/>
        <v>0.12474226804123711</v>
      </c>
      <c r="T31" t="s">
        <v>316</v>
      </c>
      <c r="AM31" t="s">
        <v>316</v>
      </c>
    </row>
    <row r="32" spans="2:68" x14ac:dyDescent="0.25">
      <c r="U32">
        <v>2011</v>
      </c>
      <c r="V32" s="78">
        <v>2015</v>
      </c>
      <c r="W32" s="201">
        <v>2020</v>
      </c>
      <c r="X32" s="201">
        <v>2025</v>
      </c>
      <c r="Y32" s="201">
        <v>2030</v>
      </c>
      <c r="Z32" s="200">
        <v>2035</v>
      </c>
      <c r="AA32" s="78">
        <v>2015</v>
      </c>
      <c r="AB32" s="201">
        <v>2020</v>
      </c>
      <c r="AC32" s="201">
        <v>2025</v>
      </c>
      <c r="AD32" s="201">
        <v>2030</v>
      </c>
      <c r="AE32" s="200">
        <v>2035</v>
      </c>
      <c r="AF32" s="78">
        <v>2015</v>
      </c>
      <c r="AG32" s="201">
        <v>2020</v>
      </c>
      <c r="AH32" s="201">
        <v>2025</v>
      </c>
      <c r="AI32" s="201">
        <v>2030</v>
      </c>
      <c r="AJ32" s="200">
        <v>2035</v>
      </c>
      <c r="AN32">
        <v>2011</v>
      </c>
      <c r="AO32" s="78">
        <v>2015</v>
      </c>
      <c r="AP32" s="201">
        <v>2020</v>
      </c>
      <c r="AQ32" s="201">
        <v>2025</v>
      </c>
      <c r="AR32" s="201">
        <v>2030</v>
      </c>
      <c r="AS32" s="200">
        <v>2035</v>
      </c>
      <c r="AT32" s="78">
        <v>2015</v>
      </c>
      <c r="AU32" s="201">
        <v>2020</v>
      </c>
      <c r="AV32" s="201">
        <v>2025</v>
      </c>
      <c r="AW32" s="201">
        <v>2030</v>
      </c>
      <c r="AX32" s="200">
        <v>2035</v>
      </c>
      <c r="AY32" s="78">
        <v>2015</v>
      </c>
      <c r="AZ32" s="201">
        <v>2020</v>
      </c>
      <c r="BA32" s="201">
        <v>2025</v>
      </c>
      <c r="BB32" s="201">
        <v>2030</v>
      </c>
      <c r="BC32" s="200">
        <v>2035</v>
      </c>
    </row>
    <row r="33" spans="2:55" x14ac:dyDescent="0.25">
      <c r="T33" t="str">
        <f>T14</f>
        <v>IEA crude oil imports</v>
      </c>
      <c r="U33" s="11">
        <f>U14*[10]Deflator!$U$20/[10]Deflator!$V$20</f>
        <v>104.73927357360537</v>
      </c>
      <c r="V33" s="11">
        <f>V14*[10]Deflator!$U$20/[10]Deflator!$V$20</f>
        <v>112.91594548827347</v>
      </c>
      <c r="W33" s="11">
        <f>W14*[10]Deflator!$U$20/[10]Deflator!$V$20</f>
        <v>116.32289211938516</v>
      </c>
      <c r="X33" s="11">
        <f>X14*[10]Deflator!$U$20/[10]Deflator!$V$20</f>
        <v>118.65908409500462</v>
      </c>
      <c r="Y33" s="11">
        <f>Y14*[10]Deflator!$U$20/[10]Deflator!$V$20</f>
        <v>120.31388674440171</v>
      </c>
      <c r="Z33" s="11">
        <f>Z14*[10]Deflator!$U$20/[10]Deflator!$V$20</f>
        <v>121.6766653968464</v>
      </c>
      <c r="AA33" s="11">
        <f>AA14*[10]Deflator!$U$20/[10]Deflator!$V$20</f>
        <v>115.25213746389292</v>
      </c>
      <c r="AB33" s="11">
        <f>AB14*[10]Deflator!$U$20/[10]Deflator!$V$20</f>
        <v>124.88892936332316</v>
      </c>
      <c r="AC33" s="11">
        <f>AC14*[10]Deflator!$U$20/[10]Deflator!$V$20</f>
        <v>131.99484662249898</v>
      </c>
      <c r="AD33" s="11">
        <f>AD14*[10]Deflator!$U$20/[10]Deflator!$V$20</f>
        <v>137.34861989996023</v>
      </c>
      <c r="AE33" s="11">
        <f>AE14*[10]Deflator!$U$20/[10]Deflator!$V$20</f>
        <v>141.14493186034184</v>
      </c>
      <c r="AF33" s="11">
        <f>AF14*[10]Deflator!$U$20/[10]Deflator!$V$20</f>
        <v>112.23455616205112</v>
      </c>
      <c r="AG33" s="11">
        <f>AG14*[10]Deflator!$U$20/[10]Deflator!$V$20</f>
        <v>110.28772951570159</v>
      </c>
      <c r="AH33" s="11">
        <f>AH14*[10]Deflator!$U$20/[10]Deflator!$V$20</f>
        <v>106.19939355836753</v>
      </c>
      <c r="AI33" s="11">
        <f>AI14*[10]Deflator!$U$20/[10]Deflator!$V$20</f>
        <v>101.91637493639855</v>
      </c>
      <c r="AJ33" s="11">
        <f>AJ14*[10]Deflator!$U$20/[10]Deflator!$V$20</f>
        <v>97.341332317477125</v>
      </c>
      <c r="AM33" t="str">
        <f>AM14</f>
        <v>IEA crude oil imports</v>
      </c>
      <c r="AN33" s="11">
        <f>AN14*[10]Deflator!$U$20/[10]Deflator!$V$20</f>
        <v>106.10205222605006</v>
      </c>
      <c r="AO33" s="11">
        <f>AO14*[10]Deflator!$U$20/[10]Deflator!$V$20</f>
        <v>107.56217221081222</v>
      </c>
      <c r="AP33" s="11">
        <f>AP14*[10]Deflator!$U$20/[10]Deflator!$V$20</f>
        <v>109.99570551874915</v>
      </c>
      <c r="AQ33" s="11">
        <f>AQ14*[10]Deflator!$U$20/[10]Deflator!$V$20</f>
        <v>112.91594548827347</v>
      </c>
      <c r="AR33" s="11">
        <f>AR14*[10]Deflator!$U$20/[10]Deflator!$V$20</f>
        <v>117.78301210414732</v>
      </c>
      <c r="AS33" s="11">
        <f>AS14*[10]Deflator!$U$20/[10]Deflator!$V$20</f>
        <v>124.59690536637072</v>
      </c>
      <c r="AT33" s="11">
        <f>AT14*[10]Deflator!$U$20/[10]Deflator!$V$20</f>
        <v>110.117382184146</v>
      </c>
      <c r="AU33" s="11">
        <f>AU14*[10]Deflator!$U$20/[10]Deflator!$V$20</f>
        <v>116.80959878097255</v>
      </c>
      <c r="AV33" s="11">
        <f>AV14*[10]Deflator!$U$20/[10]Deflator!$V$20</f>
        <v>123.62349204319595</v>
      </c>
      <c r="AW33" s="11">
        <f>AW14*[10]Deflator!$U$20/[10]Deflator!$V$20</f>
        <v>132.38421195176889</v>
      </c>
      <c r="AX33" s="11">
        <f>AX14*[10]Deflator!$U$20/[10]Deflator!$V$20</f>
        <v>141.14493186034184</v>
      </c>
      <c r="AY33" s="11">
        <f>AY14*[10]Deflator!$U$20/[10]Deflator!$V$20</f>
        <v>106.46708222224061</v>
      </c>
      <c r="AZ33" s="11">
        <f>AZ14*[10]Deflator!$U$20/[10]Deflator!$V$20</f>
        <v>107.07546554922483</v>
      </c>
      <c r="BA33" s="11">
        <f>BA14*[10]Deflator!$U$20/[10]Deflator!$V$20</f>
        <v>104.15522557970053</v>
      </c>
      <c r="BB33" s="11">
        <f>BB14*[10]Deflator!$U$20/[10]Deflator!$V$20</f>
        <v>101.23498561017621</v>
      </c>
      <c r="BC33" s="11">
        <f>BC14*[10]Deflator!$U$20/[10]Deflator!$V$20</f>
        <v>97.341332317477125</v>
      </c>
    </row>
    <row r="34" spans="2:55" x14ac:dyDescent="0.25">
      <c r="B34" t="s">
        <v>315</v>
      </c>
    </row>
    <row r="35" spans="2:55" x14ac:dyDescent="0.25">
      <c r="C35" t="s">
        <v>225</v>
      </c>
      <c r="D35" t="s">
        <v>314</v>
      </c>
      <c r="E35" t="s">
        <v>247</v>
      </c>
      <c r="F35" t="s">
        <v>252</v>
      </c>
      <c r="T35" t="str">
        <f>T16</f>
        <v>United States Mbtu</v>
      </c>
      <c r="U35" s="11">
        <f>U16*[10]Deflator!$U$20/[10]Deflator!$V$20</f>
        <v>3.9909946250165618</v>
      </c>
      <c r="V35" s="11">
        <f>V16*[10]Deflator!$U$20/[10]Deflator!$V$20</f>
        <v>4.4777012866039474</v>
      </c>
      <c r="W35" s="11">
        <f>W16*[10]Deflator!$U$20/[10]Deflator!$V$20</f>
        <v>5.2564319451437651</v>
      </c>
      <c r="X35" s="11">
        <f>X16*[10]Deflator!$U$20/[10]Deflator!$V$20</f>
        <v>6.1325039360010587</v>
      </c>
      <c r="Y35" s="11">
        <f>Y16*[10]Deflator!$U$20/[10]Deflator!$V$20</f>
        <v>6.9112345945408755</v>
      </c>
      <c r="Z35" s="11">
        <f>Z16*[10]Deflator!$U$20/[10]Deflator!$V$20</f>
        <v>7.78730658539817</v>
      </c>
      <c r="AA35" s="11">
        <f>AA16*[10]Deflator!$U$20/[10]Deflator!$V$20</f>
        <v>4.4777012866039474</v>
      </c>
      <c r="AB35" s="11">
        <f>AB16*[10]Deflator!$U$20/[10]Deflator!$V$20</f>
        <v>5.3537732774612419</v>
      </c>
      <c r="AC35" s="11">
        <f>AC16*[10]Deflator!$U$20/[10]Deflator!$V$20</f>
        <v>6.2298452683185364</v>
      </c>
      <c r="AD35" s="11">
        <f>AD16*[10]Deflator!$U$20/[10]Deflator!$V$20</f>
        <v>7.0085759268583532</v>
      </c>
      <c r="AE35" s="11">
        <f>AE16*[10]Deflator!$U$20/[10]Deflator!$V$20</f>
        <v>7.78730658539817</v>
      </c>
      <c r="AF35" s="11">
        <f>AF16*[10]Deflator!$U$20/[10]Deflator!$V$20</f>
        <v>4.2830186219689939</v>
      </c>
      <c r="AG35" s="11">
        <f>AG16*[10]Deflator!$U$20/[10]Deflator!$V$20</f>
        <v>5.3537732774612419</v>
      </c>
      <c r="AH35" s="11">
        <f>AH16*[10]Deflator!$U$20/[10]Deflator!$V$20</f>
        <v>6.716551929905922</v>
      </c>
      <c r="AI35" s="11">
        <f>AI16*[10]Deflator!$U$20/[10]Deflator!$V$20</f>
        <v>7.3979412561282611</v>
      </c>
      <c r="AJ35" s="11">
        <f>AJ16*[10]Deflator!$U$20/[10]Deflator!$V$20</f>
        <v>7.3979412561282611</v>
      </c>
      <c r="AM35" t="str">
        <f>AM16</f>
        <v>United States Mbtu</v>
      </c>
      <c r="AN35" s="11">
        <f>AN16*[10]Deflator!$U$20/[10]Deflator!$V$20</f>
        <v>2.6282159725718826</v>
      </c>
      <c r="AO35" s="11">
        <f>AO16*[10]Deflator!$U$20/[10]Deflator!$V$20</f>
        <v>3.5042879634291761</v>
      </c>
      <c r="AP35" s="11">
        <f>AP16*[10]Deflator!$U$20/[10]Deflator!$V$20</f>
        <v>4.964407948191333</v>
      </c>
      <c r="AQ35" s="11">
        <f>AQ16*[10]Deflator!$U$20/[10]Deflator!$V$20</f>
        <v>5.4511146097787186</v>
      </c>
      <c r="AR35" s="11">
        <f>AR16*[10]Deflator!$U$20/[10]Deflator!$V$20</f>
        <v>5.8404799390486275</v>
      </c>
      <c r="AS35" s="11">
        <f>AS16*[10]Deflator!$U$20/[10]Deflator!$V$20</f>
        <v>6.6192105975884443</v>
      </c>
      <c r="AT35" s="11">
        <f>AT16*[10]Deflator!$U$20/[10]Deflator!$V$20</f>
        <v>3.5407909630482304</v>
      </c>
      <c r="AU35" s="11">
        <f>AU16*[10]Deflator!$U$20/[10]Deflator!$V$20</f>
        <v>5.0617492805088107</v>
      </c>
      <c r="AV35" s="11">
        <f>AV16*[10]Deflator!$U$20/[10]Deflator!$V$20</f>
        <v>5.6457972744136731</v>
      </c>
      <c r="AW35" s="11">
        <f>AW16*[10]Deflator!$U$20/[10]Deflator!$V$20</f>
        <v>6.0351626036835819</v>
      </c>
      <c r="AX35" s="11">
        <f>AX16*[10]Deflator!$U$20/[10]Deflator!$V$20</f>
        <v>6.716551929905922</v>
      </c>
      <c r="AY35" s="11">
        <f>AY16*[10]Deflator!$U$20/[10]Deflator!$V$20</f>
        <v>3.3947789645720143</v>
      </c>
      <c r="AZ35" s="11">
        <f>AZ16*[10]Deflator!$U$20/[10]Deflator!$V$20</f>
        <v>4.6723839512389018</v>
      </c>
      <c r="BA35" s="11">
        <f>BA16*[10]Deflator!$U$20/[10]Deflator!$V$20</f>
        <v>5.2564319451437651</v>
      </c>
      <c r="BB35" s="11">
        <f>BB16*[10]Deflator!$U$20/[10]Deflator!$V$20</f>
        <v>5.5484559420961963</v>
      </c>
      <c r="BC35" s="11">
        <f>BC16*[10]Deflator!$U$20/[10]Deflator!$V$20</f>
        <v>5.7431386067311507</v>
      </c>
    </row>
    <row r="36" spans="2:55" x14ac:dyDescent="0.25">
      <c r="B36" t="s">
        <v>313</v>
      </c>
      <c r="C36">
        <v>2035</v>
      </c>
      <c r="T36" t="str">
        <f>T17</f>
        <v>Europe Mbtu</v>
      </c>
      <c r="U36" s="11">
        <f>U17*[10]Deflator!$U$20/[10]Deflator!$V$20</f>
        <v>9.3447679024778036</v>
      </c>
      <c r="V36" s="11">
        <f>V17*[10]Deflator!$U$20/[10]Deflator!$V$20</f>
        <v>10.707546554922484</v>
      </c>
      <c r="W36" s="11">
        <f>W17*[10]Deflator!$U$20/[10]Deflator!$V$20</f>
        <v>11.194253216509869</v>
      </c>
      <c r="X36" s="11">
        <f>X17*[10]Deflator!$U$20/[10]Deflator!$V$20</f>
        <v>11.583618545779778</v>
      </c>
      <c r="Y36" s="11">
        <f>Y17*[10]Deflator!$U$20/[10]Deflator!$V$20</f>
        <v>11.875642542732209</v>
      </c>
      <c r="Z36" s="11">
        <f>Z17*[10]Deflator!$U$20/[10]Deflator!$V$20</f>
        <v>12.167666539684641</v>
      </c>
      <c r="AA36" s="11">
        <f>AA17*[10]Deflator!$U$20/[10]Deflator!$V$20</f>
        <v>10.804887887239961</v>
      </c>
      <c r="AB36" s="11">
        <f>AB17*[10]Deflator!$U$20/[10]Deflator!$V$20</f>
        <v>11.778301210414732</v>
      </c>
      <c r="AC36" s="11">
        <f>AC17*[10]Deflator!$U$20/[10]Deflator!$V$20</f>
        <v>12.557031868954549</v>
      </c>
      <c r="AD36" s="11">
        <f>AD17*[10]Deflator!$U$20/[10]Deflator!$V$20</f>
        <v>13.043738530541935</v>
      </c>
      <c r="AE36" s="11">
        <f>AE17*[10]Deflator!$U$20/[10]Deflator!$V$20</f>
        <v>13.335762527494365</v>
      </c>
      <c r="AF36" s="11">
        <f>AF17*[10]Deflator!$U$20/[10]Deflator!$V$20</f>
        <v>10.610205222605007</v>
      </c>
      <c r="AG36" s="11">
        <f>AG17*[10]Deflator!$U$20/[10]Deflator!$V$20</f>
        <v>10.51286389028753</v>
      </c>
      <c r="AH36" s="11">
        <f>AH17*[10]Deflator!$U$20/[10]Deflator!$V$20</f>
        <v>10.123498561017621</v>
      </c>
      <c r="AI36" s="11">
        <f>AI17*[10]Deflator!$U$20/[10]Deflator!$V$20</f>
        <v>9.7341332317477125</v>
      </c>
      <c r="AJ36" s="11">
        <f>AJ17*[10]Deflator!$U$20/[10]Deflator!$V$20</f>
        <v>9.3447679024778036</v>
      </c>
      <c r="AM36" t="str">
        <f>AM17</f>
        <v>Europe Mbtu</v>
      </c>
      <c r="AN36" s="11">
        <f>AN17*[10]Deflator!$U$20/[10]Deflator!$V$20</f>
        <v>11.388935881144823</v>
      </c>
      <c r="AO36" s="11">
        <f>AO17*[10]Deflator!$U$20/[10]Deflator!$V$20</f>
        <v>11.461941880382932</v>
      </c>
      <c r="AP36" s="11">
        <f>AP17*[10]Deflator!$U$20/[10]Deflator!$V$20</f>
        <v>11.583618545779778</v>
      </c>
      <c r="AQ36" s="11">
        <f>AQ17*[10]Deflator!$U$20/[10]Deflator!$V$20</f>
        <v>11.680959878097255</v>
      </c>
      <c r="AR36" s="11">
        <f>AR17*[10]Deflator!$U$20/[10]Deflator!$V$20</f>
        <v>11.972983875049687</v>
      </c>
      <c r="AS36" s="11">
        <f>AS17*[10]Deflator!$U$20/[10]Deflator!$V$20</f>
        <v>12.362349204319594</v>
      </c>
      <c r="AT36" s="11">
        <f>AT17*[10]Deflator!$U$20/[10]Deflator!$V$20</f>
        <v>11.644456878478202</v>
      </c>
      <c r="AU36" s="11">
        <f>AU17*[10]Deflator!$U$20/[10]Deflator!$V$20</f>
        <v>12.070325207367164</v>
      </c>
      <c r="AV36" s="11">
        <f>AV17*[10]Deflator!$U$20/[10]Deflator!$V$20</f>
        <v>12.557031868954549</v>
      </c>
      <c r="AW36" s="11">
        <f>AW17*[10]Deflator!$U$20/[10]Deflator!$V$20</f>
        <v>13.043738530541935</v>
      </c>
      <c r="AX36" s="11">
        <f>AX17*[10]Deflator!$U$20/[10]Deflator!$V$20</f>
        <v>13.627786524446798</v>
      </c>
      <c r="AY36" s="11">
        <f>AY17*[10]Deflator!$U$20/[10]Deflator!$V$20</f>
        <v>11.315929881906715</v>
      </c>
      <c r="AZ36" s="11">
        <f>AZ17*[10]Deflator!$U$20/[10]Deflator!$V$20</f>
        <v>11.194253216509869</v>
      </c>
      <c r="BA36" s="11">
        <f>BA17*[10]Deflator!$U$20/[10]Deflator!$V$20</f>
        <v>10.707546554922484</v>
      </c>
      <c r="BB36" s="11">
        <f>BB17*[10]Deflator!$U$20/[10]Deflator!$V$20</f>
        <v>9.928815896382666</v>
      </c>
      <c r="BC36" s="11">
        <f>BC17*[10]Deflator!$U$20/[10]Deflator!$V$20</f>
        <v>9.2474265701603269</v>
      </c>
    </row>
    <row r="37" spans="2:55" x14ac:dyDescent="0.25">
      <c r="T37" t="str">
        <f>T18</f>
        <v>Japan Mbtu</v>
      </c>
      <c r="U37" s="11">
        <f>U18*[10]Deflator!$U$20/[10]Deflator!$V$20</f>
        <v>14.406517182986615</v>
      </c>
      <c r="V37" s="11">
        <f>V18*[10]Deflator!$U$20/[10]Deflator!$V$20</f>
        <v>14.601199847621569</v>
      </c>
      <c r="W37" s="11">
        <f>W18*[10]Deflator!$U$20/[10]Deflator!$V$20</f>
        <v>13.91981052139923</v>
      </c>
      <c r="X37" s="11">
        <f>X18*[10]Deflator!$U$20/[10]Deflator!$V$20</f>
        <v>14.114493186034183</v>
      </c>
      <c r="Y37" s="11">
        <f>Y18*[10]Deflator!$U$20/[10]Deflator!$V$20</f>
        <v>14.309175850669137</v>
      </c>
      <c r="Z37" s="11">
        <f>Z18*[10]Deflator!$U$20/[10]Deflator!$V$20</f>
        <v>14.406517182986615</v>
      </c>
      <c r="AA37" s="11">
        <f>AA18*[10]Deflator!$U$20/[10]Deflator!$V$20</f>
        <v>14.893223844574001</v>
      </c>
      <c r="AB37" s="11">
        <f>AB18*[10]Deflator!$U$20/[10]Deflator!$V$20</f>
        <v>14.309175850669137</v>
      </c>
      <c r="AC37" s="11">
        <f>AC18*[10]Deflator!$U$20/[10]Deflator!$V$20</f>
        <v>14.795882512256522</v>
      </c>
      <c r="AD37" s="11">
        <f>AD18*[10]Deflator!$U$20/[10]Deflator!$V$20</f>
        <v>15.185247841526431</v>
      </c>
      <c r="AE37" s="11">
        <f>AE18*[10]Deflator!$U$20/[10]Deflator!$V$20</f>
        <v>15.57461317079634</v>
      </c>
      <c r="AF37" s="11">
        <f>AF18*[10]Deflator!$U$20/[10]Deflator!$V$20</f>
        <v>14.503858515304092</v>
      </c>
      <c r="AG37" s="11">
        <f>AG18*[10]Deflator!$U$20/[10]Deflator!$V$20</f>
        <v>13.141079862859412</v>
      </c>
      <c r="AH37" s="11">
        <f>AH18*[10]Deflator!$U$20/[10]Deflator!$V$20</f>
        <v>12.557031868954549</v>
      </c>
      <c r="AI37" s="11">
        <f>AI18*[10]Deflator!$U$20/[10]Deflator!$V$20</f>
        <v>12.167666539684641</v>
      </c>
      <c r="AJ37" s="11">
        <f>AJ18*[10]Deflator!$U$20/[10]Deflator!$V$20</f>
        <v>11.875642542732209</v>
      </c>
      <c r="AM37" t="str">
        <f>AM18</f>
        <v>Japan Mbtu</v>
      </c>
      <c r="AN37" s="11">
        <f>AN18*[10]Deflator!$U$20/[10]Deflator!$V$20</f>
        <v>16.450685161653631</v>
      </c>
      <c r="AO37" s="11">
        <f>AO18*[10]Deflator!$U$20/[10]Deflator!$V$20</f>
        <v>15.465104171939178</v>
      </c>
      <c r="AP37" s="11">
        <f>AP18*[10]Deflator!$U$20/[10]Deflator!$V$20</f>
        <v>13.822469189081751</v>
      </c>
      <c r="AQ37" s="11">
        <f>AQ18*[10]Deflator!$U$20/[10]Deflator!$V$20</f>
        <v>13.822469189081751</v>
      </c>
      <c r="AR37" s="11">
        <f>AR18*[10]Deflator!$U$20/[10]Deflator!$V$20</f>
        <v>14.017151853716706</v>
      </c>
      <c r="AS37" s="11">
        <f>AS18*[10]Deflator!$U$20/[10]Deflator!$V$20</f>
        <v>14.503858515304092</v>
      </c>
      <c r="AT37" s="11">
        <f>AT18*[10]Deflator!$U$20/[10]Deflator!$V$20</f>
        <v>15.647619170034448</v>
      </c>
      <c r="AU37" s="11">
        <f>AU18*[10]Deflator!$U$20/[10]Deflator!$V$20</f>
        <v>14.309175850669137</v>
      </c>
      <c r="AV37" s="11">
        <f>AV18*[10]Deflator!$U$20/[10]Deflator!$V$20</f>
        <v>14.795882512256522</v>
      </c>
      <c r="AW37" s="11">
        <f>AW18*[10]Deflator!$U$20/[10]Deflator!$V$20</f>
        <v>15.477271838478863</v>
      </c>
      <c r="AX37" s="11">
        <f>AX18*[10]Deflator!$U$20/[10]Deflator!$V$20</f>
        <v>16.256002497018677</v>
      </c>
      <c r="AY37" s="11">
        <f>AY18*[10]Deflator!$U$20/[10]Deflator!$V$20</f>
        <v>15.173080174986747</v>
      </c>
      <c r="AZ37" s="11">
        <f>AZ18*[10]Deflator!$U$20/[10]Deflator!$V$20</f>
        <v>13.043738530541935</v>
      </c>
      <c r="BA37" s="11">
        <f>BA18*[10]Deflator!$U$20/[10]Deflator!$V$20</f>
        <v>12.459690536637073</v>
      </c>
      <c r="BB37" s="11">
        <f>BB18*[10]Deflator!$U$20/[10]Deflator!$V$20</f>
        <v>11.875642542732209</v>
      </c>
      <c r="BC37" s="11">
        <f>BC18*[10]Deflator!$U$20/[10]Deflator!$V$20</f>
        <v>11.388935881144823</v>
      </c>
    </row>
    <row r="38" spans="2:55" x14ac:dyDescent="0.25">
      <c r="B38" t="s">
        <v>288</v>
      </c>
      <c r="C38">
        <v>125</v>
      </c>
      <c r="T38" t="str">
        <f>T19</f>
        <v>OECD steam coal imports</v>
      </c>
      <c r="U38" s="11">
        <f>U19*[10]Deflator!$U$20/[10]Deflator!$V$20</f>
        <v>120.11920407976677</v>
      </c>
      <c r="V38" s="11">
        <f>V19*[10]Deflator!$U$20/[10]Deflator!$V$20</f>
        <v>105.61534556446269</v>
      </c>
      <c r="W38" s="11">
        <f>W19*[10]Deflator!$U$20/[10]Deflator!$V$20</f>
        <v>109.02229219557438</v>
      </c>
      <c r="X38" s="11">
        <f>X19*[10]Deflator!$U$20/[10]Deflator!$V$20</f>
        <v>109.99570551874915</v>
      </c>
      <c r="Y38" s="11">
        <f>Y19*[10]Deflator!$U$20/[10]Deflator!$V$20</f>
        <v>110.96911884192392</v>
      </c>
      <c r="Z38" s="11">
        <f>Z19*[10]Deflator!$U$20/[10]Deflator!$V$20</f>
        <v>111.9425321650987</v>
      </c>
      <c r="AA38" s="11">
        <f>AA19*[10]Deflator!$U$20/[10]Deflator!$V$20</f>
        <v>107.07546554922483</v>
      </c>
      <c r="AB38" s="11">
        <f>AB19*[10]Deflator!$U$20/[10]Deflator!$V$20</f>
        <v>111.9425321650987</v>
      </c>
      <c r="AC38" s="11">
        <f>AC19*[10]Deflator!$U$20/[10]Deflator!$V$20</f>
        <v>116.03086812243274</v>
      </c>
      <c r="AD38" s="11">
        <f>AD19*[10]Deflator!$U$20/[10]Deflator!$V$20</f>
        <v>119.24313208890948</v>
      </c>
      <c r="AE38" s="11">
        <f>AE19*[10]Deflator!$U$20/[10]Deflator!$V$20</f>
        <v>121.6766653968464</v>
      </c>
      <c r="AF38" s="11">
        <f>AF19*[10]Deflator!$U$20/[10]Deflator!$V$20</f>
        <v>102.50042293030342</v>
      </c>
      <c r="AG38" s="11">
        <f>AG19*[10]Deflator!$U$20/[10]Deflator!$V$20</f>
        <v>94.907799009540199</v>
      </c>
      <c r="AH38" s="11">
        <f>AH19*[10]Deflator!$U$20/[10]Deflator!$V$20</f>
        <v>86.633785762554638</v>
      </c>
      <c r="AI38" s="11">
        <f>AI19*[10]Deflator!$U$20/[10]Deflator!$V$20</f>
        <v>75.92623920763215</v>
      </c>
      <c r="AJ38" s="11">
        <f>AJ19*[10]Deflator!$U$20/[10]Deflator!$V$20</f>
        <v>68.13893262223398</v>
      </c>
      <c r="AM38" t="str">
        <f>AM19</f>
        <v>OECD steam coal imports</v>
      </c>
      <c r="AN38" s="11">
        <f>AN19*[10]Deflator!$U$20/[10]Deflator!$V$20</f>
        <v>96.367918994302357</v>
      </c>
      <c r="AO38" s="11">
        <f>AO19*[10]Deflator!$U$20/[10]Deflator!$V$20</f>
        <v>98.923128967636131</v>
      </c>
      <c r="AP38" s="11">
        <f>AP19*[10]Deflator!$U$20/[10]Deflator!$V$20</f>
        <v>103.18181225652575</v>
      </c>
      <c r="AQ38" s="11">
        <f>AQ19*[10]Deflator!$U$20/[10]Deflator!$V$20</f>
        <v>106.10205222605006</v>
      </c>
      <c r="AR38" s="11">
        <f>AR19*[10]Deflator!$U$20/[10]Deflator!$V$20</f>
        <v>107.07546554922483</v>
      </c>
      <c r="AS38" s="11">
        <f>AS19*[10]Deflator!$U$20/[10]Deflator!$V$20</f>
        <v>107.07546554922483</v>
      </c>
      <c r="AT38" s="11">
        <f>AT19*[10]Deflator!$U$20/[10]Deflator!$V$20</f>
        <v>101.11330894477936</v>
      </c>
      <c r="AU38" s="11">
        <f>AU19*[10]Deflator!$U$20/[10]Deflator!$V$20</f>
        <v>109.02229219557438</v>
      </c>
      <c r="AV38" s="11">
        <f>AV19*[10]Deflator!$U$20/[10]Deflator!$V$20</f>
        <v>112.91594548827347</v>
      </c>
      <c r="AW38" s="11">
        <f>AW19*[10]Deflator!$U$20/[10]Deflator!$V$20</f>
        <v>114.862772134623</v>
      </c>
      <c r="AX38" s="11">
        <f>AX19*[10]Deflator!$U$20/[10]Deflator!$V$20</f>
        <v>116.80959878097255</v>
      </c>
      <c r="AY38" s="11">
        <f>AY19*[10]Deflator!$U$20/[10]Deflator!$V$20</f>
        <v>97.09797898668343</v>
      </c>
      <c r="AZ38" s="11">
        <f>AZ19*[10]Deflator!$U$20/[10]Deflator!$V$20</f>
        <v>98.314745640651893</v>
      </c>
      <c r="BA38" s="11">
        <f>BA19*[10]Deflator!$U$20/[10]Deflator!$V$20</f>
        <v>92.474265701603272</v>
      </c>
      <c r="BB38" s="11">
        <f>BB19*[10]Deflator!$U$20/[10]Deflator!$V$20</f>
        <v>83.71354579303032</v>
      </c>
      <c r="BC38" s="11">
        <f>BC19*[10]Deflator!$U$20/[10]Deflator!$V$20</f>
        <v>73.005999238107847</v>
      </c>
    </row>
    <row r="39" spans="2:55" x14ac:dyDescent="0.25">
      <c r="B39" t="s">
        <v>285</v>
      </c>
      <c r="C39">
        <v>145</v>
      </c>
      <c r="D39">
        <v>8</v>
      </c>
      <c r="E39">
        <v>14.8</v>
      </c>
      <c r="F39">
        <v>12.5</v>
      </c>
    </row>
    <row r="40" spans="2:55" x14ac:dyDescent="0.25">
      <c r="B40" s="53">
        <v>450</v>
      </c>
      <c r="C40">
        <v>100</v>
      </c>
    </row>
    <row r="41" spans="2:55" x14ac:dyDescent="0.25">
      <c r="D41">
        <f>D39/$C$39</f>
        <v>5.5172413793103448E-2</v>
      </c>
      <c r="E41">
        <f>E39/$C$39</f>
        <v>0.10206896551724139</v>
      </c>
      <c r="F41">
        <f>F39/$C$39</f>
        <v>8.6206896551724144E-2</v>
      </c>
    </row>
    <row r="42" spans="2:55" x14ac:dyDescent="0.25">
      <c r="V42" s="199">
        <f>(V33/U33)^(1/(V32-U32))-1</f>
        <v>1.8970074044000862E-2</v>
      </c>
      <c r="W42" s="199">
        <f>(W33/V33)^(1/(W32-V32))-1</f>
        <v>5.962944044239471E-3</v>
      </c>
      <c r="X42" s="199">
        <f>(X33/W33)^(1/(X32-W32))-1</f>
        <v>3.9848515148914743E-3</v>
      </c>
      <c r="Y42" s="199">
        <f>(Y33/X33)^(1/(Y32-X32))-1</f>
        <v>2.773741429406007E-3</v>
      </c>
      <c r="Z42" s="199">
        <f>(Z33/Y33)^(1/(Z32-Y32))-1</f>
        <v>2.2551775519457085E-3</v>
      </c>
      <c r="AA42" s="199">
        <f>(AA33/U33)^(1/(AA32-U32))-1</f>
        <v>2.4200203441211432E-2</v>
      </c>
      <c r="AB42" s="199">
        <f>(AB33/AA33)^(1/(AB32-AA32))-1</f>
        <v>1.6190173044798639E-2</v>
      </c>
      <c r="AC42" s="199">
        <f>(AC33/AB33)^(1/(AC32-AB32))-1</f>
        <v>1.1129093467930451E-2</v>
      </c>
      <c r="AD42" s="199">
        <f>(AD33/AC33)^(1/(AD32-AC32))-1</f>
        <v>7.9835969709516341E-3</v>
      </c>
      <c r="AE42" s="199">
        <f>(AE33/AD33)^(1/(AE32-AD32))-1</f>
        <v>5.4678712507574279E-3</v>
      </c>
      <c r="AF42" s="199">
        <f>(AF33/U33)^(1/(AF32-U32))-1</f>
        <v>1.7429343745218651E-2</v>
      </c>
      <c r="AG42" s="199">
        <f>(AG33/AF33)^(1/(AG32-AF32))-1</f>
        <v>-3.4935352041365331E-3</v>
      </c>
      <c r="AH42" s="199">
        <f>(AH33/AG33)^(1/(AH32-AG32))-1</f>
        <v>-7.5263888527359324E-3</v>
      </c>
      <c r="AI42" s="199">
        <f>(AI33/AH33)^(1/(AI32-AH32))-1</f>
        <v>-8.1993553946574371E-3</v>
      </c>
      <c r="AJ42" s="199">
        <f>(AJ33/AI33)^(1/(AJ32-AI32))-1</f>
        <v>-9.1437259266209381E-3</v>
      </c>
      <c r="AO42" s="199">
        <f>(AO33/AN33)^(1/(AO32-AN32))-1</f>
        <v>3.4227539726290335E-3</v>
      </c>
      <c r="AP42" s="199">
        <f>(AP33/AO33)^(1/(AP32-AO32))-1</f>
        <v>4.4844848921270497E-3</v>
      </c>
      <c r="AQ42" s="199">
        <f>(AQ33/AP33)^(1/(AQ32-AP32))-1</f>
        <v>5.2542297827959938E-3</v>
      </c>
      <c r="AR42" s="199">
        <f>(AR33/AQ33)^(1/(AR32-AQ32))-1</f>
        <v>8.4757887127040465E-3</v>
      </c>
      <c r="AS42" s="199">
        <f>(AS33/AR33)^(1/(AS32-AR32))-1</f>
        <v>1.1311439625934394E-2</v>
      </c>
      <c r="AT42" s="199">
        <f>(AT33/AN33)^(1/(AT32-AN32))-1</f>
        <v>9.3296321558093975E-3</v>
      </c>
      <c r="AU42" s="199">
        <f>(AU33/AT33)^(1/(AU32-AT32))-1</f>
        <v>1.1869558861851592E-2</v>
      </c>
      <c r="AV42" s="199">
        <f>(AV33/AU33)^(1/(AV32-AU32))-1</f>
        <v>1.1403599651385044E-2</v>
      </c>
      <c r="AW42" s="199">
        <f>(AW33/AV33)^(1/(AW32-AV32))-1</f>
        <v>1.3787746070069717E-2</v>
      </c>
      <c r="AX42" s="199">
        <f>(AX33/AW33)^(1/(AX32-AW32))-1</f>
        <v>1.2898245280189125E-2</v>
      </c>
      <c r="AY42" s="199">
        <f>(AY33/AN33)^(1/(AY32-AN32))-1</f>
        <v>8.5898432806441605E-4</v>
      </c>
      <c r="AZ42" s="199">
        <f>(AZ33/AY33)^(1/(AZ32-AY32))-1</f>
        <v>1.140253818557202E-3</v>
      </c>
      <c r="BA42" s="199">
        <f>(BA33/AZ33)^(1/(BA32-AZ32))-1</f>
        <v>-5.5150422735510407E-3</v>
      </c>
      <c r="BB42" s="199">
        <f>(BB33/BA33)^(1/(BB32-BA32))-1</f>
        <v>-5.6714433615395743E-3</v>
      </c>
      <c r="BC42" s="199">
        <f>(BC33/BB33)^(1/(BC32-BB32))-1</f>
        <v>-7.8134576287804958E-3</v>
      </c>
    </row>
    <row r="43" spans="2:55" x14ac:dyDescent="0.25">
      <c r="B43" t="s">
        <v>285</v>
      </c>
      <c r="D43">
        <v>2011</v>
      </c>
      <c r="E43">
        <v>2015</v>
      </c>
      <c r="F43">
        <v>2020</v>
      </c>
      <c r="G43">
        <v>2025</v>
      </c>
      <c r="H43">
        <v>2030</v>
      </c>
      <c r="I43">
        <v>2035</v>
      </c>
      <c r="V43" s="198">
        <f>AVERAGE(V42:Z42)</f>
        <v>6.7893577168967045E-3</v>
      </c>
      <c r="W43" s="198"/>
      <c r="X43" s="198"/>
      <c r="Y43" s="198"/>
      <c r="Z43" s="198"/>
      <c r="AA43" s="198">
        <f>AVERAGE(AA42:AE42)</f>
        <v>1.2994187635129916E-2</v>
      </c>
      <c r="AB43" s="198"/>
      <c r="AC43" s="198"/>
      <c r="AD43" s="198"/>
      <c r="AE43" s="198"/>
      <c r="AF43" s="198">
        <f>AVERAGE(AF42:AJ42)</f>
        <v>-2.1867323265864378E-3</v>
      </c>
      <c r="AG43" s="198"/>
      <c r="AH43" s="198"/>
      <c r="AI43" s="198"/>
      <c r="AJ43" s="198"/>
      <c r="AO43" s="198">
        <f>AVERAGE(AO42:AS42)</f>
        <v>6.5897393972381034E-3</v>
      </c>
      <c r="AP43" s="198"/>
      <c r="AQ43" s="198"/>
      <c r="AR43" s="198"/>
      <c r="AS43" s="198"/>
      <c r="AT43" s="198">
        <f>AVERAGE(AT42:AX42)</f>
        <v>1.1857756403860975E-2</v>
      </c>
      <c r="AU43" s="198"/>
      <c r="AV43" s="198"/>
      <c r="AW43" s="198"/>
      <c r="AX43" s="198"/>
      <c r="AY43" s="198">
        <f>AVERAGE(AY42:BC42)</f>
        <v>-3.4001410234498985E-3</v>
      </c>
      <c r="AZ43" s="198"/>
      <c r="BA43" s="198"/>
      <c r="BB43" s="198"/>
      <c r="BC43" s="198"/>
    </row>
    <row r="44" spans="2:55" x14ac:dyDescent="0.25">
      <c r="B44" t="s">
        <v>289</v>
      </c>
      <c r="C44" t="s">
        <v>141</v>
      </c>
      <c r="D44">
        <v>107.6</v>
      </c>
      <c r="E44">
        <v>118.4</v>
      </c>
      <c r="F44">
        <v>128.30000000000001</v>
      </c>
      <c r="G44">
        <v>135.69999999999999</v>
      </c>
      <c r="H44">
        <v>141.1</v>
      </c>
      <c r="I44">
        <v>145</v>
      </c>
      <c r="V44" s="198"/>
      <c r="W44" s="198"/>
      <c r="X44" s="198"/>
      <c r="Y44" s="198"/>
      <c r="Z44" s="198"/>
      <c r="AA44" s="198">
        <f>AA43-V43</f>
        <v>6.2048299182332119E-3</v>
      </c>
      <c r="AB44" s="198"/>
      <c r="AC44" s="198"/>
      <c r="AD44" s="198"/>
      <c r="AE44" s="198"/>
      <c r="AF44" s="198">
        <f>V43-AF43</f>
        <v>8.9760900434831432E-3</v>
      </c>
      <c r="AG44" s="198"/>
      <c r="AH44" s="198"/>
      <c r="AI44" s="198"/>
      <c r="AJ44" s="198"/>
      <c r="AO44" s="198"/>
      <c r="AP44" s="198"/>
      <c r="AQ44" s="198"/>
      <c r="AR44" s="198"/>
      <c r="AS44" s="198"/>
      <c r="AT44" s="198">
        <f>AT43-AO43</f>
        <v>5.2680170066228714E-3</v>
      </c>
      <c r="AU44" s="198"/>
      <c r="AV44" s="198"/>
      <c r="AW44" s="198"/>
      <c r="AX44" s="198"/>
      <c r="AY44" s="198">
        <f>AO43-AY43</f>
        <v>9.9898804206880014E-3</v>
      </c>
      <c r="AZ44" s="198"/>
      <c r="BA44" s="198"/>
      <c r="BB44" s="198"/>
      <c r="BC44" s="198"/>
    </row>
    <row r="45" spans="2:55" x14ac:dyDescent="0.25">
      <c r="B45" t="s">
        <v>312</v>
      </c>
      <c r="C45" t="s">
        <v>311</v>
      </c>
      <c r="D45">
        <v>14.8</v>
      </c>
      <c r="E45">
        <v>15.3</v>
      </c>
      <c r="F45">
        <v>14.7</v>
      </c>
      <c r="G45">
        <v>15.2</v>
      </c>
      <c r="H45">
        <v>15.6</v>
      </c>
      <c r="I45">
        <v>16</v>
      </c>
      <c r="V45" s="193">
        <f t="shared" ref="V45:Z48" si="13">V35/U35-1</f>
        <v>0.12195121951219523</v>
      </c>
      <c r="W45" s="193">
        <f t="shared" si="13"/>
        <v>0.17391304347826098</v>
      </c>
      <c r="X45" s="193">
        <f t="shared" si="13"/>
        <v>0.16666666666666652</v>
      </c>
      <c r="Y45" s="193">
        <f t="shared" si="13"/>
        <v>0.12698412698412698</v>
      </c>
      <c r="Z45" s="193">
        <f t="shared" si="13"/>
        <v>0.12676056338028174</v>
      </c>
      <c r="AA45" s="193">
        <f>AA35/U35-1</f>
        <v>0.12195121951219523</v>
      </c>
      <c r="AB45" s="193">
        <f t="shared" ref="AB45:AE48" si="14">AB35/AA35-1</f>
        <v>0.19565217391304368</v>
      </c>
      <c r="AC45" s="193">
        <f t="shared" si="14"/>
        <v>0.1636363636363638</v>
      </c>
      <c r="AD45" s="193">
        <f t="shared" si="14"/>
        <v>0.125</v>
      </c>
      <c r="AE45" s="193">
        <f t="shared" si="14"/>
        <v>0.11111111111111116</v>
      </c>
      <c r="AF45" s="193">
        <f>AF35/U35-1</f>
        <v>7.317073170731736E-2</v>
      </c>
      <c r="AG45" s="193">
        <f t="shared" ref="AG45:AJ48" si="15">AG35/AF35-1</f>
        <v>0.25</v>
      </c>
      <c r="AH45" s="193">
        <f t="shared" si="15"/>
        <v>0.25454545454545463</v>
      </c>
      <c r="AI45" s="193">
        <f t="shared" si="15"/>
        <v>0.10144927536231862</v>
      </c>
      <c r="AJ45" s="193">
        <f t="shared" si="15"/>
        <v>0</v>
      </c>
      <c r="AO45" s="193">
        <f t="shared" ref="AO45:AS48" si="16">AO35/AN35-1</f>
        <v>0.33333333333333304</v>
      </c>
      <c r="AP45" s="193">
        <f t="shared" si="16"/>
        <v>0.41666666666666674</v>
      </c>
      <c r="AQ45" s="193">
        <f t="shared" si="16"/>
        <v>9.8039215686274606E-2</v>
      </c>
      <c r="AR45" s="193">
        <f t="shared" si="16"/>
        <v>7.1428571428571397E-2</v>
      </c>
      <c r="AS45" s="193">
        <f t="shared" si="16"/>
        <v>0.1333333333333333</v>
      </c>
      <c r="AT45" s="193">
        <f>AT35/AN35-1</f>
        <v>0.3472222222222221</v>
      </c>
      <c r="AU45" s="193">
        <f t="shared" ref="AU45:AX48" si="17">AU35/AT35-1</f>
        <v>0.42955326460481102</v>
      </c>
      <c r="AV45" s="193">
        <f t="shared" si="17"/>
        <v>0.11538461538461542</v>
      </c>
      <c r="AW45" s="193">
        <f t="shared" si="17"/>
        <v>6.8965517241379448E-2</v>
      </c>
      <c r="AX45" s="193">
        <f t="shared" si="17"/>
        <v>0.11290322580645173</v>
      </c>
      <c r="AY45" s="193">
        <f>AY35/AN35-1</f>
        <v>0.29166666666666652</v>
      </c>
      <c r="AZ45" s="193">
        <f t="shared" ref="AZ45:BC48" si="18">AZ35/AY35-1</f>
        <v>0.37634408602150549</v>
      </c>
      <c r="BA45" s="193">
        <f t="shared" si="18"/>
        <v>0.12500000000000022</v>
      </c>
      <c r="BB45" s="193">
        <f t="shared" si="18"/>
        <v>5.555555555555558E-2</v>
      </c>
      <c r="BC45" s="193">
        <f t="shared" si="18"/>
        <v>3.5087719298245723E-2</v>
      </c>
    </row>
    <row r="46" spans="2:55" x14ac:dyDescent="0.25">
      <c r="V46" s="193">
        <f t="shared" si="13"/>
        <v>0.14583333333333348</v>
      </c>
      <c r="W46" s="193">
        <f t="shared" si="13"/>
        <v>4.5454545454545414E-2</v>
      </c>
      <c r="X46" s="193">
        <f t="shared" si="13"/>
        <v>3.4782608695652195E-2</v>
      </c>
      <c r="Y46" s="193">
        <f t="shared" si="13"/>
        <v>2.5210084033613356E-2</v>
      </c>
      <c r="Z46" s="193">
        <f t="shared" si="13"/>
        <v>2.4590163934426368E-2</v>
      </c>
      <c r="AA46" s="193">
        <f>AA36/U36-1</f>
        <v>0.15625</v>
      </c>
      <c r="AB46" s="193">
        <f t="shared" si="14"/>
        <v>9.0090090090090058E-2</v>
      </c>
      <c r="AC46" s="193">
        <f t="shared" si="14"/>
        <v>6.6115702479338845E-2</v>
      </c>
      <c r="AD46" s="193">
        <f t="shared" si="14"/>
        <v>3.8759689922480689E-2</v>
      </c>
      <c r="AE46" s="193">
        <f t="shared" si="14"/>
        <v>2.2388059701492491E-2</v>
      </c>
      <c r="AF46" s="193">
        <f>AF36/U36-1</f>
        <v>0.13541666666666674</v>
      </c>
      <c r="AG46" s="193">
        <f t="shared" si="15"/>
        <v>-9.1743119266054496E-3</v>
      </c>
      <c r="AH46" s="193">
        <f t="shared" si="15"/>
        <v>-3.703703703703709E-2</v>
      </c>
      <c r="AI46" s="193">
        <f t="shared" si="15"/>
        <v>-3.8461538461538547E-2</v>
      </c>
      <c r="AJ46" s="193">
        <f t="shared" si="15"/>
        <v>-4.0000000000000036E-2</v>
      </c>
      <c r="AO46" s="193">
        <f t="shared" si="16"/>
        <v>6.4102564102566095E-3</v>
      </c>
      <c r="AP46" s="193">
        <f t="shared" si="16"/>
        <v>1.0615711252653925E-2</v>
      </c>
      <c r="AQ46" s="193">
        <f t="shared" si="16"/>
        <v>8.4033613445377853E-3</v>
      </c>
      <c r="AR46" s="193">
        <f t="shared" si="16"/>
        <v>2.5000000000000133E-2</v>
      </c>
      <c r="AS46" s="193">
        <f t="shared" si="16"/>
        <v>3.2520325203251987E-2</v>
      </c>
      <c r="AT46" s="193">
        <f>AT36/AN36-1</f>
        <v>2.2435897435897578E-2</v>
      </c>
      <c r="AU46" s="193">
        <f t="shared" si="17"/>
        <v>3.6572622779519337E-2</v>
      </c>
      <c r="AV46" s="193">
        <f t="shared" si="17"/>
        <v>4.0322580645161255E-2</v>
      </c>
      <c r="AW46" s="193">
        <f t="shared" si="17"/>
        <v>3.8759689922480689E-2</v>
      </c>
      <c r="AX46" s="193">
        <f t="shared" si="17"/>
        <v>4.4776119402984982E-2</v>
      </c>
      <c r="AY46" s="193">
        <f>AY36/AN36-1</f>
        <v>-6.4102564102563875E-3</v>
      </c>
      <c r="AZ46" s="193">
        <f t="shared" si="18"/>
        <v>-1.0752688172043001E-2</v>
      </c>
      <c r="BA46" s="193">
        <f t="shared" si="18"/>
        <v>-4.3478260869565188E-2</v>
      </c>
      <c r="BB46" s="193">
        <f t="shared" si="18"/>
        <v>-7.2727272727272751E-2</v>
      </c>
      <c r="BC46" s="193">
        <f t="shared" si="18"/>
        <v>-6.8627450980392135E-2</v>
      </c>
    </row>
    <row r="47" spans="2:55" x14ac:dyDescent="0.25">
      <c r="B47" t="s">
        <v>310</v>
      </c>
      <c r="D47" s="178">
        <f t="shared" ref="D47:I47" si="19">D45/D44</f>
        <v>0.13754646840148702</v>
      </c>
      <c r="E47" s="178">
        <f t="shared" si="19"/>
        <v>0.12922297297297297</v>
      </c>
      <c r="F47" s="178">
        <f t="shared" si="19"/>
        <v>0.11457521434138736</v>
      </c>
      <c r="G47" s="178">
        <f t="shared" si="19"/>
        <v>0.11201179071481208</v>
      </c>
      <c r="H47" s="178">
        <f t="shared" si="19"/>
        <v>0.1105598866052445</v>
      </c>
      <c r="I47" s="178">
        <f t="shared" si="19"/>
        <v>0.1103448275862069</v>
      </c>
      <c r="V47" s="193">
        <f t="shared" si="13"/>
        <v>1.3513513513513375E-2</v>
      </c>
      <c r="W47" s="193">
        <f t="shared" si="13"/>
        <v>-4.6666666666666634E-2</v>
      </c>
      <c r="X47" s="193">
        <f t="shared" si="13"/>
        <v>1.3986013986013957E-2</v>
      </c>
      <c r="Y47" s="193">
        <f t="shared" si="13"/>
        <v>1.379310344827589E-2</v>
      </c>
      <c r="Z47" s="193">
        <f t="shared" si="13"/>
        <v>6.8027210884353817E-3</v>
      </c>
      <c r="AA47" s="193">
        <f>AA37/U37-1</f>
        <v>3.3783783783783772E-2</v>
      </c>
      <c r="AB47" s="193">
        <f t="shared" si="14"/>
        <v>-3.9215686274509887E-2</v>
      </c>
      <c r="AC47" s="193">
        <f t="shared" si="14"/>
        <v>3.4013605442176909E-2</v>
      </c>
      <c r="AD47" s="193">
        <f t="shared" si="14"/>
        <v>2.6315789473684292E-2</v>
      </c>
      <c r="AE47" s="193">
        <f t="shared" si="14"/>
        <v>2.5641025641025772E-2</v>
      </c>
      <c r="AF47" s="193">
        <f>AF37/U37-1</f>
        <v>6.7567567567567988E-3</v>
      </c>
      <c r="AG47" s="193">
        <f t="shared" si="15"/>
        <v>-9.3959731543624136E-2</v>
      </c>
      <c r="AH47" s="193">
        <f t="shared" si="15"/>
        <v>-4.4444444444444398E-2</v>
      </c>
      <c r="AI47" s="193">
        <f t="shared" si="15"/>
        <v>-3.1007751937984551E-2</v>
      </c>
      <c r="AJ47" s="193">
        <f t="shared" si="15"/>
        <v>-2.4000000000000021E-2</v>
      </c>
      <c r="AO47" s="193">
        <f t="shared" si="16"/>
        <v>-5.9911242603550185E-2</v>
      </c>
      <c r="AP47" s="193">
        <f t="shared" si="16"/>
        <v>-0.10621557828481509</v>
      </c>
      <c r="AQ47" s="193">
        <f t="shared" si="16"/>
        <v>0</v>
      </c>
      <c r="AR47" s="193">
        <f t="shared" si="16"/>
        <v>1.4084507042253502E-2</v>
      </c>
      <c r="AS47" s="193">
        <f t="shared" si="16"/>
        <v>3.4722222222222321E-2</v>
      </c>
      <c r="AT47" s="193">
        <f>AT37/AN37-1</f>
        <v>-4.8816568047337139E-2</v>
      </c>
      <c r="AU47" s="193">
        <f t="shared" si="17"/>
        <v>-8.5536547433903598E-2</v>
      </c>
      <c r="AV47" s="193">
        <f t="shared" si="17"/>
        <v>3.4013605442176909E-2</v>
      </c>
      <c r="AW47" s="193">
        <f t="shared" si="17"/>
        <v>4.6052631578947345E-2</v>
      </c>
      <c r="AX47" s="193">
        <f t="shared" si="17"/>
        <v>5.0314465408804798E-2</v>
      </c>
      <c r="AY47" s="193">
        <f>AY37/AN37-1</f>
        <v>-7.7662721893490883E-2</v>
      </c>
      <c r="AZ47" s="193">
        <f t="shared" si="18"/>
        <v>-0.14033680834001605</v>
      </c>
      <c r="BA47" s="193">
        <f t="shared" si="18"/>
        <v>-4.4776119402985093E-2</v>
      </c>
      <c r="BB47" s="193">
        <f t="shared" si="18"/>
        <v>-4.6875000000000111E-2</v>
      </c>
      <c r="BC47" s="193">
        <f t="shared" si="18"/>
        <v>-4.0983606557377095E-2</v>
      </c>
    </row>
    <row r="48" spans="2:55" x14ac:dyDescent="0.25">
      <c r="B48" t="s">
        <v>294</v>
      </c>
      <c r="D48" s="197">
        <f>AVERAGE(D47:I47)</f>
        <v>0.11904352677035181</v>
      </c>
      <c r="V48" s="193">
        <f t="shared" si="13"/>
        <v>-0.12074554294975681</v>
      </c>
      <c r="W48" s="193">
        <f t="shared" si="13"/>
        <v>3.2258064516129004E-2</v>
      </c>
      <c r="X48" s="193">
        <f t="shared" si="13"/>
        <v>8.9285714285713969E-3</v>
      </c>
      <c r="Y48" s="193">
        <f t="shared" si="13"/>
        <v>8.8495575221239076E-3</v>
      </c>
      <c r="Z48" s="193">
        <f t="shared" si="13"/>
        <v>8.7719298245614308E-3</v>
      </c>
      <c r="AA48" s="193">
        <f>AA38/U38-1</f>
        <v>-0.10858995137763383</v>
      </c>
      <c r="AB48" s="193">
        <f t="shared" si="14"/>
        <v>4.5454545454545636E-2</v>
      </c>
      <c r="AC48" s="193">
        <f t="shared" si="14"/>
        <v>3.6521739130434883E-2</v>
      </c>
      <c r="AD48" s="193">
        <f t="shared" si="14"/>
        <v>2.7684563758389125E-2</v>
      </c>
      <c r="AE48" s="193">
        <f t="shared" si="14"/>
        <v>2.0408163265306145E-2</v>
      </c>
      <c r="AF48" s="193">
        <f>AF38/U38-1</f>
        <v>-0.14667747163695299</v>
      </c>
      <c r="AG48" s="193">
        <f t="shared" si="15"/>
        <v>-7.407407407407407E-2</v>
      </c>
      <c r="AH48" s="193">
        <f t="shared" si="15"/>
        <v>-8.7179487179487203E-2</v>
      </c>
      <c r="AI48" s="193">
        <f t="shared" si="15"/>
        <v>-0.12359550561797761</v>
      </c>
      <c r="AJ48" s="193">
        <f t="shared" si="15"/>
        <v>-0.10256410256410253</v>
      </c>
      <c r="AO48" s="193">
        <f t="shared" si="16"/>
        <v>2.6515151515151603E-2</v>
      </c>
      <c r="AP48" s="193">
        <f t="shared" si="16"/>
        <v>4.3050430504304904E-2</v>
      </c>
      <c r="AQ48" s="193">
        <f t="shared" si="16"/>
        <v>2.8301886792452935E-2</v>
      </c>
      <c r="AR48" s="193">
        <f t="shared" si="16"/>
        <v>9.1743119266054496E-3</v>
      </c>
      <c r="AS48" s="193">
        <f t="shared" si="16"/>
        <v>0</v>
      </c>
      <c r="AT48" s="193">
        <f>AT38/AN38-1</f>
        <v>4.9242424242424088E-2</v>
      </c>
      <c r="AU48" s="193">
        <f t="shared" si="17"/>
        <v>7.8219013237063706E-2</v>
      </c>
      <c r="AV48" s="193">
        <f t="shared" si="17"/>
        <v>3.5714285714285809E-2</v>
      </c>
      <c r="AW48" s="193">
        <f t="shared" si="17"/>
        <v>1.7241379310344751E-2</v>
      </c>
      <c r="AX48" s="193">
        <f t="shared" si="17"/>
        <v>1.6949152542372836E-2</v>
      </c>
      <c r="AY48" s="193">
        <f>AY38/AN38-1</f>
        <v>7.575757575757569E-3</v>
      </c>
      <c r="AZ48" s="193">
        <f t="shared" si="18"/>
        <v>1.2531328320801949E-2</v>
      </c>
      <c r="BA48" s="193">
        <f t="shared" si="18"/>
        <v>-5.9405940594059348E-2</v>
      </c>
      <c r="BB48" s="193">
        <f t="shared" si="18"/>
        <v>-9.473684210526323E-2</v>
      </c>
      <c r="BC48" s="193">
        <f t="shared" si="18"/>
        <v>-0.12790697674418594</v>
      </c>
    </row>
    <row r="52" spans="40:93" x14ac:dyDescent="0.25">
      <c r="AN52" t="s">
        <v>309</v>
      </c>
      <c r="AY52" t="s">
        <v>308</v>
      </c>
    </row>
    <row r="61" spans="40:93" x14ac:dyDescent="0.25">
      <c r="BJ61">
        <v>2009</v>
      </c>
      <c r="BK61">
        <f t="shared" ref="BK61:CO61" si="20">BJ61+1</f>
        <v>2010</v>
      </c>
      <c r="BL61">
        <f t="shared" si="20"/>
        <v>2011</v>
      </c>
      <c r="BM61">
        <f t="shared" si="20"/>
        <v>2012</v>
      </c>
      <c r="BN61">
        <f t="shared" si="20"/>
        <v>2013</v>
      </c>
      <c r="BO61">
        <f t="shared" si="20"/>
        <v>2014</v>
      </c>
      <c r="BP61">
        <f t="shared" si="20"/>
        <v>2015</v>
      </c>
      <c r="BQ61">
        <f t="shared" si="20"/>
        <v>2016</v>
      </c>
      <c r="BR61">
        <f t="shared" si="20"/>
        <v>2017</v>
      </c>
      <c r="BS61">
        <f t="shared" si="20"/>
        <v>2018</v>
      </c>
      <c r="BT61">
        <f t="shared" si="20"/>
        <v>2019</v>
      </c>
      <c r="BU61">
        <f t="shared" si="20"/>
        <v>2020</v>
      </c>
      <c r="BV61">
        <f t="shared" si="20"/>
        <v>2021</v>
      </c>
      <c r="BW61">
        <f t="shared" si="20"/>
        <v>2022</v>
      </c>
      <c r="BX61">
        <f t="shared" si="20"/>
        <v>2023</v>
      </c>
      <c r="BY61">
        <f t="shared" si="20"/>
        <v>2024</v>
      </c>
      <c r="BZ61">
        <f t="shared" si="20"/>
        <v>2025</v>
      </c>
      <c r="CA61">
        <f t="shared" si="20"/>
        <v>2026</v>
      </c>
      <c r="CB61">
        <f t="shared" si="20"/>
        <v>2027</v>
      </c>
      <c r="CC61">
        <f t="shared" si="20"/>
        <v>2028</v>
      </c>
      <c r="CD61">
        <f t="shared" si="20"/>
        <v>2029</v>
      </c>
      <c r="CE61">
        <f t="shared" si="20"/>
        <v>2030</v>
      </c>
      <c r="CF61">
        <f t="shared" si="20"/>
        <v>2031</v>
      </c>
      <c r="CG61">
        <f t="shared" si="20"/>
        <v>2032</v>
      </c>
      <c r="CH61">
        <f t="shared" si="20"/>
        <v>2033</v>
      </c>
      <c r="CI61">
        <f t="shared" si="20"/>
        <v>2034</v>
      </c>
      <c r="CJ61">
        <f t="shared" si="20"/>
        <v>2035</v>
      </c>
      <c r="CK61">
        <f t="shared" si="20"/>
        <v>2036</v>
      </c>
      <c r="CL61">
        <f t="shared" si="20"/>
        <v>2037</v>
      </c>
      <c r="CM61">
        <f t="shared" si="20"/>
        <v>2038</v>
      </c>
      <c r="CN61">
        <f t="shared" si="20"/>
        <v>2039</v>
      </c>
      <c r="CO61">
        <f t="shared" si="20"/>
        <v>2040</v>
      </c>
    </row>
    <row r="62" spans="40:93" x14ac:dyDescent="0.25">
      <c r="BI62" t="s">
        <v>307</v>
      </c>
      <c r="BJ62">
        <v>56.836562006837397</v>
      </c>
      <c r="BK62">
        <v>68.779678025794695</v>
      </c>
      <c r="BL62">
        <v>79.639382805889497</v>
      </c>
      <c r="BM62">
        <v>77.842519345736903</v>
      </c>
      <c r="BN62">
        <v>76.314333558226096</v>
      </c>
      <c r="BO62">
        <v>74.8222129553005</v>
      </c>
      <c r="BP62">
        <v>73.365306398604005</v>
      </c>
      <c r="BQ62">
        <v>75.040990933453401</v>
      </c>
      <c r="BR62">
        <v>76.763259498371596</v>
      </c>
      <c r="BS62">
        <v>78.533407129394604</v>
      </c>
      <c r="BT62">
        <v>80.352764864560001</v>
      </c>
      <c r="BU62">
        <v>82.222700744763003</v>
      </c>
      <c r="BV62">
        <v>83.743644706949894</v>
      </c>
      <c r="BW62">
        <v>85.298049436305007</v>
      </c>
      <c r="BX62">
        <v>86.886651069705906</v>
      </c>
      <c r="BY62">
        <v>88.510201939041593</v>
      </c>
      <c r="BZ62">
        <v>90.169470927502701</v>
      </c>
      <c r="CA62">
        <v>91.849827716380801</v>
      </c>
      <c r="CB62">
        <v>93.566816283256401</v>
      </c>
      <c r="CC62">
        <v>95.321235200890001</v>
      </c>
      <c r="CD62">
        <v>97.1139004509279</v>
      </c>
      <c r="CE62">
        <v>98.945645803416596</v>
      </c>
      <c r="CF62">
        <v>100.834494556894</v>
      </c>
      <c r="CG62">
        <v>102.76489798294701</v>
      </c>
      <c r="CH62">
        <v>104.73777028437399</v>
      </c>
      <c r="CI62">
        <v>106.754045776433</v>
      </c>
      <c r="CJ62">
        <v>108.814679329317</v>
      </c>
      <c r="CK62">
        <v>111.016372615411</v>
      </c>
      <c r="CL62">
        <v>113.268704847086</v>
      </c>
      <c r="CM62">
        <v>115.57284072009</v>
      </c>
      <c r="CN62">
        <v>117.929971718172</v>
      </c>
      <c r="CO62">
        <v>120.341316729211</v>
      </c>
    </row>
    <row r="63" spans="40:93" x14ac:dyDescent="0.25">
      <c r="BI63" t="s">
        <v>306</v>
      </c>
      <c r="BJ63">
        <v>48.0870264618137</v>
      </c>
      <c r="BK63">
        <v>57.641519276979601</v>
      </c>
      <c r="BL63">
        <v>66.329283101055395</v>
      </c>
      <c r="BM63">
        <v>64.891792332933306</v>
      </c>
      <c r="BN63">
        <v>63.669243702924703</v>
      </c>
      <c r="BO63">
        <v>62.475547220584197</v>
      </c>
      <c r="BP63">
        <v>61.310021975227002</v>
      </c>
      <c r="BQ63">
        <v>62.650569603106497</v>
      </c>
      <c r="BR63">
        <v>64.028384455041106</v>
      </c>
      <c r="BS63">
        <v>65.444502559859501</v>
      </c>
      <c r="BT63">
        <v>66.899988747991799</v>
      </c>
      <c r="BU63">
        <v>68.395937452154101</v>
      </c>
      <c r="BV63">
        <v>69.612692621903705</v>
      </c>
      <c r="BW63">
        <v>70.856216405387798</v>
      </c>
      <c r="BX63">
        <v>72.127097712108494</v>
      </c>
      <c r="BY63">
        <v>73.425938407577107</v>
      </c>
      <c r="BZ63">
        <v>74.753353598345996</v>
      </c>
      <c r="CA63">
        <v>76.097639029448402</v>
      </c>
      <c r="CB63">
        <v>77.471229882948904</v>
      </c>
      <c r="CC63">
        <v>78.874765017055694</v>
      </c>
      <c r="CD63">
        <v>80.308897217086098</v>
      </c>
      <c r="CE63">
        <v>81.774293499077103</v>
      </c>
      <c r="CF63">
        <v>83.285372501859001</v>
      </c>
      <c r="CG63">
        <v>84.829695242702101</v>
      </c>
      <c r="CH63">
        <v>86.407993083843706</v>
      </c>
      <c r="CI63">
        <v>88.021013477490399</v>
      </c>
      <c r="CJ63">
        <v>89.6695203197974</v>
      </c>
      <c r="CK63">
        <v>91.430874948673207</v>
      </c>
      <c r="CL63">
        <v>93.232740734013106</v>
      </c>
      <c r="CM63">
        <v>95.0760494324159</v>
      </c>
      <c r="CN63">
        <v>96.961754230881894</v>
      </c>
      <c r="CO63">
        <v>98.890830239712699</v>
      </c>
    </row>
    <row r="64" spans="40:93" x14ac:dyDescent="0.25">
      <c r="BI64" t="s">
        <v>305</v>
      </c>
      <c r="BJ64">
        <v>91.693028043665805</v>
      </c>
      <c r="BK64">
        <v>98.858897655040195</v>
      </c>
      <c r="BL64">
        <v>105.374720523097</v>
      </c>
      <c r="BM64">
        <v>104.296602447005</v>
      </c>
      <c r="BN64">
        <v>103.379690974499</v>
      </c>
      <c r="BO64">
        <v>102.484418612743</v>
      </c>
      <c r="BP64">
        <v>101.61027467872501</v>
      </c>
      <c r="BQ64">
        <v>102.615685399635</v>
      </c>
      <c r="BR64">
        <v>103.64904653858601</v>
      </c>
      <c r="BS64">
        <v>104.7111351172</v>
      </c>
      <c r="BT64">
        <v>105.802749758299</v>
      </c>
      <c r="BU64">
        <v>106.924711286421</v>
      </c>
      <c r="BV64">
        <v>107.837277663733</v>
      </c>
      <c r="BW64">
        <v>108.76992050134599</v>
      </c>
      <c r="BX64">
        <v>109.723081481386</v>
      </c>
      <c r="BY64">
        <v>110.697212002988</v>
      </c>
      <c r="BZ64">
        <v>111.69277339606499</v>
      </c>
      <c r="CA64">
        <v>112.70098746939099</v>
      </c>
      <c r="CB64">
        <v>113.731180609517</v>
      </c>
      <c r="CC64">
        <v>114.783831960097</v>
      </c>
      <c r="CD64">
        <v>115.85943111012</v>
      </c>
      <c r="CE64">
        <v>116.958478321613</v>
      </c>
      <c r="CF64">
        <v>118.09178757369899</v>
      </c>
      <c r="CG64">
        <v>119.250029629332</v>
      </c>
      <c r="CH64">
        <v>120.433753010188</v>
      </c>
      <c r="CI64">
        <v>121.643518305423</v>
      </c>
      <c r="CJ64">
        <v>122.879898437153</v>
      </c>
      <c r="CK64">
        <v>124.20091440880999</v>
      </c>
      <c r="CL64">
        <v>125.55231374781501</v>
      </c>
      <c r="CM64">
        <v>126.93479527161701</v>
      </c>
      <c r="CN64">
        <v>128.34907387046701</v>
      </c>
      <c r="CO64">
        <v>129.79588087709001</v>
      </c>
    </row>
    <row r="65" spans="1:110" x14ac:dyDescent="0.25">
      <c r="C65" t="s">
        <v>304</v>
      </c>
      <c r="BI65" t="s">
        <v>303</v>
      </c>
      <c r="BJ65">
        <v>56.350556885865103</v>
      </c>
      <c r="BK65">
        <v>69.726846827097404</v>
      </c>
      <c r="BL65">
        <v>81.889716180803504</v>
      </c>
      <c r="BM65">
        <v>79.877229105432605</v>
      </c>
      <c r="BN65">
        <v>78.165661023420498</v>
      </c>
      <c r="BO65">
        <v>76.494485948143804</v>
      </c>
      <c r="BP65">
        <v>74.862750604643693</v>
      </c>
      <c r="BQ65">
        <v>76.739517283675099</v>
      </c>
      <c r="BR65">
        <v>78.668458076383502</v>
      </c>
      <c r="BS65">
        <v>80.651023423129203</v>
      </c>
      <c r="BT65">
        <v>82.688704086514406</v>
      </c>
      <c r="BU65">
        <v>84.783032272341799</v>
      </c>
      <c r="BV65">
        <v>86.486489509991202</v>
      </c>
      <c r="BW65">
        <v>88.227422806868901</v>
      </c>
      <c r="BX65">
        <v>90.006656636277896</v>
      </c>
      <c r="BY65">
        <v>91.825033609933797</v>
      </c>
      <c r="BZ65">
        <v>93.683414877010307</v>
      </c>
      <c r="CA65">
        <v>95.565414480553699</v>
      </c>
      <c r="CB65">
        <v>97.488441675454496</v>
      </c>
      <c r="CC65">
        <v>99.453390863204007</v>
      </c>
      <c r="CD65">
        <v>101.461175943246</v>
      </c>
      <c r="CE65">
        <v>103.512730738033</v>
      </c>
      <c r="CF65">
        <v>105.628241341928</v>
      </c>
      <c r="CG65">
        <v>107.79029317910801</v>
      </c>
      <c r="CH65">
        <v>109.999910156707</v>
      </c>
      <c r="CI65">
        <v>112.25813870781199</v>
      </c>
      <c r="CJ65">
        <v>114.56604828704199</v>
      </c>
      <c r="CK65">
        <v>117.031944767468</v>
      </c>
      <c r="CL65">
        <v>119.554556866944</v>
      </c>
      <c r="CM65">
        <v>122.135189044708</v>
      </c>
      <c r="CN65">
        <v>124.77517576256</v>
      </c>
      <c r="CO65">
        <v>127.475882174923</v>
      </c>
    </row>
    <row r="66" spans="1:110" x14ac:dyDescent="0.25">
      <c r="E66" s="196">
        <v>2010</v>
      </c>
      <c r="F66" s="196">
        <v>2011</v>
      </c>
      <c r="G66" s="196">
        <v>2012</v>
      </c>
      <c r="H66" s="196">
        <v>2013</v>
      </c>
      <c r="I66" s="196">
        <v>2014</v>
      </c>
      <c r="J66" s="196">
        <v>2015</v>
      </c>
      <c r="K66" s="196">
        <v>2016</v>
      </c>
      <c r="L66" s="196">
        <v>2017</v>
      </c>
      <c r="M66" s="196">
        <v>2018</v>
      </c>
      <c r="N66" s="196">
        <v>2019</v>
      </c>
      <c r="O66" s="196">
        <v>2020</v>
      </c>
      <c r="P66" s="196">
        <v>2021</v>
      </c>
      <c r="Q66" s="196">
        <v>2022</v>
      </c>
      <c r="R66" s="196">
        <v>2023</v>
      </c>
      <c r="S66" s="196">
        <v>2024</v>
      </c>
      <c r="T66" s="196">
        <v>2025</v>
      </c>
      <c r="U66" s="196">
        <v>2026</v>
      </c>
      <c r="V66" s="196">
        <v>2027</v>
      </c>
      <c r="W66" s="196">
        <v>2028</v>
      </c>
      <c r="X66" s="196">
        <v>2029</v>
      </c>
      <c r="Y66" s="196">
        <v>2030</v>
      </c>
      <c r="Z66" s="196">
        <v>2031</v>
      </c>
      <c r="AA66" s="196">
        <v>2032</v>
      </c>
      <c r="AB66" s="196">
        <v>2033</v>
      </c>
      <c r="AC66" s="196">
        <v>2034</v>
      </c>
      <c r="AD66" s="196">
        <v>2035</v>
      </c>
      <c r="AE66" s="196">
        <v>2036</v>
      </c>
      <c r="AF66" s="196">
        <v>2037</v>
      </c>
      <c r="AG66" s="196">
        <v>2038</v>
      </c>
      <c r="AH66" s="196">
        <v>2039</v>
      </c>
      <c r="AI66" s="196">
        <v>2040</v>
      </c>
      <c r="AJ66" s="195">
        <v>2040</v>
      </c>
      <c r="BI66" t="s">
        <v>83</v>
      </c>
      <c r="BJ66">
        <v>59.214752586665199</v>
      </c>
      <c r="BK66">
        <v>72.5910425278975</v>
      </c>
      <c r="BL66">
        <v>84.753911881603599</v>
      </c>
      <c r="BM66">
        <v>82.7414248062327</v>
      </c>
      <c r="BN66">
        <v>81.029856724220593</v>
      </c>
      <c r="BO66">
        <v>79.358681648944</v>
      </c>
      <c r="BP66">
        <v>77.726946305443803</v>
      </c>
      <c r="BQ66">
        <v>79.603712984475195</v>
      </c>
      <c r="BR66">
        <v>81.532653777183597</v>
      </c>
      <c r="BS66">
        <v>83.515219123929299</v>
      </c>
      <c r="BT66">
        <v>85.552899787314502</v>
      </c>
      <c r="BU66">
        <v>87.647227973141895</v>
      </c>
      <c r="BV66">
        <v>89.350685210791298</v>
      </c>
      <c r="BW66">
        <v>91.091618507668997</v>
      </c>
      <c r="BX66">
        <v>92.870852337078006</v>
      </c>
      <c r="BY66">
        <v>94.689229310734007</v>
      </c>
      <c r="BZ66">
        <v>96.547610577810403</v>
      </c>
      <c r="CA66">
        <v>98.429610181353894</v>
      </c>
      <c r="CB66">
        <v>100.35263737625399</v>
      </c>
      <c r="CC66">
        <v>102.317586564004</v>
      </c>
      <c r="CD66">
        <v>104.325371644046</v>
      </c>
      <c r="CE66">
        <v>106.376926438834</v>
      </c>
      <c r="CF66">
        <v>108.492437042728</v>
      </c>
      <c r="CG66">
        <v>110.654488879909</v>
      </c>
      <c r="CH66">
        <v>112.864105857507</v>
      </c>
      <c r="CI66">
        <v>115.12233440861201</v>
      </c>
      <c r="CJ66">
        <v>117.430243987842</v>
      </c>
      <c r="CK66">
        <v>119.896140468268</v>
      </c>
      <c r="CL66">
        <v>122.41875256774399</v>
      </c>
      <c r="CM66">
        <v>124.999384745508</v>
      </c>
      <c r="CN66">
        <v>127.63937146336001</v>
      </c>
      <c r="CO66">
        <v>130.34007787572301</v>
      </c>
    </row>
    <row r="67" spans="1:110" x14ac:dyDescent="0.25">
      <c r="C67" t="s">
        <v>302</v>
      </c>
      <c r="E67" s="11">
        <v>79.389076000000003</v>
      </c>
      <c r="F67" s="11">
        <v>94.859168999999994</v>
      </c>
      <c r="G67" s="11">
        <v>94.859168999999994</v>
      </c>
      <c r="H67" s="11">
        <v>92.487885000000006</v>
      </c>
      <c r="I67" s="11">
        <v>87.805297999999993</v>
      </c>
      <c r="J67" s="11">
        <v>88.300728000000007</v>
      </c>
      <c r="K67" s="11">
        <v>88.208190999999999</v>
      </c>
      <c r="L67" s="11">
        <v>91.330726999999996</v>
      </c>
      <c r="M67" s="11">
        <v>96.076545999999993</v>
      </c>
      <c r="N67" s="11">
        <v>98.696785000000006</v>
      </c>
      <c r="O67" s="11">
        <v>101.262398</v>
      </c>
      <c r="P67" s="11">
        <v>103.574341</v>
      </c>
      <c r="Q67" s="11">
        <v>105.833641</v>
      </c>
      <c r="R67" s="11">
        <v>108.141273</v>
      </c>
      <c r="S67" s="11">
        <v>110.498299</v>
      </c>
      <c r="T67" s="11">
        <v>112.905762</v>
      </c>
      <c r="U67" s="11">
        <v>115.364754</v>
      </c>
      <c r="V67" s="11">
        <v>117.876358</v>
      </c>
      <c r="W67" s="11">
        <v>120.441711</v>
      </c>
      <c r="X67" s="11">
        <v>123.061966</v>
      </c>
      <c r="Y67" s="11">
        <v>125.738281</v>
      </c>
      <c r="Z67" s="11">
        <v>128.47189299999999</v>
      </c>
      <c r="AA67" s="11">
        <v>131.263992</v>
      </c>
      <c r="AB67" s="11">
        <v>134.11582899999999</v>
      </c>
      <c r="AC67" s="11">
        <v>137.028717</v>
      </c>
      <c r="AD67" s="11">
        <v>140.184662</v>
      </c>
      <c r="AE67" s="11">
        <v>143.41224700000001</v>
      </c>
      <c r="AF67" s="11">
        <v>146.71312</v>
      </c>
      <c r="AG67" s="11">
        <v>150.088898</v>
      </c>
      <c r="AH67" s="11">
        <v>153.54132100000001</v>
      </c>
      <c r="AI67" s="11">
        <v>157.07212799999999</v>
      </c>
      <c r="AJ67">
        <v>160.683044</v>
      </c>
    </row>
    <row r="68" spans="1:110" x14ac:dyDescent="0.25">
      <c r="BK68" t="s">
        <v>301</v>
      </c>
      <c r="BX68" t="s">
        <v>300</v>
      </c>
      <c r="CJ68" t="s">
        <v>299</v>
      </c>
      <c r="CU68" t="s">
        <v>298</v>
      </c>
      <c r="DF68" t="s">
        <v>297</v>
      </c>
    </row>
    <row r="70" spans="1:110" x14ac:dyDescent="0.25">
      <c r="F70" s="11">
        <f>U33</f>
        <v>104.73927357360537</v>
      </c>
    </row>
    <row r="73" spans="1:110" x14ac:dyDescent="0.25">
      <c r="E73" s="194">
        <f>E77/D77-1</f>
        <v>0.27288760622093955</v>
      </c>
      <c r="F73" s="194">
        <f>F76/E76-1</f>
        <v>0.194850346391233</v>
      </c>
      <c r="G73" s="194">
        <f>G77/F77-1</f>
        <v>-2.6586676825228861E-2</v>
      </c>
      <c r="J73" s="193">
        <f>(J76/G76)^(1/(J75-G75))-1</f>
        <v>-2.3598758847122037E-2</v>
      </c>
      <c r="O73" s="193">
        <f>(O76/J76)^(1/(O75-J75))-1</f>
        <v>2.7772006767478707E-2</v>
      </c>
      <c r="T73" s="193">
        <f>(T76/O76)^(1/(T75-O75))-1</f>
        <v>2.2006315854426139E-2</v>
      </c>
      <c r="Y73" s="193">
        <f>(Y76/T76)^(1/(Y75-T75))-1</f>
        <v>2.1763260013069941E-2</v>
      </c>
      <c r="AD73" s="193">
        <f>(AD76/Y76)^(1/(AD75-Y75))-1</f>
        <v>2.198988164876714E-2</v>
      </c>
      <c r="AI73" s="193">
        <f>(AI76/AD76)^(1/(AI75-AD75))-1</f>
        <v>2.3009639008272131E-2</v>
      </c>
    </row>
    <row r="74" spans="1:110" x14ac:dyDescent="0.25">
      <c r="C74" t="s">
        <v>296</v>
      </c>
    </row>
    <row r="75" spans="1:110" x14ac:dyDescent="0.25">
      <c r="C75" t="s">
        <v>2</v>
      </c>
      <c r="D75">
        <v>2009</v>
      </c>
      <c r="E75">
        <v>2010</v>
      </c>
      <c r="F75">
        <f t="shared" ref="F75:AN75" si="21">+E75+1</f>
        <v>2011</v>
      </c>
      <c r="G75">
        <f t="shared" si="21"/>
        <v>2012</v>
      </c>
      <c r="H75">
        <f t="shared" si="21"/>
        <v>2013</v>
      </c>
      <c r="I75">
        <f t="shared" si="21"/>
        <v>2014</v>
      </c>
      <c r="J75">
        <f t="shared" si="21"/>
        <v>2015</v>
      </c>
      <c r="K75">
        <f t="shared" si="21"/>
        <v>2016</v>
      </c>
      <c r="L75">
        <f t="shared" si="21"/>
        <v>2017</v>
      </c>
      <c r="M75">
        <f t="shared" si="21"/>
        <v>2018</v>
      </c>
      <c r="N75">
        <f t="shared" si="21"/>
        <v>2019</v>
      </c>
      <c r="O75">
        <f t="shared" si="21"/>
        <v>2020</v>
      </c>
      <c r="P75">
        <f t="shared" si="21"/>
        <v>2021</v>
      </c>
      <c r="Q75">
        <f t="shared" si="21"/>
        <v>2022</v>
      </c>
      <c r="R75">
        <f t="shared" si="21"/>
        <v>2023</v>
      </c>
      <c r="S75">
        <f t="shared" si="21"/>
        <v>2024</v>
      </c>
      <c r="T75">
        <f t="shared" si="21"/>
        <v>2025</v>
      </c>
      <c r="U75">
        <f t="shared" si="21"/>
        <v>2026</v>
      </c>
      <c r="V75">
        <f t="shared" si="21"/>
        <v>2027</v>
      </c>
      <c r="W75">
        <f t="shared" si="21"/>
        <v>2028</v>
      </c>
      <c r="X75">
        <f t="shared" si="21"/>
        <v>2029</v>
      </c>
      <c r="Y75">
        <f t="shared" si="21"/>
        <v>2030</v>
      </c>
      <c r="Z75">
        <f t="shared" si="21"/>
        <v>2031</v>
      </c>
      <c r="AA75">
        <f t="shared" si="21"/>
        <v>2032</v>
      </c>
      <c r="AB75">
        <f t="shared" si="21"/>
        <v>2033</v>
      </c>
      <c r="AC75">
        <f t="shared" si="21"/>
        <v>2034</v>
      </c>
      <c r="AD75">
        <f t="shared" si="21"/>
        <v>2035</v>
      </c>
      <c r="AE75">
        <f t="shared" si="21"/>
        <v>2036</v>
      </c>
      <c r="AF75">
        <f t="shared" si="21"/>
        <v>2037</v>
      </c>
      <c r="AG75">
        <f t="shared" si="21"/>
        <v>2038</v>
      </c>
      <c r="AH75">
        <f t="shared" si="21"/>
        <v>2039</v>
      </c>
      <c r="AI75">
        <f t="shared" si="21"/>
        <v>2040</v>
      </c>
      <c r="AJ75">
        <f t="shared" si="21"/>
        <v>2041</v>
      </c>
      <c r="AK75">
        <f t="shared" si="21"/>
        <v>2042</v>
      </c>
      <c r="AL75">
        <f t="shared" si="21"/>
        <v>2043</v>
      </c>
      <c r="AM75">
        <f t="shared" si="21"/>
        <v>2044</v>
      </c>
      <c r="AN75">
        <f t="shared" si="21"/>
        <v>2045</v>
      </c>
      <c r="AX75">
        <f>+AN75+1</f>
        <v>2046</v>
      </c>
      <c r="AY75">
        <f>+AX75+1</f>
        <v>2047</v>
      </c>
      <c r="AZ75">
        <f>+AY75+1</f>
        <v>2048</v>
      </c>
      <c r="BA75">
        <f>+AZ75+1</f>
        <v>2049</v>
      </c>
      <c r="BB75">
        <f>+BA75+1</f>
        <v>2050</v>
      </c>
      <c r="BC75" t="s">
        <v>2</v>
      </c>
      <c r="BD75" t="s">
        <v>2</v>
      </c>
      <c r="BE75" t="s">
        <v>294</v>
      </c>
    </row>
    <row r="76" spans="1:110" ht="51.75" x14ac:dyDescent="0.25">
      <c r="A76">
        <v>1</v>
      </c>
      <c r="B76" t="s">
        <v>293</v>
      </c>
      <c r="C76" s="186" t="s">
        <v>292</v>
      </c>
      <c r="D76" s="188">
        <v>62.37</v>
      </c>
      <c r="E76" s="188">
        <v>79.39</v>
      </c>
      <c r="F76" s="192">
        <v>94.859168999999994</v>
      </c>
      <c r="G76" s="192">
        <f>G67/[10]Deflator!$V$17</f>
        <v>92.33717892988723</v>
      </c>
      <c r="H76" s="192">
        <f>H67/[10]Deflator!$V$17</f>
        <v>90.028939491256082</v>
      </c>
      <c r="I76" s="192">
        <f>I67/[10]Deflator!$V$17</f>
        <v>85.470846918531095</v>
      </c>
      <c r="J76" s="192">
        <f>J67/[10]Deflator!$V$17</f>
        <v>85.953105081231584</v>
      </c>
      <c r="K76" s="192">
        <f>K67/[10]Deflator!$V$17</f>
        <v>85.863028332544943</v>
      </c>
      <c r="L76" s="192">
        <f>L67/[10]Deflator!$V$17</f>
        <v>88.902546477037802</v>
      </c>
      <c r="M76" s="192">
        <f>M67/[10]Deflator!$V$17</f>
        <v>93.522189921013762</v>
      </c>
      <c r="N76" s="192">
        <f>N67/[10]Deflator!$V$17</f>
        <v>96.072765473515915</v>
      </c>
      <c r="O76" s="192">
        <f>O67/[10]Deflator!$V$17</f>
        <v>98.57016734982632</v>
      </c>
      <c r="P76" s="192">
        <f>P67/[10]Deflator!$V$17</f>
        <v>100.82064346844696</v>
      </c>
      <c r="Q76" s="192">
        <f>Q67/[10]Deflator!$V$17</f>
        <v>103.01987618949572</v>
      </c>
      <c r="R76" s="192">
        <f>R67/[10]Deflator!$V$17</f>
        <v>105.26615592328017</v>
      </c>
      <c r="S76" s="192">
        <f>S67/[10]Deflator!$V$17</f>
        <v>107.5605164347495</v>
      </c>
      <c r="T76" s="192">
        <f>T67/[10]Deflator!$V$17</f>
        <v>109.9039729939998</v>
      </c>
      <c r="U76" s="192">
        <f>U67/[10]Deflator!$V$17</f>
        <v>112.29758856837999</v>
      </c>
      <c r="V76" s="192">
        <f>V67/[10]Deflator!$V$17</f>
        <v>114.74241736451903</v>
      </c>
      <c r="W76" s="192">
        <f>W67/[10]Deflator!$V$17</f>
        <v>117.2395661533654</v>
      </c>
      <c r="X76" s="192">
        <f>X67/[10]Deflator!$V$17</f>
        <v>119.79015728048071</v>
      </c>
      <c r="Y76" s="192">
        <f>Y67/[10]Deflator!$V$17</f>
        <v>122.39531795849319</v>
      </c>
      <c r="Z76" s="192">
        <f>Z67/[10]Deflator!$V$17</f>
        <v>125.05625229968362</v>
      </c>
      <c r="AA76" s="192">
        <f>AA67/[10]Deflator!$V$17</f>
        <v>127.77411866590658</v>
      </c>
      <c r="AB76" s="192">
        <f>AB67/[10]Deflator!$V$17</f>
        <v>130.55013479722936</v>
      </c>
      <c r="AC76" s="192">
        <f>AC67/[10]Deflator!$V$17</f>
        <v>133.38557878534527</v>
      </c>
      <c r="AD76" s="192">
        <f>AD67/[10]Deflator!$V$17</f>
        <v>136.45761769555207</v>
      </c>
      <c r="AE76" s="192">
        <f>AE67/[10]Deflator!$V$17</f>
        <v>139.59939193623111</v>
      </c>
      <c r="AF76" s="192">
        <f>AF67/[10]Deflator!$V$17</f>
        <v>142.81250569253899</v>
      </c>
      <c r="AG76" s="192">
        <f>AG67/[10]Deflator!$V$17</f>
        <v>146.09853297381929</v>
      </c>
      <c r="AH76" s="192">
        <f>AH67/[10]Deflator!$V$17</f>
        <v>149.45916751925429</v>
      </c>
      <c r="AI76" s="192">
        <f>AI67/[10]Deflator!$V$17</f>
        <v>152.89610209461301</v>
      </c>
      <c r="AJ76">
        <f t="shared" ref="AJ76:AN77" si="22">FORECAST(AJ$75,Y76:AI76,Y$75:AI$75)</f>
        <v>155.27101346119434</v>
      </c>
      <c r="AK76">
        <f t="shared" si="22"/>
        <v>158.49110875989118</v>
      </c>
      <c r="AL76">
        <f t="shared" si="22"/>
        <v>161.71787616588426</v>
      </c>
      <c r="AM76">
        <f t="shared" si="22"/>
        <v>164.93669887188025</v>
      </c>
      <c r="AN76">
        <f t="shared" si="22"/>
        <v>168.1306741474591</v>
      </c>
      <c r="AX76">
        <f>FORECAST(AX$75,AD76:AN76,AD$75:AN$75)</f>
        <v>171.28066006182507</v>
      </c>
      <c r="AY76">
        <f t="shared" ref="AY76:BB77" si="23">FORECAST(AY$75,AE76:AX76,AE$75:AX$75)</f>
        <v>174.40702666770994</v>
      </c>
      <c r="AZ76">
        <f t="shared" si="23"/>
        <v>177.51341636719098</v>
      </c>
      <c r="BA76">
        <f t="shared" si="23"/>
        <v>180.61026731443872</v>
      </c>
      <c r="BB76">
        <f t="shared" si="23"/>
        <v>183.71716629037019</v>
      </c>
      <c r="BE76" s="187">
        <v>2.4E-2</v>
      </c>
    </row>
    <row r="77" spans="1:110" x14ac:dyDescent="0.25">
      <c r="A77">
        <v>2</v>
      </c>
      <c r="B77" t="s">
        <v>291</v>
      </c>
      <c r="C77" t="s">
        <v>291</v>
      </c>
      <c r="D77">
        <f>+D76</f>
        <v>62.37</v>
      </c>
      <c r="E77">
        <f>+E76</f>
        <v>79.39</v>
      </c>
      <c r="F77">
        <f>+F76</f>
        <v>94.859168999999994</v>
      </c>
      <c r="G77" s="191">
        <f>G76</f>
        <v>92.33717892988723</v>
      </c>
      <c r="H77" s="190">
        <f t="shared" ref="H77:N77" si="24">($O$77/$G$77)^(1/($O$75-$G$75))*G77</f>
        <v>98.513554427606991</v>
      </c>
      <c r="I77" s="190">
        <f t="shared" si="24"/>
        <v>105.10306377596994</v>
      </c>
      <c r="J77" s="190">
        <f t="shared" si="24"/>
        <v>112.13334123694902</v>
      </c>
      <c r="K77" s="190">
        <f t="shared" si="24"/>
        <v>119.63386951082258</v>
      </c>
      <c r="L77" s="190">
        <f t="shared" si="24"/>
        <v>127.63610337704354</v>
      </c>
      <c r="M77" s="190">
        <f t="shared" si="24"/>
        <v>136.17360160536808</v>
      </c>
      <c r="N77" s="190">
        <f t="shared" si="24"/>
        <v>145.28216769043632</v>
      </c>
      <c r="O77" s="189">
        <v>155</v>
      </c>
      <c r="P77" s="190">
        <f t="shared" ref="P77:X77" si="25">($Y$77/$O$77)^(1/($Y$75-$O$75))*O77</f>
        <v>159.00161221441482</v>
      </c>
      <c r="Q77" s="190">
        <f t="shared" si="25"/>
        <v>163.10653346311707</v>
      </c>
      <c r="R77" s="190">
        <f t="shared" si="25"/>
        <v>167.31743086025816</v>
      </c>
      <c r="S77" s="190">
        <f t="shared" si="25"/>
        <v>171.63704037648341</v>
      </c>
      <c r="T77" s="190">
        <f t="shared" si="25"/>
        <v>176.06816861659016</v>
      </c>
      <c r="U77" s="190">
        <f t="shared" si="25"/>
        <v>180.61369464307916</v>
      </c>
      <c r="V77" s="190">
        <f t="shared" si="25"/>
        <v>185.27657184678452</v>
      </c>
      <c r="W77" s="190">
        <f t="shared" si="25"/>
        <v>190.05982986579741</v>
      </c>
      <c r="X77" s="190">
        <f t="shared" si="25"/>
        <v>194.96657655393017</v>
      </c>
      <c r="Y77" s="189">
        <v>200</v>
      </c>
      <c r="Z77" s="190">
        <f t="shared" ref="Z77:AH77" si="26">($AI$77/$Y$77)^(1/($AI$75-$Y$75))*Y77</f>
        <v>204.1002818892168</v>
      </c>
      <c r="AA77" s="190">
        <f t="shared" si="26"/>
        <v>208.2846253362888</v>
      </c>
      <c r="AB77" s="190">
        <f t="shared" si="26"/>
        <v>212.55475372163227</v>
      </c>
      <c r="AC77" s="190">
        <f t="shared" si="26"/>
        <v>216.91242575739099</v>
      </c>
      <c r="AD77" s="190">
        <f t="shared" si="26"/>
        <v>221.35943621178657</v>
      </c>
      <c r="AE77" s="190">
        <f t="shared" si="26"/>
        <v>225.89761664831872</v>
      </c>
      <c r="AF77" s="190">
        <f t="shared" si="26"/>
        <v>230.52883618012044</v>
      </c>
      <c r="AG77" s="190">
        <f t="shared" si="26"/>
        <v>235.25500223977832</v>
      </c>
      <c r="AH77" s="190">
        <f t="shared" si="26"/>
        <v>240.07806136493542</v>
      </c>
      <c r="AI77" s="189">
        <v>245</v>
      </c>
      <c r="AJ77">
        <f t="shared" si="22"/>
        <v>248.8022183638368</v>
      </c>
      <c r="AK77">
        <f t="shared" si="22"/>
        <v>253.45915016798972</v>
      </c>
      <c r="AL77">
        <f t="shared" si="22"/>
        <v>258.116730073074</v>
      </c>
      <c r="AM77">
        <f t="shared" si="22"/>
        <v>262.76470012501886</v>
      </c>
      <c r="AN77">
        <f t="shared" si="22"/>
        <v>267.39402937401974</v>
      </c>
      <c r="AX77">
        <f>FORECAST(AX$75,AD77:AN77,AD$75:AN$75)</f>
        <v>271.99802193637879</v>
      </c>
      <c r="AY77">
        <f t="shared" si="23"/>
        <v>276.57376315881811</v>
      </c>
      <c r="AZ77">
        <f t="shared" si="23"/>
        <v>281.12396643489228</v>
      </c>
      <c r="BA77">
        <f t="shared" si="23"/>
        <v>285.65928752739273</v>
      </c>
      <c r="BB77">
        <f t="shared" si="23"/>
        <v>290.20117570827824</v>
      </c>
    </row>
    <row r="78" spans="1:110" x14ac:dyDescent="0.25">
      <c r="A78">
        <v>3</v>
      </c>
      <c r="B78" t="s">
        <v>290</v>
      </c>
    </row>
    <row r="80" spans="1:110" x14ac:dyDescent="0.25">
      <c r="AF80" t="s">
        <v>2</v>
      </c>
    </row>
    <row r="82" spans="1:121" x14ac:dyDescent="0.25">
      <c r="C82" t="s">
        <v>295</v>
      </c>
    </row>
    <row r="83" spans="1:121" x14ac:dyDescent="0.25">
      <c r="C83" t="s">
        <v>2</v>
      </c>
      <c r="D83">
        <v>2009</v>
      </c>
      <c r="E83">
        <v>2010</v>
      </c>
      <c r="F83">
        <f t="shared" ref="F83:AN83" si="27">+E83+1</f>
        <v>2011</v>
      </c>
      <c r="G83">
        <f t="shared" si="27"/>
        <v>2012</v>
      </c>
      <c r="H83">
        <f t="shared" si="27"/>
        <v>2013</v>
      </c>
      <c r="I83">
        <f t="shared" si="27"/>
        <v>2014</v>
      </c>
      <c r="J83">
        <f t="shared" si="27"/>
        <v>2015</v>
      </c>
      <c r="K83">
        <f t="shared" si="27"/>
        <v>2016</v>
      </c>
      <c r="L83">
        <f t="shared" si="27"/>
        <v>2017</v>
      </c>
      <c r="M83">
        <f t="shared" si="27"/>
        <v>2018</v>
      </c>
      <c r="N83">
        <f t="shared" si="27"/>
        <v>2019</v>
      </c>
      <c r="O83">
        <f t="shared" si="27"/>
        <v>2020</v>
      </c>
      <c r="P83">
        <f t="shared" si="27"/>
        <v>2021</v>
      </c>
      <c r="Q83">
        <f t="shared" si="27"/>
        <v>2022</v>
      </c>
      <c r="R83">
        <f t="shared" si="27"/>
        <v>2023</v>
      </c>
      <c r="S83">
        <f t="shared" si="27"/>
        <v>2024</v>
      </c>
      <c r="T83">
        <f t="shared" si="27"/>
        <v>2025</v>
      </c>
      <c r="U83">
        <f t="shared" si="27"/>
        <v>2026</v>
      </c>
      <c r="V83">
        <f t="shared" si="27"/>
        <v>2027</v>
      </c>
      <c r="W83">
        <f t="shared" si="27"/>
        <v>2028</v>
      </c>
      <c r="X83">
        <f t="shared" si="27"/>
        <v>2029</v>
      </c>
      <c r="Y83">
        <f t="shared" si="27"/>
        <v>2030</v>
      </c>
      <c r="Z83">
        <f t="shared" si="27"/>
        <v>2031</v>
      </c>
      <c r="AA83">
        <f t="shared" si="27"/>
        <v>2032</v>
      </c>
      <c r="AB83">
        <f t="shared" si="27"/>
        <v>2033</v>
      </c>
      <c r="AC83">
        <f t="shared" si="27"/>
        <v>2034</v>
      </c>
      <c r="AD83">
        <f t="shared" si="27"/>
        <v>2035</v>
      </c>
      <c r="AE83">
        <f t="shared" si="27"/>
        <v>2036</v>
      </c>
      <c r="AF83">
        <f t="shared" si="27"/>
        <v>2037</v>
      </c>
      <c r="AG83">
        <f t="shared" si="27"/>
        <v>2038</v>
      </c>
      <c r="AH83">
        <f t="shared" si="27"/>
        <v>2039</v>
      </c>
      <c r="AI83">
        <f t="shared" si="27"/>
        <v>2040</v>
      </c>
      <c r="AJ83">
        <f t="shared" si="27"/>
        <v>2041</v>
      </c>
      <c r="AK83">
        <f t="shared" si="27"/>
        <v>2042</v>
      </c>
      <c r="AL83">
        <f t="shared" si="27"/>
        <v>2043</v>
      </c>
      <c r="AM83">
        <f t="shared" si="27"/>
        <v>2044</v>
      </c>
      <c r="AN83">
        <f t="shared" si="27"/>
        <v>2045</v>
      </c>
      <c r="AX83">
        <f>+AN83+1</f>
        <v>2046</v>
      </c>
      <c r="AY83">
        <f>+AX83+1</f>
        <v>2047</v>
      </c>
      <c r="AZ83">
        <f>+AY83+1</f>
        <v>2048</v>
      </c>
      <c r="BA83">
        <f>+AZ83+1</f>
        <v>2049</v>
      </c>
      <c r="BB83">
        <f>+BA83+1</f>
        <v>2050</v>
      </c>
      <c r="BC83" t="s">
        <v>2</v>
      </c>
      <c r="BD83" t="s">
        <v>2</v>
      </c>
      <c r="BE83" t="s">
        <v>294</v>
      </c>
    </row>
    <row r="84" spans="1:121" ht="51.75" x14ac:dyDescent="0.25">
      <c r="A84">
        <v>1</v>
      </c>
      <c r="B84" t="s">
        <v>293</v>
      </c>
      <c r="C84" s="186" t="s">
        <v>292</v>
      </c>
      <c r="D84" s="188">
        <v>62.37</v>
      </c>
      <c r="E84" s="188">
        <v>79.39</v>
      </c>
      <c r="F84" s="188">
        <v>92.86</v>
      </c>
      <c r="G84" s="188">
        <v>94.73</v>
      </c>
      <c r="H84" s="188">
        <v>103.71</v>
      </c>
      <c r="I84" s="188">
        <v>110.9</v>
      </c>
      <c r="J84" s="188">
        <v>116.91</v>
      </c>
      <c r="K84" s="188">
        <v>119.92</v>
      </c>
      <c r="L84" s="188">
        <v>122.89</v>
      </c>
      <c r="M84" s="188">
        <v>124</v>
      </c>
      <c r="N84" s="188">
        <v>125.22</v>
      </c>
      <c r="O84" s="188">
        <v>126.68</v>
      </c>
      <c r="P84" s="188">
        <v>127.99</v>
      </c>
      <c r="Q84" s="188">
        <v>129.41999999999999</v>
      </c>
      <c r="R84" s="188">
        <v>130.47999999999999</v>
      </c>
      <c r="S84" s="188">
        <v>131.54</v>
      </c>
      <c r="T84" s="188">
        <v>132.56</v>
      </c>
      <c r="U84" s="188">
        <v>133.47999999999999</v>
      </c>
      <c r="V84" s="188">
        <v>134.34</v>
      </c>
      <c r="W84" s="188">
        <v>135.38</v>
      </c>
      <c r="X84" s="188">
        <v>137.03</v>
      </c>
      <c r="Y84" s="188">
        <v>138.49</v>
      </c>
      <c r="Z84" s="188">
        <v>139.84</v>
      </c>
      <c r="AA84" s="188">
        <v>141.13999999999999</v>
      </c>
      <c r="AB84" s="188">
        <v>142.35</v>
      </c>
      <c r="AC84" s="188">
        <v>143.79</v>
      </c>
      <c r="AD84" s="186">
        <v>144.97999999999999</v>
      </c>
      <c r="AE84">
        <f t="shared" ref="AE84:AN84" si="28">(($AD$76-$I$76)/21)+AD84</f>
        <v>147.40794146557241</v>
      </c>
      <c r="AF84">
        <f t="shared" si="28"/>
        <v>149.83588293114482</v>
      </c>
      <c r="AG84">
        <f t="shared" si="28"/>
        <v>152.26382439671724</v>
      </c>
      <c r="AH84">
        <f t="shared" si="28"/>
        <v>154.69176586228966</v>
      </c>
      <c r="AI84">
        <f t="shared" si="28"/>
        <v>157.11970732786207</v>
      </c>
      <c r="AJ84">
        <f t="shared" si="28"/>
        <v>159.54764879343449</v>
      </c>
      <c r="AK84">
        <f t="shared" si="28"/>
        <v>161.97559025900691</v>
      </c>
      <c r="AL84">
        <f t="shared" si="28"/>
        <v>164.40353172457932</v>
      </c>
      <c r="AM84">
        <f t="shared" si="28"/>
        <v>166.83147319015174</v>
      </c>
      <c r="AN84">
        <f t="shared" si="28"/>
        <v>169.25941465572416</v>
      </c>
      <c r="AX84">
        <f>(($AD$76-$I$76)/21)+AN84</f>
        <v>171.68735612129657</v>
      </c>
      <c r="AY84">
        <f>(($AD$76-$I$76)/21)+AX84</f>
        <v>174.11529758686899</v>
      </c>
      <c r="AZ84">
        <f>(($AD$76-$I$76)/21)+AY84</f>
        <v>176.54323905244141</v>
      </c>
      <c r="BA84">
        <f>(($AD$76-$I$76)/21)+AZ84</f>
        <v>178.97118051801382</v>
      </c>
      <c r="BB84">
        <f>(($AD$76-$I$76)/21)+BA84</f>
        <v>181.39912198358624</v>
      </c>
      <c r="BE84" s="187">
        <v>2.4E-2</v>
      </c>
    </row>
    <row r="85" spans="1:121" x14ac:dyDescent="0.25">
      <c r="A85">
        <v>2</v>
      </c>
      <c r="B85" t="s">
        <v>291</v>
      </c>
      <c r="C85" t="s">
        <v>291</v>
      </c>
      <c r="D85">
        <f>+D84</f>
        <v>62.37</v>
      </c>
      <c r="E85">
        <f>+E84</f>
        <v>79.39</v>
      </c>
      <c r="F85">
        <f>+F84</f>
        <v>92.86</v>
      </c>
      <c r="G85" s="186">
        <v>139.22</v>
      </c>
      <c r="H85" s="186">
        <v>173.04</v>
      </c>
      <c r="I85" s="186">
        <v>178.88</v>
      </c>
      <c r="J85" s="186">
        <v>182.1</v>
      </c>
      <c r="K85" s="186">
        <v>184.27</v>
      </c>
      <c r="L85" s="186">
        <v>185.75</v>
      </c>
      <c r="M85" s="186">
        <v>187.38</v>
      </c>
      <c r="N85" s="186">
        <v>188.86</v>
      </c>
      <c r="O85" s="186">
        <v>189.93</v>
      </c>
      <c r="P85" s="186">
        <v>191.04</v>
      </c>
      <c r="Q85" s="186">
        <v>191.91</v>
      </c>
      <c r="R85" s="186">
        <v>192.47</v>
      </c>
      <c r="S85" s="186">
        <v>192.85</v>
      </c>
      <c r="T85" s="186">
        <v>193.48</v>
      </c>
      <c r="U85" s="186">
        <v>194.18</v>
      </c>
      <c r="V85" s="186">
        <v>195.14</v>
      </c>
      <c r="W85" s="186">
        <v>195.82</v>
      </c>
      <c r="X85" s="186">
        <v>196.98</v>
      </c>
      <c r="Y85" s="186">
        <v>198.24</v>
      </c>
      <c r="Z85" s="186">
        <v>198.88</v>
      </c>
      <c r="AA85" s="186">
        <v>199.24</v>
      </c>
      <c r="AB85" s="186">
        <v>199.55</v>
      </c>
      <c r="AC85" s="186">
        <v>200.3</v>
      </c>
      <c r="AD85" s="186">
        <v>200.36</v>
      </c>
      <c r="AE85">
        <f t="shared" ref="AE85:AN85" si="29">(($AD$77-$I$77)/21)+AD85</f>
        <v>205.8960177350389</v>
      </c>
      <c r="AF85">
        <f t="shared" si="29"/>
        <v>211.43203547007778</v>
      </c>
      <c r="AG85">
        <f t="shared" si="29"/>
        <v>216.96805320511666</v>
      </c>
      <c r="AH85">
        <f t="shared" si="29"/>
        <v>222.50407094015554</v>
      </c>
      <c r="AI85">
        <f t="shared" si="29"/>
        <v>228.04008867519443</v>
      </c>
      <c r="AJ85">
        <f t="shared" si="29"/>
        <v>233.57610641023331</v>
      </c>
      <c r="AK85">
        <f t="shared" si="29"/>
        <v>239.11212414527219</v>
      </c>
      <c r="AL85">
        <f t="shared" si="29"/>
        <v>244.64814188031107</v>
      </c>
      <c r="AM85">
        <f t="shared" si="29"/>
        <v>250.18415961534996</v>
      </c>
      <c r="AN85">
        <f t="shared" si="29"/>
        <v>255.72017735038884</v>
      </c>
      <c r="AX85">
        <f>(($AD$77-$I$77)/21)+AN85</f>
        <v>261.25619508542775</v>
      </c>
      <c r="AY85">
        <f>(($AD$77-$I$77)/21)+AX85</f>
        <v>266.79221282046666</v>
      </c>
      <c r="AZ85">
        <f>(($AD$77-$I$77)/21)+AY85</f>
        <v>272.32823055550557</v>
      </c>
      <c r="BA85">
        <f>(($AD$77-$I$77)/21)+AZ85</f>
        <v>277.86424829054448</v>
      </c>
      <c r="BB85">
        <f>(($AD$77-$I$77)/21)+BA85</f>
        <v>283.40026602558339</v>
      </c>
    </row>
    <row r="86" spans="1:121" x14ac:dyDescent="0.25">
      <c r="A86">
        <v>3</v>
      </c>
      <c r="B86" t="s">
        <v>290</v>
      </c>
    </row>
    <row r="92" spans="1:121" x14ac:dyDescent="0.25">
      <c r="CJ92" t="s">
        <v>289</v>
      </c>
    </row>
    <row r="93" spans="1:121" x14ac:dyDescent="0.25">
      <c r="BN93" t="s">
        <v>288</v>
      </c>
      <c r="BQ93" t="s">
        <v>285</v>
      </c>
      <c r="BT93" t="s">
        <v>287</v>
      </c>
      <c r="BZ93">
        <v>2020</v>
      </c>
      <c r="CA93">
        <v>2030</v>
      </c>
      <c r="CB93">
        <v>2040</v>
      </c>
      <c r="CC93">
        <v>2050</v>
      </c>
      <c r="CK93">
        <v>2019</v>
      </c>
      <c r="CL93">
        <v>2020</v>
      </c>
      <c r="CM93">
        <v>2021</v>
      </c>
      <c r="CN93">
        <v>2025</v>
      </c>
      <c r="CO93">
        <v>2030</v>
      </c>
      <c r="CP93">
        <v>2035</v>
      </c>
      <c r="CQ93">
        <v>2040</v>
      </c>
      <c r="CR93">
        <v>2050</v>
      </c>
    </row>
    <row r="94" spans="1:121" x14ac:dyDescent="0.25">
      <c r="BK94" t="s">
        <v>286</v>
      </c>
      <c r="BM94">
        <v>2015</v>
      </c>
      <c r="BN94">
        <v>2020</v>
      </c>
      <c r="BO94">
        <v>2030</v>
      </c>
      <c r="BP94">
        <v>2040</v>
      </c>
      <c r="BQ94">
        <v>2020</v>
      </c>
      <c r="BR94">
        <v>2030</v>
      </c>
      <c r="BS94">
        <v>2040</v>
      </c>
      <c r="BT94">
        <v>2020</v>
      </c>
      <c r="BU94">
        <v>2030</v>
      </c>
      <c r="BV94">
        <v>2040</v>
      </c>
      <c r="BY94" t="s">
        <v>285</v>
      </c>
      <c r="BZ94">
        <v>62</v>
      </c>
      <c r="CA94">
        <v>105</v>
      </c>
      <c r="CB94">
        <v>127</v>
      </c>
      <c r="CC94">
        <v>140</v>
      </c>
      <c r="CJ94" t="s">
        <v>106</v>
      </c>
      <c r="CK94">
        <v>63</v>
      </c>
      <c r="CL94">
        <v>40</v>
      </c>
      <c r="CM94">
        <f>(62+54)/2</f>
        <v>58</v>
      </c>
      <c r="CN94">
        <v>71</v>
      </c>
      <c r="CO94">
        <v>76</v>
      </c>
      <c r="CP94">
        <v>81</v>
      </c>
      <c r="CQ94">
        <v>85</v>
      </c>
      <c r="CR94">
        <f>FORECAST(CR93,CP94:CQ94,CP93:CQ93)</f>
        <v>93</v>
      </c>
      <c r="DL94" s="212" t="s">
        <v>284</v>
      </c>
      <c r="DM94" s="212"/>
      <c r="DN94" s="212" t="s">
        <v>109</v>
      </c>
      <c r="DO94" s="212"/>
      <c r="DP94" s="212" t="s">
        <v>106</v>
      </c>
      <c r="DQ94" s="212"/>
    </row>
    <row r="95" spans="1:121" x14ac:dyDescent="0.25">
      <c r="BK95" t="s">
        <v>283</v>
      </c>
      <c r="BL95" t="s">
        <v>282</v>
      </c>
      <c r="BM95">
        <v>51</v>
      </c>
      <c r="BN95">
        <v>79</v>
      </c>
      <c r="BO95">
        <v>111</v>
      </c>
      <c r="BP95">
        <v>124</v>
      </c>
      <c r="BQ95">
        <v>82</v>
      </c>
      <c r="BR95">
        <v>127</v>
      </c>
      <c r="BS95">
        <v>146</v>
      </c>
      <c r="BT95">
        <v>73</v>
      </c>
      <c r="BU95">
        <v>85</v>
      </c>
      <c r="BV95">
        <v>78</v>
      </c>
      <c r="BY95" t="s">
        <v>106</v>
      </c>
      <c r="BZ95">
        <v>62</v>
      </c>
      <c r="CA95">
        <v>84</v>
      </c>
      <c r="CB95">
        <v>96</v>
      </c>
      <c r="CC95">
        <v>100</v>
      </c>
      <c r="CJ95" t="s">
        <v>281</v>
      </c>
      <c r="CK95">
        <f>CK94</f>
        <v>63</v>
      </c>
      <c r="CL95">
        <v>40</v>
      </c>
      <c r="CM95">
        <f>CM94</f>
        <v>58</v>
      </c>
      <c r="CN95">
        <v>57</v>
      </c>
      <c r="CO95" s="11">
        <f>($CQ95-$CN95)/($CQ$93-$CN$93)*(CO$93-$CN$93)+$CN95</f>
        <v>55.666666666666664</v>
      </c>
      <c r="CP95" s="11">
        <f>($CQ95-$CN95)/($CQ$93-$CN$93)*(CP$93-$CN$93)+$CN95</f>
        <v>54.333333333333336</v>
      </c>
      <c r="CQ95">
        <v>53</v>
      </c>
      <c r="CR95" s="11">
        <f>FORECAST(CR94,CP95:CQ95,CP94:CQ94)</f>
        <v>50.333333333333329</v>
      </c>
      <c r="DF95" t="s">
        <v>280</v>
      </c>
      <c r="DG95" t="s">
        <v>279</v>
      </c>
      <c r="DH95" t="s">
        <v>278</v>
      </c>
      <c r="DI95" t="s">
        <v>277</v>
      </c>
      <c r="DJ95">
        <v>2010</v>
      </c>
      <c r="DK95">
        <v>2021</v>
      </c>
      <c r="DL95">
        <v>2030</v>
      </c>
      <c r="DM95">
        <v>2050</v>
      </c>
      <c r="DN95">
        <v>2030</v>
      </c>
      <c r="DO95">
        <v>2050</v>
      </c>
      <c r="DP95">
        <v>2030</v>
      </c>
      <c r="DQ95">
        <v>2050</v>
      </c>
    </row>
    <row r="96" spans="1:121" x14ac:dyDescent="0.25">
      <c r="BK96" t="s">
        <v>276</v>
      </c>
      <c r="BL96" t="s">
        <v>275</v>
      </c>
      <c r="BY96" t="s">
        <v>274</v>
      </c>
      <c r="BZ96">
        <v>62</v>
      </c>
      <c r="CA96">
        <v>60</v>
      </c>
      <c r="CB96">
        <v>58</v>
      </c>
      <c r="CC96">
        <v>58</v>
      </c>
      <c r="CJ96" t="s">
        <v>273</v>
      </c>
      <c r="CK96">
        <f>CK95</f>
        <v>63</v>
      </c>
      <c r="CL96">
        <v>40</v>
      </c>
      <c r="CM96">
        <f>CM95</f>
        <v>58</v>
      </c>
      <c r="CN96">
        <v>59</v>
      </c>
      <c r="CO96" s="11">
        <f>($CQ96-$CN96)/($CQ$93-$CN$93)*(CO$93-$CN$93)+$CN96</f>
        <v>63.333333333333336</v>
      </c>
      <c r="CP96" s="11">
        <f>($CQ96-$CN96)/($CQ$93-$CN$93)*(CP$93-$CN$93)+$CN96</f>
        <v>67.666666666666671</v>
      </c>
      <c r="CQ96">
        <v>72</v>
      </c>
      <c r="CR96" s="11">
        <f>FORECAST(CR95,CP96:CQ96,CP95:CQ95)</f>
        <v>80.666666666666657</v>
      </c>
      <c r="DF96" t="s">
        <v>272</v>
      </c>
      <c r="DG96" t="s">
        <v>271</v>
      </c>
      <c r="DH96" t="s">
        <v>270</v>
      </c>
      <c r="DI96" t="s">
        <v>269</v>
      </c>
      <c r="DJ96">
        <v>96</v>
      </c>
      <c r="DK96">
        <v>69</v>
      </c>
      <c r="DL96">
        <v>35</v>
      </c>
      <c r="DM96">
        <v>24</v>
      </c>
      <c r="DN96">
        <v>64</v>
      </c>
      <c r="DO96">
        <v>60</v>
      </c>
      <c r="DP96">
        <v>82</v>
      </c>
      <c r="DQ96">
        <v>95</v>
      </c>
    </row>
    <row r="97" spans="63:121" x14ac:dyDescent="0.25">
      <c r="BK97" t="s">
        <v>258</v>
      </c>
      <c r="BM97">
        <v>2.6</v>
      </c>
      <c r="BN97">
        <v>4.0999999999999996</v>
      </c>
      <c r="BO97">
        <v>5.4</v>
      </c>
      <c r="BP97">
        <v>6.9</v>
      </c>
      <c r="BQ97">
        <v>4.3</v>
      </c>
      <c r="BR97">
        <v>5.9</v>
      </c>
      <c r="BS97">
        <v>7.9</v>
      </c>
      <c r="BT97">
        <v>3.9</v>
      </c>
      <c r="BU97">
        <v>4.8</v>
      </c>
      <c r="BV97">
        <v>5.4</v>
      </c>
      <c r="DF97" t="s">
        <v>268</v>
      </c>
      <c r="DG97" t="s">
        <v>267</v>
      </c>
      <c r="DH97" t="s">
        <v>266</v>
      </c>
    </row>
    <row r="98" spans="63:121" x14ac:dyDescent="0.25">
      <c r="BK98" t="s">
        <v>255</v>
      </c>
      <c r="BM98">
        <v>7</v>
      </c>
      <c r="BN98">
        <v>7.1</v>
      </c>
      <c r="BO98">
        <v>10.3</v>
      </c>
      <c r="BP98">
        <v>11.5</v>
      </c>
      <c r="BQ98">
        <v>7.3</v>
      </c>
      <c r="BR98">
        <v>11.1</v>
      </c>
      <c r="BS98">
        <v>13</v>
      </c>
      <c r="BT98">
        <v>6.9</v>
      </c>
      <c r="BU98">
        <v>9.4</v>
      </c>
      <c r="BV98">
        <v>9.9</v>
      </c>
      <c r="CJ98" t="s">
        <v>265</v>
      </c>
      <c r="CL98">
        <v>1</v>
      </c>
      <c r="DF98" t="s">
        <v>257</v>
      </c>
      <c r="DG98" t="s">
        <v>256</v>
      </c>
      <c r="DJ98">
        <v>5.3</v>
      </c>
      <c r="DK98">
        <v>3.9</v>
      </c>
      <c r="DL98">
        <v>1.9</v>
      </c>
      <c r="DM98">
        <v>1.8</v>
      </c>
      <c r="DN98">
        <v>3.7</v>
      </c>
      <c r="DO98">
        <v>2.6</v>
      </c>
      <c r="DP98">
        <v>4</v>
      </c>
      <c r="DQ98">
        <v>4.7</v>
      </c>
    </row>
    <row r="99" spans="63:121" x14ac:dyDescent="0.25">
      <c r="BK99" t="s">
        <v>245</v>
      </c>
      <c r="BM99">
        <v>9.6999999999999993</v>
      </c>
      <c r="BN99">
        <v>9.1999999999999993</v>
      </c>
      <c r="BO99">
        <v>11.6</v>
      </c>
      <c r="BP99">
        <v>12.1</v>
      </c>
      <c r="BQ99">
        <v>9.5</v>
      </c>
      <c r="BR99">
        <v>12.5</v>
      </c>
      <c r="BS99">
        <v>13.9</v>
      </c>
      <c r="BT99">
        <v>8.6</v>
      </c>
      <c r="BU99">
        <v>10.4</v>
      </c>
      <c r="BV99">
        <v>10.5</v>
      </c>
      <c r="CK99" s="185">
        <v>2021</v>
      </c>
      <c r="CL99">
        <v>2030</v>
      </c>
      <c r="CM99">
        <v>2050</v>
      </c>
      <c r="DF99" t="s">
        <v>251</v>
      </c>
      <c r="DG99" t="s">
        <v>250</v>
      </c>
      <c r="DJ99">
        <v>9</v>
      </c>
      <c r="DK99">
        <v>9.5</v>
      </c>
      <c r="DL99">
        <v>4.5999999999999996</v>
      </c>
      <c r="DM99">
        <v>3.8</v>
      </c>
      <c r="DN99">
        <v>7.9</v>
      </c>
      <c r="DO99">
        <v>6.3</v>
      </c>
      <c r="DP99">
        <v>8.5</v>
      </c>
      <c r="DQ99">
        <v>9.1999999999999993</v>
      </c>
    </row>
    <row r="100" spans="63:121" x14ac:dyDescent="0.25">
      <c r="BK100" t="s">
        <v>247</v>
      </c>
      <c r="BM100">
        <v>10.3</v>
      </c>
      <c r="BN100">
        <v>9.6</v>
      </c>
      <c r="BO100">
        <v>11.9</v>
      </c>
      <c r="BP100">
        <v>12.4</v>
      </c>
      <c r="BQ100">
        <v>9.9</v>
      </c>
      <c r="BR100">
        <v>13</v>
      </c>
      <c r="BS100">
        <v>14.4</v>
      </c>
      <c r="BT100">
        <v>9</v>
      </c>
      <c r="BU100">
        <v>10.8</v>
      </c>
      <c r="BV100">
        <v>10.9</v>
      </c>
      <c r="CJ100" t="str">
        <f>CJ94</f>
        <v>Stated Policies</v>
      </c>
      <c r="CK100">
        <f>CM94*$CL$98</f>
        <v>58</v>
      </c>
      <c r="CL100">
        <f>CO94*$CL$98</f>
        <v>76</v>
      </c>
      <c r="CM100">
        <f>CR94*$CL$98</f>
        <v>93</v>
      </c>
      <c r="DF100" t="s">
        <v>245</v>
      </c>
      <c r="DJ100">
        <v>8</v>
      </c>
      <c r="DK100">
        <v>10.1</v>
      </c>
      <c r="DL100">
        <v>6.1</v>
      </c>
      <c r="DM100">
        <v>5.0999999999999996</v>
      </c>
      <c r="DN100">
        <v>8.8000000000000007</v>
      </c>
      <c r="DO100">
        <v>7.4</v>
      </c>
      <c r="DP100">
        <v>9.8000000000000007</v>
      </c>
      <c r="DQ100">
        <v>10.199999999999999</v>
      </c>
    </row>
    <row r="101" spans="63:121" x14ac:dyDescent="0.25">
      <c r="BK101" t="s">
        <v>264</v>
      </c>
      <c r="BL101" t="s">
        <v>263</v>
      </c>
      <c r="CJ101" t="str">
        <f>CJ95</f>
        <v>Sustainable Development</v>
      </c>
      <c r="CK101">
        <f>CM95*$CL$98</f>
        <v>58</v>
      </c>
      <c r="CL101" s="94">
        <f>CO95*$CL$98</f>
        <v>55.666666666666664</v>
      </c>
      <c r="CM101" s="94">
        <f>CR95*$CL$98</f>
        <v>50.333333333333329</v>
      </c>
      <c r="DF101" t="s">
        <v>247</v>
      </c>
      <c r="DJ101">
        <v>13.3</v>
      </c>
      <c r="DK101">
        <v>10.199999999999999</v>
      </c>
      <c r="DL101">
        <v>6</v>
      </c>
      <c r="DM101">
        <v>5.0999999999999996</v>
      </c>
      <c r="DN101">
        <v>9.1</v>
      </c>
      <c r="DO101">
        <v>7.4</v>
      </c>
      <c r="DP101">
        <v>10.9</v>
      </c>
      <c r="DQ101">
        <v>10.6</v>
      </c>
    </row>
    <row r="102" spans="63:121" x14ac:dyDescent="0.25">
      <c r="BK102" t="s">
        <v>262</v>
      </c>
      <c r="BM102">
        <v>64</v>
      </c>
      <c r="BN102">
        <v>72</v>
      </c>
      <c r="BO102">
        <v>83</v>
      </c>
      <c r="BP102">
        <v>87</v>
      </c>
      <c r="BQ102">
        <v>74</v>
      </c>
      <c r="BR102">
        <v>91</v>
      </c>
      <c r="BS102">
        <v>100</v>
      </c>
      <c r="BT102">
        <v>66</v>
      </c>
      <c r="BU102">
        <v>64</v>
      </c>
      <c r="BV102">
        <v>57</v>
      </c>
      <c r="CJ102" t="str">
        <f>CJ96</f>
        <v>Delayed Recovery</v>
      </c>
      <c r="CK102">
        <f>CM96*$CL$98</f>
        <v>58</v>
      </c>
      <c r="CL102" s="94">
        <f>CO96*$CL$98</f>
        <v>63.333333333333336</v>
      </c>
      <c r="CM102" s="94">
        <f>CR96*$CL$98</f>
        <v>80.666666666666657</v>
      </c>
      <c r="DF102" t="s">
        <v>261</v>
      </c>
      <c r="DG102" t="s">
        <v>260</v>
      </c>
      <c r="DH102" t="s">
        <v>259</v>
      </c>
    </row>
    <row r="103" spans="63:121" x14ac:dyDescent="0.25">
      <c r="BK103" t="s">
        <v>258</v>
      </c>
      <c r="BM103">
        <v>51</v>
      </c>
      <c r="BN103">
        <v>55</v>
      </c>
      <c r="BO103">
        <v>58</v>
      </c>
      <c r="BP103">
        <v>60</v>
      </c>
      <c r="BQ103">
        <v>56</v>
      </c>
      <c r="BR103">
        <v>61</v>
      </c>
      <c r="BS103">
        <v>64</v>
      </c>
      <c r="BT103">
        <v>53</v>
      </c>
      <c r="BU103">
        <v>52</v>
      </c>
      <c r="BV103">
        <v>49</v>
      </c>
      <c r="DF103" t="s">
        <v>257</v>
      </c>
      <c r="DG103" t="s">
        <v>256</v>
      </c>
      <c r="DH103">
        <v>63</v>
      </c>
      <c r="DI103">
        <v>44</v>
      </c>
      <c r="DJ103">
        <v>22</v>
      </c>
      <c r="DK103">
        <v>17</v>
      </c>
      <c r="DL103">
        <v>42</v>
      </c>
      <c r="DM103">
        <v>24</v>
      </c>
      <c r="DN103">
        <v>46</v>
      </c>
      <c r="DO103">
        <v>44</v>
      </c>
    </row>
    <row r="104" spans="63:121" x14ac:dyDescent="0.25">
      <c r="BK104" t="s">
        <v>255</v>
      </c>
      <c r="BM104">
        <v>57</v>
      </c>
      <c r="BN104">
        <v>63</v>
      </c>
      <c r="BO104">
        <v>74</v>
      </c>
      <c r="BP104">
        <v>77</v>
      </c>
      <c r="BQ104">
        <v>65</v>
      </c>
      <c r="BR104">
        <v>80</v>
      </c>
      <c r="BS104">
        <v>88</v>
      </c>
      <c r="BT104">
        <v>58</v>
      </c>
      <c r="BU104">
        <v>57</v>
      </c>
      <c r="BV104">
        <v>51</v>
      </c>
      <c r="CJ104" t="s">
        <v>254</v>
      </c>
      <c r="CL104" t="s">
        <v>253</v>
      </c>
      <c r="CO104" t="s">
        <v>252</v>
      </c>
      <c r="CR104" t="s">
        <v>245</v>
      </c>
      <c r="DF104" t="s">
        <v>251</v>
      </c>
      <c r="DG104" t="s">
        <v>250</v>
      </c>
      <c r="DH104">
        <v>113</v>
      </c>
      <c r="DI104">
        <v>120</v>
      </c>
      <c r="DJ104">
        <v>52</v>
      </c>
      <c r="DK104">
        <v>42</v>
      </c>
      <c r="DL104">
        <v>62</v>
      </c>
      <c r="DM104">
        <v>53</v>
      </c>
      <c r="DN104">
        <v>60</v>
      </c>
      <c r="DO104">
        <v>64</v>
      </c>
    </row>
    <row r="105" spans="63:121" x14ac:dyDescent="0.25">
      <c r="BK105" t="s">
        <v>249</v>
      </c>
      <c r="BM105">
        <v>72</v>
      </c>
      <c r="BN105">
        <v>78</v>
      </c>
      <c r="BO105">
        <v>86</v>
      </c>
      <c r="BP105">
        <v>89</v>
      </c>
      <c r="BQ105">
        <v>79</v>
      </c>
      <c r="BR105">
        <v>92</v>
      </c>
      <c r="BS105">
        <v>98</v>
      </c>
      <c r="BT105">
        <v>73</v>
      </c>
      <c r="BU105">
        <v>72</v>
      </c>
      <c r="BV105">
        <v>67</v>
      </c>
      <c r="CL105">
        <v>2025</v>
      </c>
      <c r="CM105">
        <v>2040</v>
      </c>
      <c r="CN105" t="s">
        <v>248</v>
      </c>
      <c r="CO105">
        <f>CL105</f>
        <v>2025</v>
      </c>
      <c r="CP105">
        <f>CM105</f>
        <v>2040</v>
      </c>
      <c r="CQ105" t="s">
        <v>248</v>
      </c>
      <c r="CR105">
        <f>CO105</f>
        <v>2025</v>
      </c>
      <c r="CS105">
        <f>CP105</f>
        <v>2040</v>
      </c>
      <c r="CT105" t="s">
        <v>248</v>
      </c>
      <c r="DF105" t="s">
        <v>247</v>
      </c>
      <c r="DG105">
        <v>132</v>
      </c>
      <c r="DH105">
        <v>153</v>
      </c>
      <c r="DI105">
        <v>59</v>
      </c>
      <c r="DJ105">
        <v>46</v>
      </c>
      <c r="DK105">
        <v>74</v>
      </c>
      <c r="DL105">
        <v>59</v>
      </c>
      <c r="DM105">
        <v>91</v>
      </c>
      <c r="DN105">
        <v>72</v>
      </c>
    </row>
    <row r="106" spans="63:121" x14ac:dyDescent="0.25">
      <c r="BK106" t="s">
        <v>247</v>
      </c>
      <c r="BM106">
        <v>59</v>
      </c>
      <c r="BN106">
        <v>66</v>
      </c>
      <c r="BO106">
        <v>77</v>
      </c>
      <c r="BP106">
        <v>80</v>
      </c>
      <c r="BQ106">
        <v>68</v>
      </c>
      <c r="BR106">
        <v>84</v>
      </c>
      <c r="BS106">
        <v>92</v>
      </c>
      <c r="BT106">
        <v>61</v>
      </c>
      <c r="BU106">
        <v>59</v>
      </c>
      <c r="BV106">
        <v>53</v>
      </c>
      <c r="CJ106" t="str">
        <f>CJ94</f>
        <v>Stated Policies</v>
      </c>
      <c r="CL106">
        <v>3.5</v>
      </c>
      <c r="CM106">
        <v>4.2</v>
      </c>
      <c r="CN106" s="11">
        <f>(CM106/CL106-1)/($CQ94/$CN94-1)</f>
        <v>1.0142857142857142</v>
      </c>
      <c r="CO106">
        <v>6.7</v>
      </c>
      <c r="CP106">
        <v>8.3000000000000007</v>
      </c>
      <c r="CQ106" s="11">
        <f>(CP106/CO106-1)/($CQ94/$CN94-1)</f>
        <v>1.2110874200426442</v>
      </c>
      <c r="CR106">
        <v>8.4</v>
      </c>
      <c r="CS106">
        <v>8.8000000000000007</v>
      </c>
      <c r="CT106" s="11">
        <f>(CS106/CR106-1)/($CQ94/$CN94-1)</f>
        <v>0.24149659863945611</v>
      </c>
      <c r="DF106" t="s">
        <v>246</v>
      </c>
      <c r="DG106" t="s">
        <v>245</v>
      </c>
      <c r="DH106">
        <v>142</v>
      </c>
      <c r="DI106">
        <v>164</v>
      </c>
      <c r="DJ106">
        <v>58</v>
      </c>
      <c r="DK106">
        <v>48</v>
      </c>
      <c r="DL106">
        <v>73</v>
      </c>
      <c r="DM106">
        <v>62</v>
      </c>
      <c r="DN106">
        <v>89</v>
      </c>
      <c r="DO106">
        <v>74</v>
      </c>
    </row>
    <row r="107" spans="63:121" x14ac:dyDescent="0.25">
      <c r="CJ107" t="str">
        <f>CJ95</f>
        <v>Sustainable Development</v>
      </c>
      <c r="CL107">
        <v>2.1</v>
      </c>
      <c r="CM107">
        <v>2</v>
      </c>
      <c r="CN107" s="11">
        <f>(CM107/CL107-1)/($CQ95/$CN95-1)</f>
        <v>0.67857142857142938</v>
      </c>
      <c r="CO107">
        <v>4.8</v>
      </c>
      <c r="CP107">
        <v>4.9000000000000004</v>
      </c>
      <c r="CQ107" s="11">
        <f>(CP107/CO107-1)/($CQ95/$CN95-1)</f>
        <v>-0.29687500000000211</v>
      </c>
      <c r="CR107">
        <v>6</v>
      </c>
      <c r="CS107">
        <v>6.4</v>
      </c>
      <c r="CT107" s="11">
        <f>(CS107/CR107-1)/($CQ95/$CN95-1)</f>
        <v>-0.94999999999999984</v>
      </c>
    </row>
    <row r="108" spans="63:121" x14ac:dyDescent="0.25">
      <c r="CJ108" t="str">
        <f>CJ96</f>
        <v>Delayed Recovery</v>
      </c>
      <c r="CL108">
        <v>3.2</v>
      </c>
      <c r="CM108">
        <v>3.7</v>
      </c>
      <c r="CN108" s="11">
        <f>(CM108/CL108-1)/($CQ96/$CN96-1)</f>
        <v>0.70913461538461509</v>
      </c>
      <c r="CO108">
        <v>6.3</v>
      </c>
      <c r="CP108">
        <v>7.6</v>
      </c>
      <c r="CQ108" s="11">
        <f>(CP108/CO108-1)/($CQ96/$CN96-1)</f>
        <v>0.93650793650793585</v>
      </c>
      <c r="CR108">
        <v>7.9</v>
      </c>
      <c r="CS108">
        <v>8.1999999999999993</v>
      </c>
      <c r="CT108" s="11">
        <f>(CS108/CR108-1)/($CQ96/$CN96-1)</f>
        <v>0.17234664070106992</v>
      </c>
      <c r="DF108" t="s">
        <v>244</v>
      </c>
      <c r="DJ108" s="179">
        <f t="shared" ref="DJ108:DQ108" si="30">DJ101/DJ96</f>
        <v>0.13854166666666667</v>
      </c>
      <c r="DK108" s="179">
        <f t="shared" si="30"/>
        <v>0.14782608695652172</v>
      </c>
      <c r="DL108" s="179">
        <f t="shared" si="30"/>
        <v>0.17142857142857143</v>
      </c>
      <c r="DM108" s="179">
        <f t="shared" si="30"/>
        <v>0.21249999999999999</v>
      </c>
      <c r="DN108" s="179">
        <f t="shared" si="30"/>
        <v>0.14218749999999999</v>
      </c>
      <c r="DO108" s="179">
        <f t="shared" si="30"/>
        <v>0.12333333333333334</v>
      </c>
      <c r="DP108" s="179">
        <f t="shared" si="30"/>
        <v>0.13292682926829269</v>
      </c>
      <c r="DQ108" s="179">
        <f t="shared" si="30"/>
        <v>0.11157894736842106</v>
      </c>
    </row>
    <row r="110" spans="63:121" x14ac:dyDescent="0.25">
      <c r="CJ110" t="s">
        <v>243</v>
      </c>
    </row>
    <row r="111" spans="63:121" x14ac:dyDescent="0.25">
      <c r="CK111">
        <f t="shared" ref="CK111:CR111" si="31">CK93</f>
        <v>2019</v>
      </c>
      <c r="CL111">
        <f t="shared" si="31"/>
        <v>2020</v>
      </c>
      <c r="CM111">
        <f t="shared" si="31"/>
        <v>2021</v>
      </c>
      <c r="CN111">
        <f t="shared" si="31"/>
        <v>2025</v>
      </c>
      <c r="CO111">
        <f t="shared" si="31"/>
        <v>2030</v>
      </c>
      <c r="CP111">
        <f t="shared" si="31"/>
        <v>2035</v>
      </c>
      <c r="CQ111">
        <f t="shared" si="31"/>
        <v>2040</v>
      </c>
      <c r="CR111">
        <f t="shared" si="31"/>
        <v>2050</v>
      </c>
    </row>
    <row r="112" spans="63:121" x14ac:dyDescent="0.25">
      <c r="CJ112" t="str">
        <f>CJ94</f>
        <v>Stated Policies</v>
      </c>
      <c r="CK112">
        <v>46</v>
      </c>
      <c r="CN112">
        <v>53</v>
      </c>
      <c r="CO112">
        <v>44</v>
      </c>
      <c r="CP112">
        <v>47</v>
      </c>
      <c r="CQ112">
        <v>50</v>
      </c>
    </row>
    <row r="113" spans="88:96" x14ac:dyDescent="0.25">
      <c r="CJ113" t="str">
        <f>CJ95</f>
        <v>Sustainable Development</v>
      </c>
      <c r="CK113">
        <v>46</v>
      </c>
      <c r="CN113">
        <v>37</v>
      </c>
      <c r="CQ113">
        <v>32</v>
      </c>
    </row>
    <row r="114" spans="88:96" x14ac:dyDescent="0.25">
      <c r="CJ114" t="str">
        <f>CJ96</f>
        <v>Delayed Recovery</v>
      </c>
      <c r="CK114">
        <v>46</v>
      </c>
      <c r="CN114">
        <v>48</v>
      </c>
      <c r="CQ114">
        <v>44</v>
      </c>
    </row>
    <row r="116" spans="88:96" x14ac:dyDescent="0.25">
      <c r="CJ116" t="s">
        <v>242</v>
      </c>
    </row>
    <row r="117" spans="88:96" x14ac:dyDescent="0.25">
      <c r="CK117">
        <f t="shared" ref="CK117:CR117" si="32">CK111</f>
        <v>2019</v>
      </c>
      <c r="CL117">
        <f t="shared" si="32"/>
        <v>2020</v>
      </c>
      <c r="CM117">
        <f t="shared" si="32"/>
        <v>2021</v>
      </c>
      <c r="CN117">
        <f t="shared" si="32"/>
        <v>2025</v>
      </c>
      <c r="CO117">
        <f t="shared" si="32"/>
        <v>2030</v>
      </c>
      <c r="CP117">
        <f t="shared" si="32"/>
        <v>2035</v>
      </c>
      <c r="CQ117">
        <f t="shared" si="32"/>
        <v>2040</v>
      </c>
      <c r="CR117">
        <f t="shared" si="32"/>
        <v>2050</v>
      </c>
    </row>
    <row r="118" spans="88:96" x14ac:dyDescent="0.25">
      <c r="CJ118" t="str">
        <f>CJ100</f>
        <v>Stated Policies</v>
      </c>
      <c r="CK118">
        <v>61</v>
      </c>
      <c r="CN118">
        <v>66</v>
      </c>
      <c r="CO118">
        <v>71</v>
      </c>
      <c r="CP118">
        <v>70</v>
      </c>
      <c r="CQ118">
        <v>69</v>
      </c>
    </row>
    <row r="119" spans="88:96" x14ac:dyDescent="0.25">
      <c r="CJ119" t="str">
        <f>CJ101</f>
        <v>Sustainable Development</v>
      </c>
      <c r="CK119">
        <v>61</v>
      </c>
      <c r="CN119">
        <v>57</v>
      </c>
      <c r="CQ119">
        <v>55</v>
      </c>
    </row>
    <row r="120" spans="88:96" x14ac:dyDescent="0.25">
      <c r="CJ120" t="str">
        <f>CJ102</f>
        <v>Delayed Recovery</v>
      </c>
      <c r="CK120">
        <v>61</v>
      </c>
      <c r="CN120">
        <v>60</v>
      </c>
      <c r="CQ120">
        <v>64</v>
      </c>
    </row>
    <row r="122" spans="88:96" x14ac:dyDescent="0.25">
      <c r="CJ122" t="s">
        <v>241</v>
      </c>
    </row>
    <row r="123" spans="88:96" x14ac:dyDescent="0.25">
      <c r="CK123">
        <f t="shared" ref="CK123:CR123" si="33">CK117</f>
        <v>2019</v>
      </c>
      <c r="CL123">
        <f t="shared" si="33"/>
        <v>2020</v>
      </c>
      <c r="CM123">
        <f t="shared" si="33"/>
        <v>2021</v>
      </c>
      <c r="CN123">
        <f t="shared" si="33"/>
        <v>2025</v>
      </c>
      <c r="CO123">
        <f t="shared" si="33"/>
        <v>2030</v>
      </c>
      <c r="CP123">
        <f t="shared" si="33"/>
        <v>2035</v>
      </c>
      <c r="CQ123">
        <f t="shared" si="33"/>
        <v>2040</v>
      </c>
      <c r="CR123">
        <f t="shared" si="33"/>
        <v>2050</v>
      </c>
    </row>
    <row r="124" spans="88:96" x14ac:dyDescent="0.25">
      <c r="CJ124" t="str">
        <f>CJ112</f>
        <v>Stated Policies</v>
      </c>
      <c r="CK124">
        <v>92</v>
      </c>
      <c r="CN124">
        <v>83</v>
      </c>
      <c r="CO124">
        <v>83</v>
      </c>
      <c r="CP124">
        <v>82</v>
      </c>
      <c r="CQ124">
        <v>79</v>
      </c>
    </row>
    <row r="125" spans="88:96" x14ac:dyDescent="0.25">
      <c r="CJ125" t="str">
        <f>CJ113</f>
        <v>Sustainable Development</v>
      </c>
      <c r="CK125">
        <v>92</v>
      </c>
      <c r="CN125">
        <v>73</v>
      </c>
      <c r="CQ125">
        <v>67</v>
      </c>
    </row>
    <row r="126" spans="88:96" x14ac:dyDescent="0.25">
      <c r="CJ126" t="str">
        <f>CJ114</f>
        <v>Delayed Recovery</v>
      </c>
      <c r="CK126">
        <v>92</v>
      </c>
      <c r="CN126">
        <v>76</v>
      </c>
      <c r="CQ126">
        <v>73</v>
      </c>
    </row>
    <row r="128" spans="88:96" x14ac:dyDescent="0.25">
      <c r="CJ128" t="s">
        <v>240</v>
      </c>
    </row>
    <row r="129" spans="88:95" x14ac:dyDescent="0.25">
      <c r="CK129" t="s">
        <v>238</v>
      </c>
      <c r="CL129" t="s">
        <v>237</v>
      </c>
      <c r="CM129" t="s">
        <v>236</v>
      </c>
      <c r="CN129" t="s">
        <v>235</v>
      </c>
      <c r="CO129" t="s">
        <v>234</v>
      </c>
      <c r="CP129" t="s">
        <v>233</v>
      </c>
      <c r="CQ129" t="s">
        <v>232</v>
      </c>
    </row>
    <row r="130" spans="88:95" x14ac:dyDescent="0.25">
      <c r="CJ130" t="str">
        <f>CJ100</f>
        <v>Stated Policies</v>
      </c>
      <c r="CK130" s="11">
        <f>CQ94/CN94-1</f>
        <v>0.19718309859154926</v>
      </c>
      <c r="CL130" s="11">
        <f>CQ112/CN112-1</f>
        <v>-5.6603773584905648E-2</v>
      </c>
      <c r="CM130" s="11">
        <f>CL130/CK130</f>
        <v>-0.28706199460916443</v>
      </c>
      <c r="CN130" s="11">
        <f>CQ118/CN118-1</f>
        <v>4.5454545454545414E-2</v>
      </c>
      <c r="CO130" s="178">
        <f>CN130/CK130</f>
        <v>0.23051948051948037</v>
      </c>
      <c r="CP130" s="11">
        <f>CQ124/CN124-1</f>
        <v>-4.8192771084337394E-2</v>
      </c>
      <c r="CQ130" s="11">
        <f>CP130/CK130</f>
        <v>-0.24440619621342541</v>
      </c>
    </row>
    <row r="131" spans="88:95" x14ac:dyDescent="0.25">
      <c r="CJ131" t="str">
        <f>CJ101</f>
        <v>Sustainable Development</v>
      </c>
      <c r="CK131" s="11">
        <f>CQ95/CN95-1</f>
        <v>-7.0175438596491224E-2</v>
      </c>
      <c r="CL131" s="11">
        <f>CQ113/CN113-1</f>
        <v>-0.13513513513513509</v>
      </c>
      <c r="CM131" s="11">
        <f>CL131/CK131</f>
        <v>1.925675675675675</v>
      </c>
      <c r="CN131" s="11">
        <f>CQ119/CN119-1</f>
        <v>-3.5087719298245612E-2</v>
      </c>
      <c r="CO131" s="178">
        <f>CN131/CK131</f>
        <v>0.5</v>
      </c>
      <c r="CP131" s="11">
        <f>CQ125/CN125-1</f>
        <v>-8.2191780821917804E-2</v>
      </c>
      <c r="CQ131" s="11">
        <f>CP131/CK131</f>
        <v>1.1712328767123288</v>
      </c>
    </row>
    <row r="132" spans="88:95" x14ac:dyDescent="0.25">
      <c r="CJ132" t="str">
        <f>CJ102</f>
        <v>Delayed Recovery</v>
      </c>
      <c r="CK132" s="11">
        <f>CQ96/CN96-1</f>
        <v>0.22033898305084754</v>
      </c>
      <c r="CL132" s="11">
        <f>CQ114/CN114-1</f>
        <v>-8.333333333333337E-2</v>
      </c>
      <c r="CM132" s="11">
        <f>CL132/CK132</f>
        <v>-0.37820512820512825</v>
      </c>
      <c r="CN132" s="11">
        <f>CQ120/CN120-1</f>
        <v>6.6666666666666652E-2</v>
      </c>
      <c r="CO132" s="178">
        <f>CN132/CK132</f>
        <v>0.30256410256410238</v>
      </c>
      <c r="CP132" s="11">
        <f>CQ126/CN126-1</f>
        <v>-3.9473684210526327E-2</v>
      </c>
      <c r="CQ132" s="11">
        <f>CP132/CK132</f>
        <v>-0.1791497975708502</v>
      </c>
    </row>
    <row r="134" spans="88:95" x14ac:dyDescent="0.25">
      <c r="CJ134" t="s">
        <v>239</v>
      </c>
    </row>
    <row r="135" spans="88:95" x14ac:dyDescent="0.25">
      <c r="CK135" t="s">
        <v>238</v>
      </c>
      <c r="CL135" t="s">
        <v>237</v>
      </c>
      <c r="CM135" t="s">
        <v>236</v>
      </c>
      <c r="CN135" t="s">
        <v>235</v>
      </c>
      <c r="CO135" t="s">
        <v>234</v>
      </c>
      <c r="CP135" t="s">
        <v>233</v>
      </c>
      <c r="CQ135" t="s">
        <v>232</v>
      </c>
    </row>
    <row r="136" spans="88:95" x14ac:dyDescent="0.25">
      <c r="CJ136" t="str">
        <f>CJ112</f>
        <v>Stated Policies</v>
      </c>
      <c r="CK136" s="11">
        <f>CQ94/CK94-1</f>
        <v>0.3492063492063493</v>
      </c>
      <c r="CL136" s="11">
        <f>CQ112/CK112-1</f>
        <v>8.6956521739130377E-2</v>
      </c>
      <c r="CM136" s="11">
        <f>CL136/CK136</f>
        <v>0.24901185770750964</v>
      </c>
      <c r="CN136" s="11">
        <f>CQ118/CK118-1</f>
        <v>0.13114754098360648</v>
      </c>
      <c r="CO136" s="178">
        <f>CN136/CK136</f>
        <v>0.37555886736214572</v>
      </c>
      <c r="CP136" s="11">
        <f>CQ124/CK124-1</f>
        <v>-0.14130434782608692</v>
      </c>
      <c r="CQ136" s="11">
        <f>CP136/CK136</f>
        <v>-0.40464426877470333</v>
      </c>
    </row>
    <row r="137" spans="88:95" x14ac:dyDescent="0.25">
      <c r="CJ137" t="str">
        <f>CJ113</f>
        <v>Sustainable Development</v>
      </c>
      <c r="CK137" s="11">
        <f>CQ95/CK95-1</f>
        <v>-0.15873015873015872</v>
      </c>
      <c r="CL137" s="11">
        <f>CQ113/CK113-1</f>
        <v>-0.30434782608695654</v>
      </c>
      <c r="CM137" s="11">
        <f>CL137/CK137</f>
        <v>1.9173913043478263</v>
      </c>
      <c r="CN137" s="11">
        <f>CQ119/CK119-1</f>
        <v>-9.8360655737704916E-2</v>
      </c>
      <c r="CO137" s="178">
        <f>CN137/CK137</f>
        <v>0.61967213114754105</v>
      </c>
      <c r="CP137" s="11">
        <f>CQ125/CK125-1</f>
        <v>-0.27173913043478259</v>
      </c>
      <c r="CQ137" s="11">
        <f>CP137/CK137</f>
        <v>1.7119565217391304</v>
      </c>
    </row>
    <row r="138" spans="88:95" x14ac:dyDescent="0.25">
      <c r="CJ138" t="str">
        <f>CJ114</f>
        <v>Delayed Recovery</v>
      </c>
      <c r="CK138" s="11">
        <f>CQ96/CK96-1</f>
        <v>0.14285714285714279</v>
      </c>
      <c r="CL138" s="11">
        <f>CQ114/CK114-1</f>
        <v>-4.3478260869565188E-2</v>
      </c>
      <c r="CM138" s="11">
        <f>CL138/CK138</f>
        <v>-0.30434782608695643</v>
      </c>
      <c r="CN138" s="11">
        <f>CQ120/CK120-1</f>
        <v>4.9180327868852514E-2</v>
      </c>
      <c r="CO138" s="178">
        <f>CN138/CK138</f>
        <v>0.34426229508196776</v>
      </c>
      <c r="CP138" s="11">
        <f>CQ126/CK126-1</f>
        <v>-0.20652173913043481</v>
      </c>
      <c r="CQ138" s="11">
        <f>CP138/CK138</f>
        <v>-1.4456521739130443</v>
      </c>
    </row>
  </sheetData>
  <mergeCells count="3">
    <mergeCell ref="DL94:DM94"/>
    <mergeCell ref="DN94:DO94"/>
    <mergeCell ref="DP94:DQ94"/>
  </mergeCells>
  <pageMargins left="0.75" right="0.75" top="1" bottom="1" header="0.5" footer="0.5"/>
  <pageSetup paperSize="9" orientation="portrait" horizontalDpi="4294967292" verticalDpi="4294967292" r:id="rId1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</vt:lpstr>
      <vt:lpstr>Liq Fuel Prices</vt:lpstr>
      <vt:lpstr>IEA_WEO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Merven</dc:creator>
  <cp:lastModifiedBy>Bruno Merven</cp:lastModifiedBy>
  <dcterms:created xsi:type="dcterms:W3CDTF">2023-09-29T12:20:46Z</dcterms:created>
  <dcterms:modified xsi:type="dcterms:W3CDTF">2023-09-30T14:27:56Z</dcterms:modified>
</cp:coreProperties>
</file>