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1E378675-E8AC-43C2-8634-C422E5B0DBFA}" xr6:coauthVersionLast="47" xr6:coauthVersionMax="47" xr10:uidLastSave="{00000000-0000-0000-0000-000000000000}"/>
  <bookViews>
    <workbookView xWindow="-120" yWindow="-120" windowWidth="29040" windowHeight="15840" tabRatio="793" activeTab="2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5" i="10" l="1"/>
  <c r="E134" i="10"/>
  <c r="E133" i="10"/>
  <c r="E132" i="10"/>
  <c r="D138" i="23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7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<sst xmlns="http://schemas.openxmlformats.org/spreadsheetml/2006/main" count="3354" uniqueCount="1272">
  <si>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</si>
  <si>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</si>
  <si>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</si>
  <si>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</si>
  <si>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</si>
  <si>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</si>
  <si>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</si>
  <si>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</si>
  <si>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</si>
  <si>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</si>
  <si>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</si>
  <si>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</si>
  <si>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</si>
  <si>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</si>
  <si>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</si>
  <si>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</si>
  <si>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</si>
  <si>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</si>
  <si>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</si>
  <si>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</si>
  <si>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</si>
  <si>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</si>
  <si>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</si>
  <si>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</si>
  <si>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</si>
  <si>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</si>
  <si>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</si>
  <si>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</si>
  <si>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</si>
  <si>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</si>
  <si>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</si>
  <si>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</si>
  <si>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</si>
  <si>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</si>
  <si>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</si>
  <si>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</si>
  <si>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</si>
  <si>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</si>
  <si>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</si>
  <si>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</si>
  <si>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</si>
  <si>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</si>
  <si>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</si>
  <si>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</si>
  <si>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</si>
  <si>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</si>
  <si>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</si>
  <si>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</si>
  <si>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</si>
  <si>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</si>
  <si>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</si>
  <si>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</si>
  <si>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</si>
  <si>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</si>
  <si>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</si>
  <si>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</si>
  <si>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</si>
  <si>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</si>
  <si>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</si>
  <si>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</si>
  <si>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</si>
  <si>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</si>
  <si>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</si>
  <si>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</si>
  <si>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</si>
  <si>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</si>
  <si>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</si>
  <si>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</si>
  <si>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</si>
  <si>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</si>
  <si>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</si>
  <si>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</si>
  <si>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</si>
  <si>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</si>
  <si>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</si>
  <si>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</si>
  <si>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</si>
  <si>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</si>
  <si>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</si>
  <si>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</si>
  <si>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</si>
  <si>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</si>
  <si>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</si>
  <si>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</si>
  <si>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</si>
  <si>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</si>
  <si>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</si>
  <si>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</si>
  <si>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</si>
  <si>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</si>
  <si>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</si>
  <si>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</si>
  <si>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</si>
  <si>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</si>
  <si>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</si>
  <si>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</si>
  <si>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</si>
  <si>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</si>
  <si>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</si>
  <si>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</si>
  <si>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</si>
  <si>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</si>
  <si>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</si>
  <si>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</si>
  <si>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</si>
  <si>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</si>
  <si>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</si>
  <si>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</si>
  <si>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</si>
  <si>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</si>
  <si>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</si>
  <si>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</si>
  <si>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</si>
  <si>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</si>
  <si>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</si>
  <si>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</si>
  <si>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</si>
  <si>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</si>
  <si>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</si>
  <si>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</si>
  <si>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</si>
  <si>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</si>
  <si>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</si>
  <si>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</si>
  <si>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</si>
  <si>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</si>
  <si>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</si>
  <si>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</si>
  <si>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</si>
  <si>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</si>
  <si>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</si>
  <si>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</si>
  <si>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</si>
  <si>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</si>
  <si>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</si>
  <si>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</si>
  <si>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</si>
  <si>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</si>
  <si>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</si>
  <si>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</si>
  <si>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</si>
  <si>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</si>
  <si>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</si>
  <si>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</si>
  <si>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</si>
  <si>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</si>
  <si>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</si>
  <si>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</si>
  <si>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</si>
  <si>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</si>
  <si>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</si>
  <si>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</si>
  <si>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</si>
  <si>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</si>
  <si>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</si>
  <si>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</si>
  <si>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</si>
  <si>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</si>
  <si>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</si>
  <si>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</si>
  <si>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</si>
  <si>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</si>
  <si>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</si>
  <si>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</si>
  <si>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</si>
  <si>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</si>
  <si>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</si>
  <si>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</si>
  <si>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</si>
  <si>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</si>
  <si>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</si>
  <si>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</si>
  <si>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</si>
  <si>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</si>
  <si>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</si>
  <si>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</si>
  <si>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</si>
  <si>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</si>
  <si>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</si>
  <si>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</si>
  <si>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</si>
  <si>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</si>
  <si>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</si>
  <si>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</si>
  <si>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</si>
  <si>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</si>
  <si>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</si>
  <si>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</si>
  <si>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</si>
  <si>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</si>
  <si>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</si>
  <si>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</si>
  <si>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</si>
  <si>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</si>
  <si>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</si>
  <si>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</si>
  <si>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</si>
  <si>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</si>
  <si>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</si>
  <si>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</si>
  <si>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</si>
  <si>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</si>
  <si>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</si>
  <si>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</si>
  <si>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</si>
  <si>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</si>
  <si>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</si>
  <si>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</si>
  <si>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</si>
  <si>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</si>
  <si>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</si>
  <si>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</si>
  <si>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</si>
  <si>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</si>
  <si>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</si>
  <si>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</si>
  <si>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</si>
  <si>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</si>
  <si>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</si>
  <si>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</si>
  <si>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</si>
  <si>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</si>
  <si>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</si>
  <si>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</si>
  <si>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</si>
  <si>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</si>
  <si>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</si>
  <si>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</si>
  <si>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</si>
  <si>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</si>
  <si>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</si>
  <si>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</si>
  <si>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</si>
  <si>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</si>
  <si>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</si>
  <si>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</si>
  <si>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</si>
  <si>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</si>
  <si>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</si>
  <si>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</si>
  <si>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</si>
  <si>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</si>
  <si>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</si>
  <si>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</si>
  <si>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</si>
  <si>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</si>
  <si>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</si>
  <si>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</si>
  <si>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</si>
  <si>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</si>
  <si>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</si>
  <si>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</si>
  <si>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</si>
  <si>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</si>
  <si>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</si>
  <si>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</si>
  <si>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</si>
  <si>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</si>
  <si>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</si>
  <si>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</si>
  <si>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</si>
  <si>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</si>
  <si>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</si>
  <si>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</si>
  <si>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</si>
  <si>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</si>
  <si>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</si>
  <si>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</si>
  <si>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</si>
  <si>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</si>
  <si>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</si>
  <si>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</si>
  <si>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</si>
  <si>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</si>
  <si>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</si>
  <si>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</si>
  <si>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</si>
  <si>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</si>
  <si>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</si>
  <si>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</si>
  <si>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</si>
  <si>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</si>
  <si>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</si>
  <si>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</si>
  <si>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</si>
  <si>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</si>
  <si>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</si>
  <si>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</si>
  <si>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</si>
  <si>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</si>
  <si>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</si>
  <si>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</si>
  <si>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</si>
  <si>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</si>
  <si>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</si>
  <si>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</si>
  <si>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</si>
  <si>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</si>
  <si>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</si>
  <si>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</si>
  <si>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</si>
  <si>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</si>
  <si>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</si>
  <si>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</si>
  <si>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</si>
  <si>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</si>
  <si>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</si>
  <si>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</si>
  <si>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</si>
  <si>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</si>
  <si>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</si>
  <si>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</si>
  <si>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</si>
  <si>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</si>
  <si>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</si>
  <si>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</si>
  <si>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</si>
  <si>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</si>
  <si>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</si>
  <si>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</si>
  <si>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</si>
  <si>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</si>
  <si>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</si>
  <si>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</si>
  <si>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</si>
  <si>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</si>
  <si>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</si>
  <si>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</si>
  <si>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</si>
  <si>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</si>
  <si>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</si>
  <si>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</si>
  <si>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</si>
  <si>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</si>
  <si>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</si>
  <si>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</si>
  <si>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</si>
  <si>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</si>
  <si>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</si>
  <si>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</si>
  <si>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</si>
  <si>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</si>
  <si>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</si>
  <si>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</si>
  <si>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</si>
  <si>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</si>
  <si>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</si>
  <si>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</si>
  <si>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</si>
  <si>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</si>
  <si>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</si>
  <si>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</si>
  <si>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</si>
  <si>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</si>
  <si>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</si>
  <si>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</si>
  <si>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</si>
  <si>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</si>
  <si>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</si>
  <si>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</si>
  <si>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</si>
  <si>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</si>
  <si>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</si>
  <si>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</si>
  <si>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</si>
  <si>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</si>
  <si>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</si>
  <si>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</si>
  <si>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</si>
  <si>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</si>
  <si>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</si>
  <si>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</si>
  <si>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</si>
  <si>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</si>
  <si>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</si>
  <si>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</si>
  <si>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</si>
  <si>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</si>
  <si>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</si>
  <si>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</si>
  <si>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</si>
  <si>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</si>
  <si>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</si>
  <si>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</si>
  <si>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</si>
  <si>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</si>
  <si>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</si>
  <si>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</si>
  <si>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</si>
  <si>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</si>
  <si>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</si>
  <si>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</si>
  <si>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</si>
  <si>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</si>
  <si>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</si>
  <si>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</si>
  <si>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</si>
  <si>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</si>
  <si>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</si>
  <si>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</si>
  <si>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</si>
  <si>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</si>
  <si>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</si>
  <si>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</si>
  <si>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</si>
  <si>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</si>
  <si>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</si>
  <si>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</si>
  <si>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</si>
  <si>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</si>
  <si>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</si>
  <si>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</si>
  <si>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</si>
  <si>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</si>
  <si>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</si>
  <si>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</si>
  <si>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</si>
  <si>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</si>
  <si>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</si>
  <si>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</si>
  <si>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</si>
  <si>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</si>
  <si>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</si>
  <si>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</si>
  <si>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</si>
  <si>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</si>
  <si>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</si>
  <si>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</si>
  <si>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</si>
  <si>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</si>
  <si>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</si>
  <si>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</si>
  <si>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</si>
  <si>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</si>
  <si>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</si>
  <si>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</si>
  <si>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</si>
  <si>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</si>
  <si>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</si>
  <si>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</si>
  <si>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</si>
  <si>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</si>
  <si>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</si>
  <si>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</si>
  <si>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</si>
  <si>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</si>
  <si>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</si>
  <si>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</si>
  <si>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</si>
  <si>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</si>
  <si>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</si>
  <si>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</si>
  <si>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</si>
  <si>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</si>
  <si>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</si>
  <si>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</si>
  <si>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</si>
  <si>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</si>
  <si>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</si>
  <si>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</si>
  <si>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</si>
  <si>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</si>
  <si>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</si>
  <si>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</si>
  <si>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</si>
  <si>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</si>
  <si>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</si>
  <si>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</si>
  <si>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</si>
  <si>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</si>
  <si>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</si>
  <si>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</si>
  <si>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</si>
  <si>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</si>
  <si>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</si>
  <si>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</si>
  <si>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</si>
  <si>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</si>
  <si>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</si>
  <si>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</si>
  <si>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</si>
  <si>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</si>
  <si>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</si>
  <si>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</si>
  <si>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</si>
  <si>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</si>
  <si>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</si>
  <si>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</si>
  <si>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</si>
  <si>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</si>
  <si>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</si>
  <si>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</si>
  <si>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</si>
  <si>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</si>
  <si>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</si>
  <si>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</si>
  <si>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</si>
  <si>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</si>
  <si>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</si>
  <si>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</si>
  <si>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</si>
  <si>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</si>
  <si>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</si>
  <si>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</si>
  <si>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</si>
  <si>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</si>
  <si>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</si>
  <si>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</si>
  <si>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</si>
  <si>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</si>
  <si>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</si>
  <si>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</si>
  <si>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</si>
  <si>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</si>
  <si>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</si>
  <si>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</si>
  <si>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</si>
  <si>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</si>
  <si>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</si>
  <si>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</si>
  <si>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</si>
  <si>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</si>
  <si>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</si>
  <si>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</si>
  <si>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</si>
  <si>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</si>
  <si>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</si>
  <si>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</si>
  <si>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</si>
  <si>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</si>
  <si>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</si>
  <si>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</si>
  <si>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</si>
  <si>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</si>
  <si>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</si>
  <si>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</si>
  <si>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</si>
  <si>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</si>
  <si>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</si>
  <si>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</si>
  <si>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</si>
  <si>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</si>
  <si>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</si>
  <si>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</si>
  <si>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</si>
  <si>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</si>
  <si>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</si>
  <si>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</si>
  <si>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</si>
  <si>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</si>
  <si>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</si>
  <si>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</si>
  <si>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</si>
  <si>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</si>
  <si>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</si>
  <si>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</si>
  <si>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</si>
  <si>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</si>
  <si>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</si>
  <si>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</si>
  <si>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</si>
  <si>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</si>
  <si>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</si>
  <si>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</si>
  <si>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</si>
  <si>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</si>
  <si>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</si>
  <si>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</si>
  <si>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</si>
  <si>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</si>
  <si>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</si>
  <si>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</si>
  <si>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</si>
  <si>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</si>
  <si>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</si>
  <si>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</si>
  <si>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</si>
  <si>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</si>
  <si>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</si>
  <si>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</si>
  <si>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</si>
  <si>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</si>
  <si>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</si>
  <si>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</si>
  <si>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</si>
  <si>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</si>
  <si>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</si>
  <si>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</si>
  <si>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</si>
  <si>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</si>
  <si>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</si>
  <si>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</si>
  <si>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</si>
  <si>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</si>
  <si>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</si>
  <si>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</si>
  <si>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</si>
  <si>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</si>
  <si>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</si>
  <si>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</si>
  <si>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</si>
  <si>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</si>
  <si>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</si>
  <si>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</si>
  <si>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</si>
  <si>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</si>
  <si>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</si>
  <si>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</si>
  <si>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</si>
  <si>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</si>
  <si>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</si>
  <si>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</si>
  <si>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</si>
  <si>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</si>
  <si>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</si>
  <si>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</si>
  <si>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</si>
  <si>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</si>
  <si>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</si>
  <si>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</si>
  <si>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</si>
  <si>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</si>
  <si>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</si>
  <si>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</si>
  <si>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</si>
  <si>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</si>
  <si>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</si>
  <si>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</si>
  <si>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</si>
  <si>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</si>
  <si>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</si>
  <si>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</si>
  <si>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</si>
  <si>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</si>
  <si>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</si>
  <si>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</si>
  <si>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</si>
  <si>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</si>
  <si>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</si>
  <si>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</si>
  <si>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</si>
  <si>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</si>
  <si>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</si>
  <si>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</si>
  <si>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</si>
  <si>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</si>
  <si>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</si>
  <si>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</si>
  <si>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</si>
  <si>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</si>
  <si>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</si>
  <si>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</si>
  <si>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</si>
  <si>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</si>
  <si>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</si>
  <si>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</si>
  <si>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</si>
  <si>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</si>
  <si>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</si>
  <si>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</si>
  <si>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</si>
  <si>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</si>
  <si>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</si>
  <si>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</si>
  <si>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</si>
  <si>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</si>
  <si>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</si>
  <si>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</si>
  <si>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</si>
  <si>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</si>
  <si>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</si>
  <si>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</si>
  <si>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</si>
  <si>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</si>
  <si>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</si>
  <si>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</si>
  <si>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</si>
  <si>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</si>
  <si>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</si>
  <si>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</si>
  <si>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</si>
  <si>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</si>
  <si>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</si>
  <si>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</si>
  <si>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</si>
  <si>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</si>
  <si>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</si>
  <si>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</si>
  <si>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</si>
  <si>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</si>
  <si>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</si>
  <si>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</si>
  <si>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</si>
  <si>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</si>
  <si>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</si>
  <si>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</si>
  <si>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</si>
  <si>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</si>
  <si>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</si>
  <si>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</si>
  <si>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</si>
  <si>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</si>
  <si>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</si>
  <si>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</si>
  <si>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</si>
  <si>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</si>
  <si>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</si>
  <si>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</si>
  <si>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</si>
  <si>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</si>
  <si>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</si>
  <si>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</si>
  <si>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</si>
  <si>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</si>
  <si>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</si>
  <si>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</si>
  <si>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</si>
  <si>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</si>
  <si>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</si>
  <si>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</si>
  <si>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</si>
  <si>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</si>
  <si>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</si>
  <si>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</si>
  <si>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</si>
  <si>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</si>
  <si>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</si>
  <si>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</si>
  <si>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</si>
  <si>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</si>
  <si>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</si>
  <si>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</si>
  <si>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</si>
  <si>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</si>
  <si>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</si>
  <si>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</si>
  <si>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</si>
  <si>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</si>
  <si>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</si>
  <si>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</si>
  <si>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</si>
  <si>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</si>
  <si>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</si>
  <si>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</si>
  <si>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</si>
  <si>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</si>
  <si>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</si>
  <si>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</si>
  <si>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</si>
  <si>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</si>
  <si>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</si>
  <si>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</si>
  <si>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</si>
  <si>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</si>
  <si>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</si>
  <si>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</si>
  <si>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</si>
  <si>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</si>
  <si>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</si>
  <si>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</si>
  <si>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</si>
  <si>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</si>
  <si>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</si>
  <si>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</si>
  <si>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</si>
  <si>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</si>
  <si>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</si>
  <si>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</si>
  <si>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</si>
  <si>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</si>
  <si>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</si>
  <si>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</si>
  <si>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</si>
  <si>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</si>
  <si>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</si>
  <si>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</si>
  <si>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</si>
  <si>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</si>
  <si>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</si>
  <si>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</si>
  <si>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</si>
  <si>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</si>
  <si>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</si>
  <si>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</si>
  <si>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</si>
  <si>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</si>
  <si>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</si>
  <si>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</si>
  <si>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</si>
  <si>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</si>
  <si>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</si>
  <si>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</si>
  <si>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</si>
  <si>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</si>
  <si>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</si>
  <si>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</si>
  <si>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</si>
  <si>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</si>
  <si>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</si>
  <si>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</si>
  <si>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</si>
  <si>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</si>
  <si>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</si>
  <si>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</si>
  <si>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</si>
  <si>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</si>
  <si>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</si>
  <si>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</si>
  <si>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</si>
  <si>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</si>
  <si>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</si>
  <si>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</si>
  <si>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</si>
  <si>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</si>
  <si>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</si>
  <si>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</si>
  <si>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</si>
  <si>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</si>
  <si>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</si>
  <si>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</si>
  <si>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</si>
  <si>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</si>
  <si>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</si>
  <si>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</si>
  <si>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</si>
  <si>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</si>
  <si>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</si>
  <si>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</si>
  <si>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</si>
  <si>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</si>
  <si>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</si>
  <si>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</si>
  <si>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</si>
  <si>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</si>
  <si>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</si>
  <si>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</si>
  <si>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</si>
  <si>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</si>
  <si>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</si>
  <si>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</si>
  <si>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</si>
  <si>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</si>
  <si>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</si>
  <si>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</si>
  <si>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</si>
  <si>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</si>
  <si>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</si>
  <si>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</si>
  <si>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</si>
  <si>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</si>
  <si>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</si>
  <si>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</si>
  <si>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</si>
  <si>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</si>
  <si>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</si>
  <si>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</si>
  <si>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</si>
  <si>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</si>
  <si>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</si>
  <si>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</si>
  <si>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</si>
  <si>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</si>
  <si>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</si>
  <si>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</si>
  <si>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</si>
  <si>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</si>
  <si>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</si>
  <si>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</si>
  <si>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</si>
  <si>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</si>
  <si>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</si>
  <si>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</si>
  <si>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</si>
  <si>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</si>
  <si>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</si>
  <si>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</si>
  <si>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</si>
  <si>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</si>
  <si>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</si>
  <si>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</si>
  <si>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</si>
  <si>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</si>
  <si>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</si>
  <si>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</si>
  <si>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</si>
  <si>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</si>
  <si>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</si>
  <si>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</si>
  <si>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</si>
  <si>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</si>
  <si>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</si>
  <si>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</si>
  <si>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</si>
  <si>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</si>
  <si>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</si>
  <si>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</si>
  <si>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</si>
  <si>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</si>
  <si>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</si>
  <si>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</si>
  <si>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</si>
  <si>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</si>
  <si>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</si>
  <si>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</si>
  <si>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</si>
  <si>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</si>
  <si>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</si>
  <si>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</si>
  <si>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</si>
  <si>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</si>
  <si>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</si>
  <si>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</si>
  <si>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</si>
  <si>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</si>
  <si>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</si>
  <si>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</si>
  <si>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</si>
  <si>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</si>
  <si>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</si>
  <si>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</si>
  <si>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</si>
  <si>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</si>
  <si>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</si>
  <si>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</si>
  <si>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</si>
  <si>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</si>
  <si>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</si>
  <si>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</si>
  <si>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</si>
  <si>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</si>
  <si>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</si>
  <si>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</si>
  <si>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</si>
  <si>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</si>
  <si>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</si>
  <si>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</si>
  <si>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</si>
  <si>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</si>
  <si>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</si>
  <si>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</si>
  <si>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</si>
  <si>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</si>
  <si>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</si>
  <si>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</si>
  <si>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</si>
  <si>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</si>
  <si>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</si>
  <si>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</si>
  <si>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</si>
  <si>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</si>
  <si>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</si>
  <si>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</si>
  <si>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</si>
  <si>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</si>
  <si>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</si>
  <si>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</si>
  <si>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</si>
  <si>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</si>
  <si>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</si>
  <si>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</si>
  <si>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</si>
  <si>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</si>
  <si>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</si>
  <si>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</si>
  <si>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</si>
  <si>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</si>
  <si>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</si>
  <si>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</si>
  <si>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</si>
  <si>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</si>
  <si>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</si>
  <si>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</si>
  <si>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</si>
  <si>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</si>
  <si>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</si>
  <si>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</si>
  <si>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</si>
  <si>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</si>
  <si>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</si>
  <si>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</si>
  <si>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</si>
  <si>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</si>
  <si>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</si>
  <si>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</si>
  <si>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</si>
  <si>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</si>
  <si>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</si>
  <si>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</si>
  <si>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</si>
  <si>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</si>
  <si>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</si>
  <si>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</si>
  <si>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</si>
  <si>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</si>
  <si>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</si>
  <si>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</si>
  <si>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</si>
  <si>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</si>
  <si>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</si>
  <si>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</si>
  <si>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</si>
  <si>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</si>
  <si>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</si>
  <si>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</si>
  <si>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</si>
  <si>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</si>
  <si>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</si>
  <si>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</si>
  <si>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</si>
  <si>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</si>
  <si>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</si>
  <si>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</si>
  <si>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</si>
  <si>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</si>
  <si>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</si>
  <si>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</si>
  <si>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</si>
  <si>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</si>
  <si>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</si>
  <si>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</si>
  <si>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</si>
  <si>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</si>
  <si>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</si>
  <si>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</si>
  <si>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</si>
  <si>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</si>
  <si>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</si>
  <si>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</si>
  <si>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</si>
  <si>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</si>
  <si>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</si>
  <si>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</si>
  <si>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</si>
  <si>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</si>
  <si>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</si>
  <si>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</si>
  <si>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</si>
  <si>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</si>
  <si>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</si>
  <si>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</si>
  <si>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</si>
  <si>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</si>
  <si>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</si>
  <si>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</si>
  <si>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</si>
  <si>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</si>
  <si>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</si>
  <si>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</si>
  <si>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</si>
  <si>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</si>
  <si>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</si>
  <si>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</si>
  <si>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</si>
  <si>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</si>
  <si>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</si>
  <si>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</si>
  <si>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</si>
  <si>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</si>
  <si>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</si>
  <si>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</si>
  <si>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</si>
  <si>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</si>
  <si>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</si>
  <si>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</si>
  <si>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</si>
  <si>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</si>
  <si>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</si>
  <si>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</si>
  <si>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</si>
  <si>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</si>
  <si>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</si>
  <si>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</si>
  <si>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</si>
  <si>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</si>
  <si>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</si>
  <si>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</si>
  <si>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</si>
  <si>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</si>
  <si>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</si>
  <si>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</si>
  <si>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</si>
  <si>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</si>
  <si>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</si>
  <si>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</si>
  <si>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</si>
  <si>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</si>
  <si>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</si>
  <si>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</si>
  <si>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</si>
  <si>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</si>
  <si>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</si>
  <si>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</si>
  <si>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</si>
  <si>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</si>
  <si>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</si>
  <si>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</si>
  <si>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</si>
  <si>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</si>
  <si>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</si>
  <si>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</si>
  <si>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</si>
  <si>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</si>
  <si>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</si>
  <si>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</si>
  <si>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</si>
  <si>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</si>
  <si>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</si>
  <si>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</si>
  <si>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</si>
  <si>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</si>
  <si>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</si>
  <si>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</si>
  <si>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</si>
  <si>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</si>
  <si>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</si>
  <si>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</si>
  <si>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</si>
  <si>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</si>
  <si>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</si>
  <si>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</si>
  <si>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</si>
  <si>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</si>
  <si>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</si>
  <si>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</si>
  <si>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</si>
  <si>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</si>
  <si>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</si>
  <si>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</si>
  <si>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</si>
  <si>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</si>
  <si>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</si>
  <si>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</si>
  <si>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</si>
  <si>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</si>
  <si>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</si>
  <si>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</si>
  <si>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</si>
  <si>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</si>
  <si>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</si>
  <si>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</si>
  <si>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</si>
  <si>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</si>
  <si>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</si>
  <si>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</si>
  <si>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</si>
  <si>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</si>
  <si>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</si>
  <si>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</si>
  <si>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</si>
  <si>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</si>
  <si>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</si>
  <si>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</si>
  <si>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</si>
  <si>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</si>
  <si>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</si>
  <si>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</si>
  <si>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</si>
  <si>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</si>
  <si>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</si>
  <si>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</si>
  <si>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</si>
  <si>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</si>
  <si>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</si>
  <si>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</si>
  <si>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</si>
  <si>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</si>
  <si>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</si>
  <si>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</si>
  <si>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</si>
  <si>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</si>
  <si>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</si>
  <si>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</si>
  <si>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</si>
  <si>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</si>
  <si>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</si>
  <si>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</si>
  <si>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</si>
  <si>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</si>
  <si>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</si>
  <si>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</si>
  <si>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</si>
  <si>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</si>
  <si>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</si>
  <si>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</si>
  <si>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</si>
  <si>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</si>
  <si>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</si>
  <si>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</si>
  <si>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</si>
  <si>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</si>
  <si>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</si>
  <si>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</si>
  <si>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</si>
  <si>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</si>
  <si>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</si>
  <si>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</si>
  <si>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</si>
  <si>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</si>
  <si>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</si>
  <si>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</si>
  <si>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</si>
  <si>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</si>
  <si>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</si>
  <si>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</si>
  <si>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</si>
  <si>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</si>
  <si>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</si>
  <si>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</si>
  <si>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</si>
  <si>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</si>
  <si>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</si>
  <si>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</si>
  <si>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</si>
  <si>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</si>
  <si>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</si>
  <si>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</si>
  <si>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</si>
  <si>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</si>
  <si>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</si>
  <si>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</si>
  <si>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</si>
  <si>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</si>
  <si>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</si>
  <si>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</si>
  <si>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</si>
  <si>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</si>
  <si>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</si>
  <si>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</si>
  <si>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</si>
  <si>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</si>
  <si>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</si>
  <si>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</si>
  <si>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</si>
  <si>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</si>
  <si>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</si>
  <si>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</si>
  <si>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</si>
  <si>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</si>
  <si>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</si>
  <si>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</si>
  <si>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</si>
  <si>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</si>
  <si>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</si>
  <si>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</si>
  <si>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</si>
  <si>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</si>
  <si>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</si>
  <si>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</si>
  <si>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</si>
  <si>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</si>
  <si>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</si>
  <si>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</si>
  <si>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</si>
  <si>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</si>
  <si>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</si>
  <si>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</si>
  <si>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</si>
  <si>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</si>
  <si>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</si>
  <si>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</si>
  <si>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</si>
  <si>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</si>
  <si>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</si>
  <si>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</si>
  <si>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</si>
  <si>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</si>
  <si>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</si>
  <si>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</si>
  <si>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</si>
  <si>
    <t>IISCRS</t>
  </si>
  <si>
    <t>Crude Steel</t>
  </si>
  <si>
    <t>BlastFurnace slag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</si>
</sst>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1093</v>
      </c>
      <c r="D1" s="18" t="s">
        <v>1094</v>
      </c>
      <c r="E1" s="18" t="s">
        <v>1095</v>
      </c>
    </row>
    <row r="2" spans="3:5" ht="30" x14ac:dyDescent="0.25">
      <c r="C2" s="304" t="s">
        <v>1096</v>
      </c>
      <c r="D2" t="s">
        <v>1097</v>
      </c>
      <c r="E2" s="505">
        <v>44452</v>
      </c>
    </row>
    <row r="3" spans="3:5" x14ac:dyDescent="0.25">
      <c r="C3" s="304" t="s">
        <v>1098</v>
      </c>
      <c r="D3" t="s">
        <v>1097</v>
      </c>
      <c r="E3" s="506">
        <v>44460</v>
      </c>
    </row>
    <row r="4" spans="3:5" x14ac:dyDescent="0.25">
      <c r="C4" s="304" t="s">
        <v>1099</v>
      </c>
    </row>
    <row r="5" spans="3:5" ht="30" x14ac:dyDescent="0.25">
      <c r="C5" s="304" t="s">
        <v>1100</v>
      </c>
    </row>
    <row r="7" spans="3:5" x14ac:dyDescent="0.25">
      <c r="C7" s="304" t="s">
        <v>1102</v>
      </c>
      <c r="D7" t="s">
        <v>1103</v>
      </c>
      <c r="E7" t="s">
        <v>1104</v>
      </c>
    </row>
    <row r="9" spans="3:5" x14ac:dyDescent="0.25">
      <c r="C9" s="304" t="s">
        <v>1110</v>
      </c>
      <c r="D9" t="s">
        <v>1103</v>
      </c>
      <c r="E9" s="505">
        <v>44732</v>
      </c>
    </row>
    <row r="10" spans="3:5" x14ac:dyDescent="0.25">
      <c r="C10" s="304" t="s">
        <v>1114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936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934</v>
      </c>
      <c r="G4" s="479" t="s">
        <v>935</v>
      </c>
      <c r="N4" s="479" t="s">
        <v>934</v>
      </c>
      <c r="U4" s="471"/>
    </row>
    <row r="5" spans="2:21" x14ac:dyDescent="0.2">
      <c r="B5" s="482"/>
      <c r="C5" s="481"/>
      <c r="D5" s="481"/>
      <c r="E5" s="480"/>
      <c r="G5" s="483" t="s">
        <v>933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932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931</v>
      </c>
      <c r="E7" s="471"/>
      <c r="G7" s="473" t="s">
        <v>484</v>
      </c>
      <c r="H7" s="467">
        <v>500</v>
      </c>
      <c r="I7" s="467">
        <v>400</v>
      </c>
      <c r="J7" s="467">
        <v>200</v>
      </c>
      <c r="L7" s="471"/>
      <c r="N7" s="473" t="s">
        <v>725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485</v>
      </c>
      <c r="H8" s="467">
        <v>1372</v>
      </c>
      <c r="I8" s="467">
        <v>850</v>
      </c>
      <c r="J8" s="467">
        <v>700</v>
      </c>
      <c r="L8" s="471"/>
      <c r="N8" s="473" t="s">
        <v>683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923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930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929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923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928</v>
      </c>
      <c r="L12" s="471"/>
      <c r="N12" s="472"/>
      <c r="R12" s="471"/>
      <c r="U12" s="471"/>
    </row>
    <row r="13" spans="2:21" x14ac:dyDescent="0.2">
      <c r="B13" s="475" t="s">
        <v>927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923</v>
      </c>
      <c r="E14" s="471"/>
      <c r="G14" s="473" t="s">
        <v>484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485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926</v>
      </c>
      <c r="E16" s="471"/>
      <c r="G16" s="473" t="s">
        <v>923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923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925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924</v>
      </c>
      <c r="L19" s="471"/>
      <c r="N19" s="472"/>
      <c r="R19" s="471"/>
      <c r="U19" s="471"/>
    </row>
    <row r="20" spans="2:21" x14ac:dyDescent="0.2">
      <c r="B20" s="482"/>
      <c r="G20" s="473" t="s">
        <v>484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485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923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1107</v>
      </c>
      <c r="U26" s="471"/>
    </row>
    <row r="27" spans="2:21" x14ac:dyDescent="0.2">
      <c r="B27" s="475"/>
      <c r="U27" s="471"/>
    </row>
    <row r="28" spans="2:21" x14ac:dyDescent="0.2">
      <c r="B28" s="473" t="s">
        <v>1108</v>
      </c>
      <c r="N28" s="467">
        <v>11.914999999999999</v>
      </c>
      <c r="O28" s="484" t="s">
        <v>937</v>
      </c>
      <c r="U28" s="471"/>
    </row>
    <row r="29" spans="2:21" x14ac:dyDescent="0.2">
      <c r="B29" s="472">
        <v>2028</v>
      </c>
      <c r="C29" s="484" t="s">
        <v>1109</v>
      </c>
      <c r="U29" s="471"/>
    </row>
    <row r="30" spans="2:21" x14ac:dyDescent="0.2">
      <c r="B30" s="472">
        <v>2032</v>
      </c>
      <c r="C30" s="484" t="s">
        <v>1113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abSelected="1" topLeftCell="A133" zoomScale="85" zoomScaleNormal="85" workbookViewId="0">
      <selection activeCell="J161" sqref="J161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740</v>
      </c>
      <c r="D2">
        <v>120</v>
      </c>
      <c r="E2" t="s">
        <v>391</v>
      </c>
      <c r="J2" t="s">
        <v>970</v>
      </c>
    </row>
    <row r="3" spans="1:45" x14ac:dyDescent="0.25">
      <c r="J3" s="14" t="s">
        <v>971</v>
      </c>
      <c r="K3" s="15"/>
      <c r="L3" s="15" t="s">
        <v>972</v>
      </c>
      <c r="M3" s="15"/>
      <c r="N3" s="3"/>
      <c r="P3" t="s">
        <v>905</v>
      </c>
      <c r="Q3" s="464"/>
      <c r="R3">
        <v>1.1499999999999999</v>
      </c>
      <c r="S3" s="118" t="s">
        <v>754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1191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967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980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957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715</v>
      </c>
      <c r="AM16" t="s">
        <v>716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717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718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719</v>
      </c>
      <c r="AN19" t="s">
        <v>720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721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722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1187</v>
      </c>
      <c r="X39" s="487"/>
    </row>
    <row r="40" spans="1:24" x14ac:dyDescent="0.25">
      <c r="X40" s="487"/>
    </row>
    <row r="41" spans="1:24" x14ac:dyDescent="0.25">
      <c r="B41" s="557" t="s">
        <v>1115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1116</v>
      </c>
      <c r="C42" s="559" t="s">
        <v>1117</v>
      </c>
      <c r="D42" s="559" t="s">
        <v>1118</v>
      </c>
      <c r="E42" s="559" t="s">
        <v>1119</v>
      </c>
      <c r="F42" s="559" t="s">
        <v>1120</v>
      </c>
      <c r="G42" s="559" t="s">
        <v>1121</v>
      </c>
      <c r="H42" s="559" t="s">
        <v>1199</v>
      </c>
      <c r="I42" s="581" t="s">
        <v>1122</v>
      </c>
      <c r="X42" s="487"/>
    </row>
    <row r="43" spans="1:24" x14ac:dyDescent="0.25">
      <c r="B43" s="485" t="s">
        <v>946</v>
      </c>
      <c r="C43" s="485" t="str">
        <f t="shared" ref="C43:C52" si="0">"Industry - I&amp;S - "&amp;J43</f>
        <v>Industry - I&amp;S - ToLocalSteelMarket</v>
      </c>
      <c r="D43" t="s">
        <v>139</v>
      </c>
      <c r="E43" t="s">
        <v>1127</v>
      </c>
      <c r="F43" t="s">
        <v>954</v>
      </c>
      <c r="G43" t="s">
        <v>1128</v>
      </c>
      <c r="H43" s="467"/>
      <c r="I43" s="467"/>
      <c r="J43" t="s">
        <v>1173</v>
      </c>
      <c r="X43" s="487"/>
    </row>
    <row r="44" spans="1:24" x14ac:dyDescent="0.25">
      <c r="B44" s="485" t="s">
        <v>945</v>
      </c>
      <c r="C44" s="485" t="str">
        <f t="shared" si="0"/>
        <v>Industry - I&amp;S - Alkaline Electrolysers</v>
      </c>
      <c r="D44" s="485" t="s">
        <v>139</v>
      </c>
      <c r="E44" t="s">
        <v>1192</v>
      </c>
      <c r="F44" s="484" t="s">
        <v>953</v>
      </c>
      <c r="G44" t="s">
        <v>1128</v>
      </c>
      <c r="H44" s="467" t="str">
        <f>E77</f>
        <v>IISELC</v>
      </c>
      <c r="I44" s="484" t="s">
        <v>1245</v>
      </c>
      <c r="J44" t="s">
        <v>1181</v>
      </c>
      <c r="N44" t="s">
        <v>1200</v>
      </c>
      <c r="X44" s="487"/>
    </row>
    <row r="45" spans="1:24" x14ac:dyDescent="0.25">
      <c r="B45" s="485" t="s">
        <v>944</v>
      </c>
      <c r="C45" s="485" t="str">
        <f t="shared" si="0"/>
        <v>Industry - I&amp;S - Battery</v>
      </c>
      <c r="D45" s="485" t="s">
        <v>139</v>
      </c>
      <c r="E45" t="s">
        <v>1192</v>
      </c>
      <c r="F45" s="484" t="s">
        <v>954</v>
      </c>
      <c r="G45" t="s">
        <v>1128</v>
      </c>
      <c r="H45" s="467"/>
      <c r="I45" s="467"/>
      <c r="J45" t="s">
        <v>1174</v>
      </c>
      <c r="X45" s="487"/>
    </row>
    <row r="46" spans="1:24" x14ac:dyDescent="0.25">
      <c r="B46" s="485" t="s">
        <v>943</v>
      </c>
      <c r="C46" s="485" t="str">
        <f t="shared" si="0"/>
        <v>Industry - I&amp;S - Electric Arc</v>
      </c>
      <c r="D46" t="s">
        <v>139</v>
      </c>
      <c r="E46" t="s">
        <v>1127</v>
      </c>
      <c r="F46" s="484" t="s">
        <v>953</v>
      </c>
      <c r="G46" t="s">
        <v>1128</v>
      </c>
      <c r="H46" s="467"/>
      <c r="I46" s="467"/>
      <c r="J46" t="s">
        <v>1180</v>
      </c>
      <c r="X46" s="487"/>
    </row>
    <row r="47" spans="1:24" x14ac:dyDescent="0.25">
      <c r="B47" s="485" t="s">
        <v>942</v>
      </c>
      <c r="C47" s="485" t="str">
        <f t="shared" si="0"/>
        <v>Industry - I&amp;S - HBI Storage</v>
      </c>
      <c r="D47" t="s">
        <v>139</v>
      </c>
      <c r="E47" t="s">
        <v>1127</v>
      </c>
      <c r="F47" s="484" t="s">
        <v>954</v>
      </c>
      <c r="G47" t="s">
        <v>1249</v>
      </c>
      <c r="H47" s="467"/>
      <c r="I47" s="467"/>
      <c r="J47" t="s">
        <v>1179</v>
      </c>
      <c r="X47" s="487"/>
    </row>
    <row r="48" spans="1:24" x14ac:dyDescent="0.25">
      <c r="B48" s="485" t="s">
        <v>941</v>
      </c>
      <c r="C48" s="485" t="str">
        <f t="shared" si="0"/>
        <v>Industry - I&amp;S - H2 DRI</v>
      </c>
      <c r="D48" t="s">
        <v>139</v>
      </c>
      <c r="E48" t="s">
        <v>1127</v>
      </c>
      <c r="F48" s="484" t="s">
        <v>954</v>
      </c>
      <c r="G48" t="s">
        <v>1128</v>
      </c>
      <c r="H48" s="467"/>
      <c r="I48" s="467"/>
      <c r="J48" t="s">
        <v>1177</v>
      </c>
      <c r="X48" s="487"/>
    </row>
    <row r="49" spans="2:36" x14ac:dyDescent="0.25">
      <c r="B49" s="485" t="s">
        <v>940</v>
      </c>
      <c r="C49" s="485" t="str">
        <f t="shared" si="0"/>
        <v>Industry - I&amp;S - H2 Storage</v>
      </c>
      <c r="D49" t="s">
        <v>139</v>
      </c>
      <c r="E49" t="s">
        <v>1127</v>
      </c>
      <c r="F49" s="484" t="s">
        <v>953</v>
      </c>
      <c r="G49" t="s">
        <v>1249</v>
      </c>
      <c r="H49" s="467"/>
      <c r="I49" s="467"/>
      <c r="J49" t="s">
        <v>1178</v>
      </c>
      <c r="X49" s="487"/>
    </row>
    <row r="50" spans="2:36" x14ac:dyDescent="0.25">
      <c r="B50" s="485" t="s">
        <v>938</v>
      </c>
      <c r="C50" s="485" t="str">
        <f t="shared" si="0"/>
        <v>Industry - I&amp;S - Iron Ore Mining</v>
      </c>
      <c r="D50" t="s">
        <v>139</v>
      </c>
      <c r="E50" t="s">
        <v>1127</v>
      </c>
      <c r="F50" s="484" t="s">
        <v>954</v>
      </c>
      <c r="G50" t="s">
        <v>1128</v>
      </c>
      <c r="H50" s="467"/>
      <c r="I50" s="467"/>
      <c r="J50" t="s">
        <v>1175</v>
      </c>
      <c r="X50" s="487"/>
    </row>
    <row r="51" spans="2:36" x14ac:dyDescent="0.25">
      <c r="B51" s="485" t="s">
        <v>1246</v>
      </c>
      <c r="C51" s="485" t="str">
        <f t="shared" si="0"/>
        <v>Industry - I&amp;S - Electricity To - GreenSteel</v>
      </c>
      <c r="D51" t="s">
        <v>139</v>
      </c>
      <c r="E51" t="s">
        <v>1127</v>
      </c>
      <c r="F51" s="484" t="s">
        <v>953</v>
      </c>
      <c r="G51" t="s">
        <v>1128</v>
      </c>
      <c r="H51" s="467"/>
      <c r="I51" s="467"/>
      <c r="J51" t="s">
        <v>1182</v>
      </c>
      <c r="X51" s="487"/>
    </row>
    <row r="52" spans="2:36" x14ac:dyDescent="0.25">
      <c r="B52" t="s">
        <v>1091</v>
      </c>
      <c r="C52" s="485" t="str">
        <f t="shared" si="0"/>
        <v>Industry - I&amp;S - Export Green Iron</v>
      </c>
      <c r="D52" t="s">
        <v>139</v>
      </c>
      <c r="E52" t="s">
        <v>1127</v>
      </c>
      <c r="F52" s="484" t="s">
        <v>954</v>
      </c>
      <c r="G52" t="s">
        <v>1128</v>
      </c>
      <c r="H52" s="467"/>
      <c r="I52" s="467"/>
      <c r="J52" t="s">
        <v>1176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976</v>
      </c>
      <c r="X55" s="487"/>
    </row>
    <row r="56" spans="2:36" x14ac:dyDescent="0.25">
      <c r="C56" s="5"/>
      <c r="D56" s="586" t="s">
        <v>723</v>
      </c>
      <c r="E56" s="587"/>
      <c r="F56" s="588"/>
      <c r="G56" s="586" t="s">
        <v>729</v>
      </c>
      <c r="H56" s="587"/>
      <c r="I56" s="588"/>
      <c r="X56" s="487"/>
    </row>
    <row r="57" spans="2:36" x14ac:dyDescent="0.25">
      <c r="B57" s="8"/>
      <c r="C57" s="9" t="s">
        <v>960</v>
      </c>
      <c r="D57" s="11" t="s">
        <v>724</v>
      </c>
      <c r="E57" s="11">
        <v>2030</v>
      </c>
      <c r="F57" s="431" t="s">
        <v>958</v>
      </c>
      <c r="G57" s="11" t="s">
        <v>724</v>
      </c>
      <c r="H57" s="11">
        <v>2030</v>
      </c>
      <c r="I57" s="431" t="s">
        <v>958</v>
      </c>
      <c r="X57" s="487"/>
      <c r="AB57" s="5"/>
      <c r="AC57" t="s">
        <v>723</v>
      </c>
      <c r="AE57" s="5"/>
      <c r="AF57" t="s">
        <v>729</v>
      </c>
      <c r="AH57" s="5"/>
    </row>
    <row r="58" spans="2:36" x14ac:dyDescent="0.25">
      <c r="B58" s="583" t="s">
        <v>962</v>
      </c>
      <c r="C58" s="5" t="s">
        <v>726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960</v>
      </c>
      <c r="AC58" s="8" t="s">
        <v>724</v>
      </c>
      <c r="AD58" s="8">
        <v>2030</v>
      </c>
      <c r="AE58" s="9" t="s">
        <v>958</v>
      </c>
      <c r="AF58" s="8" t="s">
        <v>724</v>
      </c>
      <c r="AG58" s="8">
        <v>2030</v>
      </c>
      <c r="AH58" s="9" t="s">
        <v>958</v>
      </c>
      <c r="AI58" s="383"/>
      <c r="AJ58" s="383"/>
    </row>
    <row r="59" spans="2:36" x14ac:dyDescent="0.25">
      <c r="B59" s="584"/>
      <c r="C59" s="5" t="s">
        <v>728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962</v>
      </c>
      <c r="AB59" s="5" t="s">
        <v>726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5"/>
      <c r="C60" s="9" t="s">
        <v>923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728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3" t="s">
        <v>978</v>
      </c>
      <c r="C61" s="5" t="s">
        <v>726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979</v>
      </c>
      <c r="X61" s="487"/>
      <c r="AA61" s="8"/>
      <c r="AB61" s="9" t="s">
        <v>923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4"/>
      <c r="C62" s="5" t="s">
        <v>728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961</v>
      </c>
      <c r="AB62" s="5" t="s">
        <v>726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5"/>
      <c r="C63" s="9" t="s">
        <v>923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728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3" t="s">
        <v>963</v>
      </c>
      <c r="C64" s="5" t="s">
        <v>726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923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4"/>
      <c r="C65" s="5" t="s">
        <v>728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963</v>
      </c>
      <c r="AB65" s="5" t="s">
        <v>726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5"/>
      <c r="C66" s="9" t="s">
        <v>923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728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923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682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1136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1116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945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964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1244</v>
      </c>
      <c r="X74" s="487"/>
      <c r="AA74" s="11" t="s">
        <v>731</v>
      </c>
      <c r="AB74" s="8"/>
      <c r="AC74" s="8"/>
    </row>
    <row r="75" spans="2:37" x14ac:dyDescent="0.25">
      <c r="D75" s="548"/>
      <c r="E75" s="548"/>
      <c r="F75" s="550" t="s">
        <v>1136</v>
      </c>
      <c r="G75" s="548"/>
      <c r="H75" s="548">
        <v>2020</v>
      </c>
      <c r="I75" s="548">
        <v>2030</v>
      </c>
      <c r="J75" s="548">
        <v>2050</v>
      </c>
      <c r="X75" s="487"/>
      <c r="AA75" t="s">
        <v>732</v>
      </c>
    </row>
    <row r="76" spans="2:37" x14ac:dyDescent="0.25">
      <c r="D76" s="552" t="s">
        <v>1116</v>
      </c>
      <c r="E76" s="554" t="s">
        <v>1137</v>
      </c>
      <c r="F76" s="554" t="s">
        <v>1138</v>
      </c>
      <c r="G76" s="555" t="s">
        <v>955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733</v>
      </c>
    </row>
    <row r="77" spans="2:37" x14ac:dyDescent="0.25">
      <c r="D77" s="485" t="s">
        <v>945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734</v>
      </c>
    </row>
    <row r="79" spans="2:37" x14ac:dyDescent="0.25">
      <c r="X79" s="487"/>
      <c r="AA79">
        <v>500</v>
      </c>
      <c r="AB79" t="s">
        <v>735</v>
      </c>
    </row>
    <row r="80" spans="2:37" x14ac:dyDescent="0.25">
      <c r="X80" s="487"/>
      <c r="AA80" t="s">
        <v>736</v>
      </c>
      <c r="AB80" t="s">
        <v>737</v>
      </c>
    </row>
    <row r="81" spans="2:28" x14ac:dyDescent="0.25">
      <c r="X81" s="487"/>
      <c r="AA81">
        <v>516</v>
      </c>
      <c r="AB81" t="s">
        <v>738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975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619</v>
      </c>
      <c r="G103" s="135" t="s">
        <v>383</v>
      </c>
      <c r="X103" s="487"/>
      <c r="AA103" t="s">
        <v>739</v>
      </c>
    </row>
    <row r="104" spans="2:33" x14ac:dyDescent="0.25">
      <c r="B104" s="117" t="s">
        <v>974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995</v>
      </c>
      <c r="G104" s="498" t="s">
        <v>968</v>
      </c>
      <c r="I104" s="453">
        <v>0.1</v>
      </c>
      <c r="X104" s="487"/>
    </row>
    <row r="105" spans="2:33" x14ac:dyDescent="0.25">
      <c r="B105" s="117" t="s">
        <v>683</v>
      </c>
      <c r="C105" s="117">
        <v>20</v>
      </c>
      <c r="D105" s="117"/>
      <c r="E105" s="117"/>
      <c r="F105" s="117" t="s">
        <v>697</v>
      </c>
      <c r="G105" s="117" t="s">
        <v>863</v>
      </c>
      <c r="H105" s="285"/>
      <c r="X105" s="487"/>
      <c r="AA105">
        <f>L6</f>
        <v>11.78</v>
      </c>
      <c r="AB105" t="s">
        <v>973</v>
      </c>
    </row>
    <row r="106" spans="2:33" x14ac:dyDescent="0.25">
      <c r="B106" s="117" t="s">
        <v>969</v>
      </c>
      <c r="C106" s="117">
        <f>AA117*3.6/D2</f>
        <v>3.0000000000000002E-2</v>
      </c>
      <c r="D106" s="117"/>
      <c r="E106" s="117"/>
      <c r="F106" s="117" t="s">
        <v>996</v>
      </c>
      <c r="G106" s="117"/>
      <c r="X106" s="487"/>
      <c r="AA106" s="423">
        <f>AA81*AA105</f>
        <v>6078.48</v>
      </c>
      <c r="AB106" t="s">
        <v>741</v>
      </c>
      <c r="AF106">
        <v>9.1999999999999998E-3</v>
      </c>
      <c r="AG106" t="s">
        <v>139</v>
      </c>
    </row>
    <row r="107" spans="2:33" x14ac:dyDescent="0.25">
      <c r="B107" s="117" t="s">
        <v>930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899</v>
      </c>
      <c r="G107" s="117" t="s">
        <v>997</v>
      </c>
      <c r="I107" s="453">
        <v>0.01</v>
      </c>
      <c r="X107" s="487"/>
      <c r="AA107" s="320">
        <f>AA106/D2</f>
        <v>50.653999999999996</v>
      </c>
      <c r="AB107" t="s">
        <v>742</v>
      </c>
      <c r="AF107" s="368">
        <f>AF106*AB109</f>
        <v>312.23125599999992</v>
      </c>
      <c r="AG107" t="s">
        <v>743</v>
      </c>
    </row>
    <row r="108" spans="2:33" x14ac:dyDescent="0.25">
      <c r="B108" s="117" t="s">
        <v>725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744</v>
      </c>
      <c r="AF109" s="345"/>
    </row>
    <row r="110" spans="2:33" x14ac:dyDescent="0.25">
      <c r="X110" s="487"/>
      <c r="AA110" s="285">
        <v>0.33</v>
      </c>
      <c r="AB110" t="s">
        <v>745</v>
      </c>
    </row>
    <row r="111" spans="2:33" x14ac:dyDescent="0.25">
      <c r="B111" s="576"/>
      <c r="C111" s="576"/>
      <c r="D111" s="576"/>
      <c r="E111" s="577" t="s">
        <v>1136</v>
      </c>
      <c r="F111" s="576"/>
      <c r="G111" s="576"/>
      <c r="H111" s="576"/>
      <c r="I111" s="576"/>
      <c r="J111" s="576"/>
      <c r="N111" s="577" t="s">
        <v>1136</v>
      </c>
      <c r="X111" s="487"/>
      <c r="AF111" s="426"/>
    </row>
    <row r="112" spans="2:33" ht="25.5" x14ac:dyDescent="0.25">
      <c r="B112" s="578" t="s">
        <v>1116</v>
      </c>
      <c r="C112" s="578" t="s">
        <v>1242</v>
      </c>
      <c r="D112" s="578" t="s">
        <v>1137</v>
      </c>
      <c r="E112" s="578" t="s">
        <v>1138</v>
      </c>
      <c r="F112" s="579" t="s">
        <v>1250</v>
      </c>
      <c r="G112" s="578" t="s">
        <v>1190</v>
      </c>
      <c r="H112" s="578" t="s">
        <v>1243</v>
      </c>
      <c r="I112" s="578" t="s">
        <v>1247</v>
      </c>
      <c r="J112" s="578" t="s">
        <v>1251</v>
      </c>
      <c r="N112" s="548" t="s">
        <v>1218</v>
      </c>
      <c r="O112" s="548" t="s">
        <v>1116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952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731</v>
      </c>
    </row>
    <row r="114" spans="2:39" x14ac:dyDescent="0.25">
      <c r="J114" s="576"/>
      <c r="N114" t="s">
        <v>877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746</v>
      </c>
    </row>
    <row r="115" spans="2:39" x14ac:dyDescent="0.25">
      <c r="J115" s="576"/>
      <c r="K115" s="576"/>
      <c r="L115" s="576"/>
      <c r="X115" s="487"/>
      <c r="AA115" s="118" t="s">
        <v>747</v>
      </c>
    </row>
    <row r="116" spans="2:39" x14ac:dyDescent="0.25">
      <c r="X116" s="487"/>
      <c r="AA116" t="s">
        <v>900</v>
      </c>
    </row>
    <row r="117" spans="2:39" x14ac:dyDescent="0.25">
      <c r="X117" s="487"/>
      <c r="AA117">
        <v>1</v>
      </c>
      <c r="AB117" t="s">
        <v>901</v>
      </c>
    </row>
    <row r="118" spans="2:39" x14ac:dyDescent="0.25">
      <c r="X118" s="487"/>
      <c r="AB118" t="s">
        <v>902</v>
      </c>
    </row>
    <row r="119" spans="2:39" x14ac:dyDescent="0.25">
      <c r="X119" s="487"/>
    </row>
    <row r="120" spans="2:39" ht="21" x14ac:dyDescent="0.35">
      <c r="B120" s="489" t="s">
        <v>981</v>
      </c>
      <c r="X120" s="487"/>
      <c r="Z120" s="424" t="s">
        <v>966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993</v>
      </c>
      <c r="E122" s="135" t="s">
        <v>619</v>
      </c>
      <c r="F122" s="135" t="s">
        <v>994</v>
      </c>
      <c r="X122" s="487"/>
      <c r="AA122" s="429" t="s">
        <v>748</v>
      </c>
      <c r="AB122" s="429"/>
      <c r="AC122" s="429"/>
      <c r="AD122" s="429"/>
    </row>
    <row r="123" spans="2:39" x14ac:dyDescent="0.25">
      <c r="B123" s="117" t="s">
        <v>713</v>
      </c>
      <c r="C123" s="117" t="s">
        <v>959</v>
      </c>
      <c r="D123" s="337">
        <f>AK131*R3*L6*R5</f>
        <v>4380.8288599999996</v>
      </c>
      <c r="E123" s="117" t="s">
        <v>987</v>
      </c>
      <c r="F123" s="117"/>
      <c r="X123" s="487"/>
      <c r="AA123" t="s">
        <v>749</v>
      </c>
    </row>
    <row r="124" spans="2:39" x14ac:dyDescent="0.25">
      <c r="B124" s="117"/>
      <c r="C124" s="117" t="s">
        <v>982</v>
      </c>
      <c r="D124" s="337">
        <f>'AMSA reports'!O13/2</f>
        <v>725.14525500322793</v>
      </c>
      <c r="E124" s="117" t="s">
        <v>440</v>
      </c>
      <c r="F124" s="117" t="s">
        <v>988</v>
      </c>
      <c r="X124" s="487"/>
      <c r="AA124" t="s">
        <v>750</v>
      </c>
      <c r="AH124" t="s">
        <v>751</v>
      </c>
    </row>
    <row r="125" spans="2:39" x14ac:dyDescent="0.25">
      <c r="B125" s="117"/>
      <c r="C125" s="117" t="s">
        <v>762</v>
      </c>
      <c r="D125" s="337">
        <f>D123*H125</f>
        <v>219.04144299999999</v>
      </c>
      <c r="E125" s="117" t="s">
        <v>440</v>
      </c>
      <c r="F125" s="117" t="s">
        <v>998</v>
      </c>
      <c r="H125" s="453">
        <v>0.05</v>
      </c>
      <c r="X125" s="487"/>
      <c r="AH125" t="s">
        <v>752</v>
      </c>
      <c r="AI125">
        <v>1.1499999999999999</v>
      </c>
      <c r="AJ125" t="s">
        <v>753</v>
      </c>
      <c r="AK125" s="118" t="s">
        <v>754</v>
      </c>
    </row>
    <row r="126" spans="2:39" ht="21" x14ac:dyDescent="0.35">
      <c r="B126" s="117"/>
      <c r="C126" s="117" t="s">
        <v>683</v>
      </c>
      <c r="D126" s="117">
        <v>20</v>
      </c>
      <c r="E126" s="117" t="s">
        <v>685</v>
      </c>
      <c r="F126" s="117"/>
      <c r="X126" s="487"/>
      <c r="Z126" s="424"/>
    </row>
    <row r="127" spans="2:39" ht="21" x14ac:dyDescent="0.35">
      <c r="B127" s="117" t="s">
        <v>769</v>
      </c>
      <c r="C127" s="117" t="s">
        <v>983</v>
      </c>
      <c r="D127" s="490">
        <f>AK137/1000</f>
        <v>1.504</v>
      </c>
      <c r="E127" s="117" t="s">
        <v>985</v>
      </c>
      <c r="F127" s="117"/>
      <c r="X127" s="487"/>
      <c r="Z127" s="424"/>
    </row>
    <row r="128" spans="2:39" ht="21" x14ac:dyDescent="0.35">
      <c r="B128" s="117"/>
      <c r="C128" s="117" t="s">
        <v>774</v>
      </c>
      <c r="D128" s="117">
        <f>AK136*D2*1000000/1000000000</f>
        <v>6.12</v>
      </c>
      <c r="E128" s="117" t="s">
        <v>986</v>
      </c>
      <c r="F128" s="117"/>
      <c r="X128" s="487"/>
      <c r="Z128" s="430"/>
      <c r="AA128" s="11" t="s">
        <v>755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756</v>
      </c>
      <c r="AJ128" s="8"/>
      <c r="AK128" s="8"/>
      <c r="AL128" s="8"/>
      <c r="AM128" s="8"/>
    </row>
    <row r="129" spans="2:44" x14ac:dyDescent="0.25">
      <c r="B129" s="117"/>
      <c r="C129" s="117" t="s">
        <v>984</v>
      </c>
      <c r="D129" s="117">
        <f>AE216*3.6/1.5</f>
        <v>0.74400000000000022</v>
      </c>
      <c r="E129" s="117" t="s">
        <v>986</v>
      </c>
      <c r="F129" s="117"/>
      <c r="X129" s="487"/>
      <c r="Z129" s="5"/>
      <c r="AD129" s="5"/>
      <c r="AH129" s="5"/>
      <c r="AO129" t="s">
        <v>757</v>
      </c>
    </row>
    <row r="130" spans="2:44" x14ac:dyDescent="0.25">
      <c r="X130" s="487"/>
      <c r="Z130" s="5"/>
      <c r="AA130" t="s">
        <v>619</v>
      </c>
      <c r="AD130" s="5" t="s">
        <v>758</v>
      </c>
      <c r="AE130" t="s">
        <v>141</v>
      </c>
      <c r="AH130" s="5" t="s">
        <v>758</v>
      </c>
      <c r="AI130" t="s">
        <v>141</v>
      </c>
      <c r="AO130">
        <v>120</v>
      </c>
      <c r="AP130" t="s">
        <v>391</v>
      </c>
    </row>
    <row r="131" spans="2:44" x14ac:dyDescent="0.25">
      <c r="X131" s="487"/>
      <c r="Z131" s="3" t="s">
        <v>708</v>
      </c>
      <c r="AA131" s="15" t="s">
        <v>759</v>
      </c>
      <c r="AB131" s="15"/>
      <c r="AC131" s="432">
        <v>0.58499999999999996</v>
      </c>
      <c r="AD131" s="3" t="s">
        <v>760</v>
      </c>
      <c r="AE131" s="433" t="s">
        <v>761</v>
      </c>
      <c r="AF131" s="15"/>
      <c r="AG131" s="432">
        <v>184</v>
      </c>
      <c r="AH131" s="3"/>
      <c r="AI131" s="433" t="s">
        <v>761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762</v>
      </c>
      <c r="AA132" s="433" t="s">
        <v>763</v>
      </c>
      <c r="AB132" s="433"/>
      <c r="AC132" s="435">
        <v>0.03</v>
      </c>
      <c r="AD132" s="434"/>
      <c r="AE132" s="433" t="s">
        <v>763</v>
      </c>
      <c r="AF132" s="433"/>
      <c r="AG132" s="435">
        <v>0.03</v>
      </c>
      <c r="AH132" s="434"/>
      <c r="AI132" s="433" t="s">
        <v>764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354</v>
      </c>
      <c r="D133" s="18"/>
      <c r="E133" s="18"/>
      <c r="F133" s="18"/>
      <c r="X133" s="487"/>
      <c r="Z133" s="5" t="s">
        <v>645</v>
      </c>
      <c r="AD133" s="5"/>
      <c r="AE133" t="s">
        <v>761</v>
      </c>
      <c r="AG133">
        <v>53</v>
      </c>
      <c r="AH133" s="5" t="s">
        <v>765</v>
      </c>
    </row>
    <row r="134" spans="2:44" x14ac:dyDescent="0.25">
      <c r="B134" s="117"/>
      <c r="C134" s="117"/>
      <c r="D134" s="135" t="s">
        <v>993</v>
      </c>
      <c r="E134" s="135" t="s">
        <v>619</v>
      </c>
      <c r="F134" s="135" t="s">
        <v>994</v>
      </c>
      <c r="X134" s="487"/>
      <c r="Z134" s="5" t="s">
        <v>766</v>
      </c>
      <c r="AD134" s="5"/>
      <c r="AE134" s="433" t="s">
        <v>761</v>
      </c>
      <c r="AG134">
        <v>8</v>
      </c>
      <c r="AH134" s="5" t="s">
        <v>767</v>
      </c>
      <c r="AO134" s="14" t="s">
        <v>768</v>
      </c>
      <c r="AP134" s="15"/>
      <c r="AQ134" s="15"/>
      <c r="AR134" s="3"/>
    </row>
    <row r="135" spans="2:44" x14ac:dyDescent="0.25">
      <c r="B135" s="117" t="s">
        <v>713</v>
      </c>
      <c r="C135" s="117" t="s">
        <v>959</v>
      </c>
      <c r="D135" s="491">
        <f>AG131*AI125*L6*R5</f>
        <v>3504.6630879999993</v>
      </c>
      <c r="E135" s="117" t="s">
        <v>989</v>
      </c>
      <c r="F135" s="117"/>
      <c r="X135" s="487"/>
      <c r="Z135" s="9" t="s">
        <v>769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770</v>
      </c>
      <c r="AR135" s="5"/>
    </row>
    <row r="136" spans="2:44" x14ac:dyDescent="0.25">
      <c r="B136" s="117"/>
      <c r="C136" s="117" t="s">
        <v>982</v>
      </c>
      <c r="D136" s="491">
        <f>D124</f>
        <v>725.14525500322793</v>
      </c>
      <c r="E136" s="117" t="s">
        <v>990</v>
      </c>
      <c r="F136" s="117" t="s">
        <v>991</v>
      </c>
      <c r="X136" s="487"/>
      <c r="Z136" s="5"/>
      <c r="AB136" t="s">
        <v>230</v>
      </c>
      <c r="AD136" s="5"/>
      <c r="AE136" t="s">
        <v>771</v>
      </c>
      <c r="AF136" t="s">
        <v>772</v>
      </c>
      <c r="AG136" s="436">
        <f>AG142*AO140</f>
        <v>1</v>
      </c>
      <c r="AH136" s="5"/>
      <c r="AI136" t="s">
        <v>773</v>
      </c>
      <c r="AJ136" t="s">
        <v>774</v>
      </c>
      <c r="AK136" s="429">
        <v>51</v>
      </c>
      <c r="AL136" t="s">
        <v>775</v>
      </c>
      <c r="AM136">
        <f>AK136/(AK137/1000)</f>
        <v>33.909574468085104</v>
      </c>
      <c r="AN136" t="s">
        <v>776</v>
      </c>
      <c r="AO136" s="4">
        <v>0</v>
      </c>
      <c r="AP136">
        <v>1</v>
      </c>
      <c r="AQ136" t="s">
        <v>777</v>
      </c>
      <c r="AR136" s="5"/>
    </row>
    <row r="137" spans="2:44" x14ac:dyDescent="0.25">
      <c r="B137" s="117"/>
      <c r="C137" s="117" t="s">
        <v>762</v>
      </c>
      <c r="D137" s="491">
        <f>D135*$F$137</f>
        <v>175.23315439999999</v>
      </c>
      <c r="E137" s="117" t="s">
        <v>990</v>
      </c>
      <c r="F137" s="453">
        <v>0.05</v>
      </c>
      <c r="X137" s="487"/>
      <c r="Z137" s="5"/>
      <c r="AA137" t="s">
        <v>139</v>
      </c>
      <c r="AB137" t="s">
        <v>14</v>
      </c>
      <c r="AC137">
        <f>AC142/AC146</f>
        <v>1.3888888888888888</v>
      </c>
      <c r="AD137" s="5" t="s">
        <v>778</v>
      </c>
      <c r="AE137" t="s">
        <v>779</v>
      </c>
      <c r="AF137" t="s">
        <v>14</v>
      </c>
      <c r="AG137">
        <f>AO137+AO140*AP138</f>
        <v>0.753</v>
      </c>
      <c r="AH137" s="5" t="s">
        <v>780</v>
      </c>
      <c r="AI137" t="s">
        <v>773</v>
      </c>
      <c r="AJ137" t="s">
        <v>243</v>
      </c>
      <c r="AK137" s="429">
        <v>1504</v>
      </c>
      <c r="AL137" s="437"/>
      <c r="AO137" s="438">
        <v>0.66700000000000004</v>
      </c>
      <c r="AP137" s="429">
        <v>0.753</v>
      </c>
      <c r="AQ137" t="s">
        <v>779</v>
      </c>
      <c r="AR137" s="5"/>
    </row>
    <row r="138" spans="2:44" x14ac:dyDescent="0.25">
      <c r="B138" s="117"/>
      <c r="C138" s="117" t="s">
        <v>683</v>
      </c>
      <c r="D138" s="117">
        <v>20</v>
      </c>
      <c r="E138" s="117" t="s">
        <v>685</v>
      </c>
      <c r="F138" s="117" t="s">
        <v>992</v>
      </c>
      <c r="X138" s="487"/>
      <c r="Z138" s="5"/>
      <c r="AD138" s="5"/>
      <c r="AE138" t="s">
        <v>773</v>
      </c>
      <c r="AF138" t="s">
        <v>781</v>
      </c>
      <c r="AG138" s="429">
        <v>50</v>
      </c>
      <c r="AH138" s="5"/>
      <c r="AI138" t="s">
        <v>782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783</v>
      </c>
      <c r="AR138" s="9"/>
    </row>
    <row r="139" spans="2:44" x14ac:dyDescent="0.25">
      <c r="B139" s="117" t="s">
        <v>714</v>
      </c>
      <c r="C139" s="117" t="s">
        <v>20</v>
      </c>
      <c r="D139" s="117">
        <f>AG136</f>
        <v>1</v>
      </c>
      <c r="E139" s="117" t="s">
        <v>186</v>
      </c>
      <c r="F139" s="117"/>
      <c r="X139" s="487"/>
      <c r="Z139" s="5"/>
      <c r="AD139" s="5"/>
      <c r="AE139" t="s">
        <v>771</v>
      </c>
      <c r="AF139" t="s">
        <v>784</v>
      </c>
      <c r="AG139" s="436">
        <f>AG136*(1-AO140)/AO140</f>
        <v>0</v>
      </c>
      <c r="AH139" s="5" t="s">
        <v>785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494</v>
      </c>
      <c r="F140" s="117"/>
      <c r="I140" t="s">
        <v>827</v>
      </c>
      <c r="J140">
        <f>1000000*3600/1000000000000000</f>
        <v>3.5999999999999998E-6</v>
      </c>
      <c r="K140" t="s">
        <v>828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786</v>
      </c>
      <c r="AQ140" s="436"/>
      <c r="AR140" s="436"/>
    </row>
    <row r="141" spans="2:44" x14ac:dyDescent="0.25">
      <c r="B141" s="117" t="s">
        <v>363</v>
      </c>
      <c r="C141" s="117" t="s">
        <v>1001</v>
      </c>
      <c r="D141" s="117">
        <v>0.08</v>
      </c>
      <c r="E141" s="117" t="s">
        <v>1073</v>
      </c>
      <c r="F141" s="117" t="s">
        <v>1074</v>
      </c>
      <c r="X141" s="487"/>
      <c r="Z141" s="9" t="s">
        <v>787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139</v>
      </c>
      <c r="AB142" t="s">
        <v>774</v>
      </c>
      <c r="AC142" s="436">
        <v>1</v>
      </c>
      <c r="AD142" s="5"/>
      <c r="AE142" t="s">
        <v>788</v>
      </c>
      <c r="AF142" t="s">
        <v>789</v>
      </c>
      <c r="AG142" s="436">
        <v>1</v>
      </c>
      <c r="AH142" s="5"/>
      <c r="AI142" t="s">
        <v>790</v>
      </c>
      <c r="AJ142" t="s">
        <v>772</v>
      </c>
      <c r="AK142" s="436">
        <v>1000</v>
      </c>
      <c r="AO142" t="s">
        <v>791</v>
      </c>
      <c r="AP142">
        <v>1.5</v>
      </c>
      <c r="AQ142" t="s">
        <v>792</v>
      </c>
    </row>
    <row r="143" spans="2:44" x14ac:dyDescent="0.25">
      <c r="G143" s="18" t="s">
        <v>682</v>
      </c>
      <c r="X143" s="487"/>
      <c r="Z143" s="5"/>
      <c r="AB143" t="s">
        <v>632</v>
      </c>
      <c r="AD143" s="5"/>
      <c r="AH143" s="5"/>
      <c r="AI143" t="s">
        <v>790</v>
      </c>
      <c r="AJ143" t="s">
        <v>774</v>
      </c>
    </row>
    <row r="144" spans="2:44" x14ac:dyDescent="0.25">
      <c r="B144" s="548"/>
      <c r="C144" s="548"/>
      <c r="D144" s="548" t="s">
        <v>1136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790</v>
      </c>
      <c r="AB144" t="s">
        <v>774</v>
      </c>
      <c r="AD144" s="5"/>
      <c r="AH144" s="5"/>
      <c r="AJ144" t="s">
        <v>230</v>
      </c>
    </row>
    <row r="145" spans="2:41" x14ac:dyDescent="0.25">
      <c r="B145" s="548" t="s">
        <v>1116</v>
      </c>
      <c r="C145" s="548" t="s">
        <v>1137</v>
      </c>
      <c r="D145" s="548" t="s">
        <v>1138</v>
      </c>
      <c r="E145" s="548" t="s">
        <v>841</v>
      </c>
      <c r="F145" s="548" t="s">
        <v>841</v>
      </c>
      <c r="G145" s="548" t="s">
        <v>841</v>
      </c>
      <c r="H145" s="548" t="s">
        <v>952</v>
      </c>
      <c r="I145" s="548" t="s">
        <v>1189</v>
      </c>
      <c r="J145" s="548" t="s">
        <v>1188</v>
      </c>
      <c r="K145" s="548" t="s">
        <v>1190</v>
      </c>
      <c r="L145" s="548" t="s">
        <v>1183</v>
      </c>
      <c r="M145" s="548" t="s">
        <v>956</v>
      </c>
      <c r="X145" s="487"/>
      <c r="Z145" s="9"/>
      <c r="AA145" s="8"/>
      <c r="AB145" s="8" t="s">
        <v>632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793</v>
      </c>
    </row>
    <row r="146" spans="2:41" x14ac:dyDescent="0.25">
      <c r="B146" s="485" t="s">
        <v>941</v>
      </c>
      <c r="C146" s="485" t="s">
        <v>947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725</v>
      </c>
      <c r="AB146" t="s">
        <v>794</v>
      </c>
      <c r="AC146" s="440">
        <v>0.72</v>
      </c>
      <c r="AD146" s="5" t="s">
        <v>795</v>
      </c>
      <c r="AH146" s="5"/>
      <c r="AN146">
        <f>AN145/1000</f>
        <v>2.7108000000000003</v>
      </c>
      <c r="AO146" t="s">
        <v>145</v>
      </c>
    </row>
    <row r="147" spans="2:41" x14ac:dyDescent="0.25">
      <c r="C147" s="485" t="s">
        <v>950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683</v>
      </c>
      <c r="AA147" t="s">
        <v>685</v>
      </c>
      <c r="AC147">
        <v>10</v>
      </c>
      <c r="AD147" s="5"/>
      <c r="AE147" t="s">
        <v>697</v>
      </c>
      <c r="AG147">
        <v>20</v>
      </c>
      <c r="AH147" s="5"/>
      <c r="AI147" t="s">
        <v>697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949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1204</v>
      </c>
      <c r="X149" s="487"/>
      <c r="AK149" s="441"/>
    </row>
    <row r="150" spans="2:41" x14ac:dyDescent="0.25">
      <c r="B150" s="485" t="s">
        <v>943</v>
      </c>
      <c r="C150" s="485" t="s">
        <v>949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1205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948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1186</v>
      </c>
      <c r="X157" s="487"/>
    </row>
    <row r="158" spans="2:41" x14ac:dyDescent="0.25">
      <c r="X158" s="487"/>
    </row>
    <row r="159" spans="2:41" x14ac:dyDescent="0.25">
      <c r="B159" t="s">
        <v>1088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1089</v>
      </c>
      <c r="X159" s="487"/>
    </row>
    <row r="160" spans="2:41" x14ac:dyDescent="0.25">
      <c r="D160" s="119">
        <f>D159*$H$159</f>
        <v>4084.9852746535375</v>
      </c>
      <c r="E160" s="119" t="s">
        <v>1090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1136</v>
      </c>
      <c r="E163" s="551"/>
      <c r="F163" s="548" t="s">
        <v>682</v>
      </c>
      <c r="G163" s="18"/>
      <c r="X163" s="487"/>
    </row>
    <row r="164" spans="2:24" x14ac:dyDescent="0.25">
      <c r="B164" s="548" t="s">
        <v>1116</v>
      </c>
      <c r="C164" s="548" t="s">
        <v>1137</v>
      </c>
      <c r="D164" s="548" t="s">
        <v>1138</v>
      </c>
      <c r="E164" s="548" t="s">
        <v>858</v>
      </c>
      <c r="F164" s="548" t="s">
        <v>849</v>
      </c>
      <c r="G164" s="18"/>
      <c r="I164" s="509"/>
      <c r="X164" s="487"/>
    </row>
    <row r="165" spans="2:24" x14ac:dyDescent="0.25">
      <c r="B165" s="485" t="s">
        <v>946</v>
      </c>
      <c r="C165" s="485" t="s">
        <v>948</v>
      </c>
      <c r="D165" s="99" t="s">
        <v>1269</v>
      </c>
      <c r="E165">
        <v>1</v>
      </c>
      <c r="G165" s="18"/>
      <c r="X165" s="487"/>
    </row>
    <row r="166" spans="2:24" x14ac:dyDescent="0.25">
      <c r="B166" t="s">
        <v>1091</v>
      </c>
      <c r="C166" s="485" t="s">
        <v>949</v>
      </c>
      <c r="E166">
        <v>1</v>
      </c>
      <c r="F166">
        <v>-4162.2431015000002</v>
      </c>
      <c r="G166" s="18"/>
      <c r="I166" s="340" t="s">
        <v>1201</v>
      </c>
      <c r="X166" s="487"/>
    </row>
    <row r="167" spans="2:24" x14ac:dyDescent="0.25">
      <c r="B167" s="485" t="s">
        <v>938</v>
      </c>
      <c r="D167" s="485" t="s">
        <v>950</v>
      </c>
      <c r="E167">
        <v>1</v>
      </c>
      <c r="F167">
        <v>1400</v>
      </c>
      <c r="I167" s="340" t="s">
        <v>1184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820</v>
      </c>
      <c r="AC181" t="s">
        <v>821</v>
      </c>
    </row>
    <row r="182" spans="2:33" x14ac:dyDescent="0.25">
      <c r="X182" s="487"/>
      <c r="AA182" t="s">
        <v>191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822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965</v>
      </c>
    </row>
    <row r="184" spans="2:33" x14ac:dyDescent="0.25">
      <c r="X184" s="487"/>
      <c r="AA184" t="s">
        <v>823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824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825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1141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1142</v>
      </c>
      <c r="C191" s="548" t="s">
        <v>1143</v>
      </c>
      <c r="D191" s="548" t="s">
        <v>1144</v>
      </c>
      <c r="E191" s="548" t="s">
        <v>1145</v>
      </c>
      <c r="F191" s="548" t="s">
        <v>619</v>
      </c>
      <c r="G191" s="548" t="s">
        <v>1146</v>
      </c>
      <c r="H191" s="548" t="s">
        <v>1147</v>
      </c>
      <c r="I191" s="548" t="s">
        <v>1148</v>
      </c>
      <c r="J191" s="548" t="s">
        <v>1149</v>
      </c>
      <c r="X191" s="487"/>
    </row>
    <row r="192" spans="2:33" ht="39.75" thickBot="1" x14ac:dyDescent="0.3">
      <c r="B192" s="517" t="s">
        <v>1150</v>
      </c>
      <c r="C192" s="518" t="s">
        <v>1151</v>
      </c>
      <c r="D192" s="517" t="s">
        <v>1152</v>
      </c>
      <c r="E192" s="517" t="s">
        <v>1153</v>
      </c>
      <c r="F192" s="517" t="s">
        <v>619</v>
      </c>
      <c r="G192" s="517" t="s">
        <v>1154</v>
      </c>
      <c r="H192" s="517" t="s">
        <v>1155</v>
      </c>
      <c r="I192" s="517" t="s">
        <v>1156</v>
      </c>
      <c r="J192" s="517" t="s">
        <v>1157</v>
      </c>
      <c r="X192" s="487"/>
    </row>
    <row r="193" spans="2:24" x14ac:dyDescent="0.25">
      <c r="B193" s="519" t="s">
        <v>1159</v>
      </c>
      <c r="C193" s="519" t="s">
        <v>951</v>
      </c>
      <c r="D193" s="485" t="s">
        <v>950</v>
      </c>
      <c r="E193" s="485" t="str">
        <f t="shared" ref="E193:E197" si="8">"Industry - I&amp;S - "&amp;L193</f>
        <v>Industry - I&amp;S - Iron Ore</v>
      </c>
      <c r="F193" s="485" t="s">
        <v>139</v>
      </c>
      <c r="G193" s="485"/>
      <c r="H193" s="467"/>
      <c r="I193" s="467"/>
      <c r="J193" s="467"/>
      <c r="K193" s="467"/>
      <c r="L193" t="s">
        <v>1171</v>
      </c>
      <c r="X193" s="487"/>
    </row>
    <row r="194" spans="2:24" x14ac:dyDescent="0.25">
      <c r="B194" s="519" t="s">
        <v>1159</v>
      </c>
      <c r="C194" s="519" t="s">
        <v>951</v>
      </c>
      <c r="D194" s="485" t="s">
        <v>949</v>
      </c>
      <c r="E194" s="485" t="str">
        <f t="shared" si="8"/>
        <v>Industry - I&amp;S - GreenHBI</v>
      </c>
      <c r="F194" s="485" t="s">
        <v>139</v>
      </c>
      <c r="G194" s="485"/>
      <c r="H194" s="467"/>
      <c r="I194" s="467"/>
      <c r="J194" s="467"/>
      <c r="K194" s="467"/>
      <c r="L194" t="s">
        <v>1185</v>
      </c>
      <c r="X194" s="487"/>
    </row>
    <row r="195" spans="2:24" x14ac:dyDescent="0.25">
      <c r="B195" s="519" t="s">
        <v>1159</v>
      </c>
      <c r="C195" s="519" t="s">
        <v>951</v>
      </c>
      <c r="D195" s="485" t="s">
        <v>948</v>
      </c>
      <c r="E195" s="485" t="str">
        <f t="shared" si="8"/>
        <v>Industry - I&amp;S - GreenSteel</v>
      </c>
      <c r="F195" s="485" t="s">
        <v>139</v>
      </c>
      <c r="G195" s="485"/>
      <c r="H195" s="467"/>
      <c r="I195" s="467"/>
      <c r="J195" s="467"/>
      <c r="K195" s="467"/>
      <c r="L195" t="s">
        <v>1172</v>
      </c>
      <c r="X195" s="487"/>
    </row>
    <row r="196" spans="2:24" x14ac:dyDescent="0.25">
      <c r="B196" s="519" t="s">
        <v>1248</v>
      </c>
      <c r="C196" s="519" t="s">
        <v>951</v>
      </c>
      <c r="D196" s="485" t="s">
        <v>38</v>
      </c>
      <c r="E196" s="485" t="str">
        <f t="shared" si="8"/>
        <v>Industry - I&amp;S - Electricity</v>
      </c>
      <c r="F196" s="485" t="s">
        <v>139</v>
      </c>
      <c r="G196" s="485"/>
      <c r="H196" s="484" t="s">
        <v>953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1159</v>
      </c>
      <c r="C197" s="519" t="s">
        <v>951</v>
      </c>
      <c r="D197" s="485" t="s">
        <v>947</v>
      </c>
      <c r="E197" s="485" t="str">
        <f t="shared" si="8"/>
        <v>Industry - I&amp;S - Hydrogen</v>
      </c>
      <c r="F197" s="485" t="s">
        <v>139</v>
      </c>
      <c r="G197" s="485"/>
      <c r="H197" s="467"/>
      <c r="I197" s="467"/>
      <c r="J197" s="467"/>
      <c r="K197" s="467"/>
      <c r="L197" t="s">
        <v>774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802</v>
      </c>
    </row>
    <row r="210" spans="24:40" x14ac:dyDescent="0.25">
      <c r="X210" s="487"/>
      <c r="AB210" t="s">
        <v>807</v>
      </c>
      <c r="AC210" s="285" t="s">
        <v>808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813</v>
      </c>
    </row>
    <row r="213" spans="24:40" x14ac:dyDescent="0.25">
      <c r="X213" s="487"/>
      <c r="AB213" s="285">
        <v>0.2</v>
      </c>
      <c r="AC213">
        <v>2.16</v>
      </c>
      <c r="AD213" t="s">
        <v>814</v>
      </c>
      <c r="AG213">
        <f>AC216</f>
        <v>2.41</v>
      </c>
      <c r="AH213" t="s">
        <v>815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816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818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819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797</v>
      </c>
    </row>
    <row r="224" spans="24:40" x14ac:dyDescent="0.25">
      <c r="X224" s="487"/>
      <c r="Z224">
        <v>30.6</v>
      </c>
      <c r="AA224" t="s">
        <v>798</v>
      </c>
      <c r="AB224" s="118" t="s">
        <v>799</v>
      </c>
    </row>
    <row r="225" spans="24:38" x14ac:dyDescent="0.25">
      <c r="X225" s="487"/>
      <c r="Z225">
        <f>Z224*AK228</f>
        <v>489.6</v>
      </c>
      <c r="AA225" t="s">
        <v>800</v>
      </c>
      <c r="AK225" t="s">
        <v>801</v>
      </c>
    </row>
    <row r="226" spans="24:38" x14ac:dyDescent="0.25">
      <c r="X226" s="487"/>
    </row>
    <row r="227" spans="24:38" x14ac:dyDescent="0.25">
      <c r="X227" s="487"/>
      <c r="Z227" t="s">
        <v>803</v>
      </c>
      <c r="AK227" t="s">
        <v>805</v>
      </c>
      <c r="AL227" t="s">
        <v>806</v>
      </c>
    </row>
    <row r="228" spans="24:38" x14ac:dyDescent="0.25">
      <c r="X228" s="487"/>
      <c r="Z228" t="s">
        <v>809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810</v>
      </c>
      <c r="AB229">
        <v>405</v>
      </c>
      <c r="AC229" t="s">
        <v>811</v>
      </c>
      <c r="AD229" s="118" t="s">
        <v>812</v>
      </c>
    </row>
    <row r="230" spans="24:38" x14ac:dyDescent="0.25">
      <c r="X230" s="487"/>
      <c r="Z230">
        <f>(Z229+AB229)/2</f>
        <v>270</v>
      </c>
      <c r="AA230" t="s">
        <v>730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817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1079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1080</v>
      </c>
    </row>
    <row r="240" spans="24:38" x14ac:dyDescent="0.25">
      <c r="X240" s="487"/>
    </row>
    <row r="241" spans="24:31" x14ac:dyDescent="0.25">
      <c r="X241" s="487"/>
      <c r="Z241" t="s">
        <v>1081</v>
      </c>
      <c r="AA241">
        <f>AVERAGE(AB292:AB303)</f>
        <v>342.83333333333331</v>
      </c>
      <c r="AB241" t="s">
        <v>1082</v>
      </c>
    </row>
    <row r="242" spans="24:31" x14ac:dyDescent="0.25">
      <c r="X242" s="487"/>
      <c r="AB242" s="582" t="s">
        <v>1083</v>
      </c>
      <c r="AC242" s="582"/>
      <c r="AD242" s="582"/>
      <c r="AE242" t="s">
        <v>1084</v>
      </c>
    </row>
    <row r="243" spans="24:31" ht="15.75" thickBot="1" x14ac:dyDescent="0.3">
      <c r="X243" s="487"/>
      <c r="AB243" t="s">
        <v>1081</v>
      </c>
      <c r="AC243" t="s">
        <v>1085</v>
      </c>
      <c r="AD243" t="s">
        <v>1086</v>
      </c>
      <c r="AE243" t="s">
        <v>1087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1013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1202</v>
      </c>
    </row>
    <row r="3" spans="1:25" x14ac:dyDescent="0.25">
      <c r="B3" t="s">
        <v>826</v>
      </c>
      <c r="I3" t="s">
        <v>827</v>
      </c>
      <c r="J3">
        <v>3.5999999999999998E-6</v>
      </c>
      <c r="K3" t="s">
        <v>828</v>
      </c>
    </row>
    <row r="4" spans="1:25" x14ac:dyDescent="0.25">
      <c r="B4" t="s">
        <v>829</v>
      </c>
      <c r="I4" t="s">
        <v>774</v>
      </c>
      <c r="J4">
        <v>120</v>
      </c>
      <c r="K4" t="s">
        <v>391</v>
      </c>
    </row>
    <row r="5" spans="1:25" x14ac:dyDescent="0.25">
      <c r="B5" s="444">
        <v>1</v>
      </c>
      <c r="C5" s="436" t="s">
        <v>830</v>
      </c>
      <c r="I5" t="s">
        <v>831</v>
      </c>
      <c r="J5">
        <v>0.125</v>
      </c>
    </row>
    <row r="6" spans="1:25" ht="15.75" thickBot="1" x14ac:dyDescent="0.3">
      <c r="B6">
        <v>11.914999999999999</v>
      </c>
      <c r="C6" t="s">
        <v>832</v>
      </c>
    </row>
    <row r="7" spans="1:25" x14ac:dyDescent="0.25">
      <c r="A7" t="s">
        <v>905</v>
      </c>
      <c r="B7">
        <v>1.1499999999999999</v>
      </c>
      <c r="C7" s="118" t="s">
        <v>754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906</v>
      </c>
      <c r="K8" s="377"/>
      <c r="Y8" s="378"/>
    </row>
    <row r="9" spans="1:25" x14ac:dyDescent="0.25">
      <c r="A9" s="11" t="s">
        <v>904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833</v>
      </c>
      <c r="B10" t="s">
        <v>903</v>
      </c>
      <c r="C10" s="268">
        <v>1</v>
      </c>
      <c r="D10" t="s">
        <v>834</v>
      </c>
      <c r="K10" s="377"/>
      <c r="Y10" s="378"/>
    </row>
    <row r="11" spans="1:25" x14ac:dyDescent="0.25">
      <c r="B11" t="s">
        <v>835</v>
      </c>
      <c r="C11" s="348">
        <v>2.7107999999999999</v>
      </c>
      <c r="D11" t="s">
        <v>139</v>
      </c>
      <c r="K11" s="377"/>
      <c r="Y11" s="378"/>
    </row>
    <row r="12" spans="1:25" x14ac:dyDescent="0.25">
      <c r="B12" s="462" t="s">
        <v>836</v>
      </c>
      <c r="C12" s="463">
        <v>0</v>
      </c>
      <c r="D12" s="462" t="s">
        <v>834</v>
      </c>
      <c r="E12" s="462"/>
      <c r="K12" s="377"/>
      <c r="Y12" s="378"/>
    </row>
    <row r="13" spans="1:25" x14ac:dyDescent="0.25">
      <c r="B13" s="462" t="s">
        <v>837</v>
      </c>
      <c r="C13" s="462">
        <v>1</v>
      </c>
      <c r="D13" s="462" t="s">
        <v>834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838</v>
      </c>
      <c r="C15" s="268">
        <v>3.7107999999999999</v>
      </c>
      <c r="D15" t="s">
        <v>839</v>
      </c>
      <c r="K15" s="377"/>
      <c r="Y15" s="378"/>
    </row>
    <row r="16" spans="1:25" x14ac:dyDescent="0.25">
      <c r="B16" t="s">
        <v>840</v>
      </c>
      <c r="C16" s="348">
        <v>0.26948366928964107</v>
      </c>
      <c r="D16" t="s">
        <v>772</v>
      </c>
      <c r="K16" s="377"/>
      <c r="S16" s="446"/>
      <c r="Y16" s="378"/>
    </row>
    <row r="17" spans="1:25" x14ac:dyDescent="0.25">
      <c r="B17" t="s">
        <v>840</v>
      </c>
      <c r="C17" s="348">
        <v>0.73051633071035893</v>
      </c>
      <c r="D17" t="s">
        <v>38</v>
      </c>
      <c r="K17" s="377"/>
      <c r="O17" s="447"/>
      <c r="U17" s="589"/>
      <c r="V17" s="589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841</v>
      </c>
      <c r="C19" s="462"/>
      <c r="D19" s="462" t="s">
        <v>842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843</v>
      </c>
      <c r="B21" s="445" t="s">
        <v>844</v>
      </c>
      <c r="C21" s="445">
        <v>184</v>
      </c>
      <c r="D21" s="445" t="s">
        <v>796</v>
      </c>
      <c r="K21" s="377"/>
      <c r="Y21" s="378"/>
    </row>
    <row r="22" spans="1:25" x14ac:dyDescent="0.25">
      <c r="C22">
        <v>211.6</v>
      </c>
      <c r="D22" t="s">
        <v>627</v>
      </c>
      <c r="K22" s="377"/>
      <c r="Y22" s="378"/>
    </row>
    <row r="23" spans="1:25" x14ac:dyDescent="0.25">
      <c r="B23" t="s">
        <v>846</v>
      </c>
      <c r="C23" s="423">
        <v>2521.2139999999999</v>
      </c>
      <c r="D23" t="s">
        <v>845</v>
      </c>
      <c r="K23" s="377"/>
      <c r="Y23" s="378"/>
    </row>
    <row r="24" spans="1:25" x14ac:dyDescent="0.25">
      <c r="B24" s="462"/>
      <c r="C24" s="465">
        <v>2521.2139999999999</v>
      </c>
      <c r="D24" s="462" t="s">
        <v>847</v>
      </c>
      <c r="E24" s="462"/>
      <c r="K24" s="448"/>
      <c r="Y24" s="378"/>
    </row>
    <row r="25" spans="1:25" x14ac:dyDescent="0.25">
      <c r="A25" t="s">
        <v>219</v>
      </c>
      <c r="B25" t="s">
        <v>645</v>
      </c>
      <c r="C25" s="423">
        <v>725.14525500322793</v>
      </c>
      <c r="D25" t="s">
        <v>848</v>
      </c>
      <c r="H25" s="285">
        <v>0.5</v>
      </c>
      <c r="I25" t="s">
        <v>921</v>
      </c>
      <c r="K25" s="377"/>
      <c r="Y25" s="378"/>
    </row>
    <row r="26" spans="1:25" x14ac:dyDescent="0.25">
      <c r="B26" t="s">
        <v>849</v>
      </c>
      <c r="C26" s="423">
        <v>618.86236976156738</v>
      </c>
      <c r="D26" t="s">
        <v>850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922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856</v>
      </c>
      <c r="B32" t="s">
        <v>835</v>
      </c>
      <c r="C32" s="287">
        <v>10.928571428571427</v>
      </c>
      <c r="D32" t="s">
        <v>139</v>
      </c>
      <c r="F32" s="449"/>
      <c r="G32" s="449"/>
      <c r="H32" t="s">
        <v>852</v>
      </c>
      <c r="I32" t="s">
        <v>853</v>
      </c>
    </row>
    <row r="33" spans="1:9" x14ac:dyDescent="0.25">
      <c r="B33" t="s">
        <v>854</v>
      </c>
      <c r="C33" s="287">
        <v>6.12</v>
      </c>
      <c r="D33" t="s">
        <v>139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855</v>
      </c>
      <c r="C34" s="303">
        <v>0.40799999999999997</v>
      </c>
      <c r="D34" t="s">
        <v>834</v>
      </c>
      <c r="F34" s="449"/>
      <c r="G34" s="449"/>
    </row>
    <row r="35" spans="1:9" x14ac:dyDescent="0.25">
      <c r="I35" s="348"/>
    </row>
    <row r="36" spans="1:9" x14ac:dyDescent="0.25">
      <c r="A36" s="450" t="s">
        <v>856</v>
      </c>
      <c r="B36" s="450" t="s">
        <v>857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858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841</v>
      </c>
      <c r="C38" s="287">
        <v>6.12</v>
      </c>
      <c r="D38" t="s">
        <v>859</v>
      </c>
      <c r="F38" s="451">
        <v>6.8849999999999998</v>
      </c>
      <c r="G38" s="451">
        <v>7.3221428571428575</v>
      </c>
      <c r="I38" t="s">
        <v>860</v>
      </c>
    </row>
    <row r="39" spans="1:9" x14ac:dyDescent="0.25">
      <c r="B39" t="s">
        <v>841</v>
      </c>
      <c r="C39" s="303">
        <v>0.40799999999999997</v>
      </c>
      <c r="D39" t="s">
        <v>861</v>
      </c>
      <c r="F39" s="451">
        <v>0.45899999999999996</v>
      </c>
      <c r="G39" s="451">
        <v>0.4881428571428571</v>
      </c>
      <c r="I39" t="s">
        <v>860</v>
      </c>
    </row>
    <row r="40" spans="1:9" x14ac:dyDescent="0.25">
      <c r="B40" t="s">
        <v>841</v>
      </c>
      <c r="C40" s="287">
        <v>10.928571428571427</v>
      </c>
      <c r="D40" t="s">
        <v>862</v>
      </c>
      <c r="F40" s="449"/>
      <c r="G40" s="449"/>
      <c r="I40" t="s">
        <v>860</v>
      </c>
    </row>
    <row r="42" spans="1:9" x14ac:dyDescent="0.25">
      <c r="A42" t="s">
        <v>863</v>
      </c>
      <c r="B42" t="s">
        <v>864</v>
      </c>
      <c r="C42" s="285">
        <v>0.9</v>
      </c>
    </row>
    <row r="43" spans="1:9" x14ac:dyDescent="0.25">
      <c r="A43" s="450" t="s">
        <v>856</v>
      </c>
      <c r="B43" s="450" t="s">
        <v>865</v>
      </c>
      <c r="C43" s="450">
        <v>1800</v>
      </c>
      <c r="D43" s="450" t="s">
        <v>727</v>
      </c>
      <c r="E43" s="450"/>
      <c r="F43" s="450">
        <v>1500</v>
      </c>
      <c r="G43" s="450">
        <v>900</v>
      </c>
    </row>
    <row r="44" spans="1:9" x14ac:dyDescent="0.25">
      <c r="A44" s="16" t="s">
        <v>866</v>
      </c>
      <c r="B44" t="s">
        <v>865</v>
      </c>
      <c r="C44" s="423">
        <v>21447</v>
      </c>
      <c r="D44" t="s">
        <v>867</v>
      </c>
      <c r="F44" s="423">
        <v>17872.5</v>
      </c>
      <c r="G44" s="423">
        <v>10723.5</v>
      </c>
    </row>
    <row r="45" spans="1:9" x14ac:dyDescent="0.25">
      <c r="B45" t="s">
        <v>846</v>
      </c>
      <c r="C45" s="423">
        <v>21447</v>
      </c>
      <c r="D45" t="s">
        <v>868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856</v>
      </c>
      <c r="B48" s="450" t="s">
        <v>869</v>
      </c>
      <c r="C48" s="450">
        <v>60000</v>
      </c>
      <c r="D48" s="450" t="s">
        <v>870</v>
      </c>
      <c r="F48" s="450">
        <v>75000</v>
      </c>
      <c r="G48" s="450">
        <v>12500</v>
      </c>
    </row>
    <row r="49" spans="1:9" x14ac:dyDescent="0.25">
      <c r="B49" t="s">
        <v>871</v>
      </c>
      <c r="C49">
        <v>8</v>
      </c>
      <c r="D49" t="s">
        <v>697</v>
      </c>
      <c r="F49">
        <v>10</v>
      </c>
      <c r="G49">
        <v>2</v>
      </c>
    </row>
    <row r="51" spans="1:9" x14ac:dyDescent="0.25">
      <c r="A51" s="18" t="s">
        <v>873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851</v>
      </c>
      <c r="B54" t="s">
        <v>835</v>
      </c>
      <c r="C54" s="287">
        <v>0</v>
      </c>
      <c r="D54" t="s">
        <v>139</v>
      </c>
      <c r="F54" s="449"/>
      <c r="G54" s="449"/>
      <c r="H54" t="s">
        <v>852</v>
      </c>
      <c r="I54" t="s">
        <v>853</v>
      </c>
    </row>
    <row r="55" spans="1:9" x14ac:dyDescent="0.25">
      <c r="B55" t="s">
        <v>854</v>
      </c>
      <c r="C55" s="287">
        <v>0</v>
      </c>
      <c r="D55" t="s">
        <v>139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855</v>
      </c>
      <c r="C56" s="303" t="e">
        <v>#DIV/0!</v>
      </c>
      <c r="D56" t="s">
        <v>834</v>
      </c>
      <c r="F56" s="449"/>
      <c r="G56" s="449"/>
    </row>
    <row r="57" spans="1:9" x14ac:dyDescent="0.25">
      <c r="I57" s="348"/>
    </row>
    <row r="58" spans="1:9" x14ac:dyDescent="0.25">
      <c r="A58" s="450" t="s">
        <v>856</v>
      </c>
      <c r="B58" s="450" t="s">
        <v>857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858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841</v>
      </c>
      <c r="C60" s="287">
        <v>0</v>
      </c>
      <c r="D60" t="s">
        <v>859</v>
      </c>
      <c r="F60" s="451">
        <v>0</v>
      </c>
      <c r="G60" s="451">
        <v>0</v>
      </c>
      <c r="I60" t="s">
        <v>860</v>
      </c>
    </row>
    <row r="61" spans="1:9" x14ac:dyDescent="0.25">
      <c r="B61" t="s">
        <v>841</v>
      </c>
      <c r="C61" s="303" t="e">
        <v>#DIV/0!</v>
      </c>
      <c r="D61" t="s">
        <v>861</v>
      </c>
      <c r="F61" s="451" t="e">
        <v>#DIV/0!</v>
      </c>
      <c r="G61" s="451" t="e">
        <v>#DIV/0!</v>
      </c>
      <c r="I61" t="s">
        <v>860</v>
      </c>
    </row>
    <row r="62" spans="1:9" x14ac:dyDescent="0.25">
      <c r="B62" t="s">
        <v>841</v>
      </c>
      <c r="C62" s="287">
        <v>0</v>
      </c>
      <c r="D62" t="s">
        <v>862</v>
      </c>
      <c r="F62" s="449"/>
      <c r="G62" s="449"/>
      <c r="I62" t="s">
        <v>860</v>
      </c>
    </row>
    <row r="64" spans="1:9" x14ac:dyDescent="0.25">
      <c r="A64" s="455" t="s">
        <v>863</v>
      </c>
      <c r="B64" s="455" t="s">
        <v>864</v>
      </c>
      <c r="C64" s="457">
        <v>0.9</v>
      </c>
      <c r="I64" t="s">
        <v>365</v>
      </c>
    </row>
    <row r="65" spans="1:10" x14ac:dyDescent="0.25">
      <c r="A65" s="450" t="s">
        <v>856</v>
      </c>
      <c r="B65" s="450" t="s">
        <v>865</v>
      </c>
      <c r="C65" s="450">
        <v>1400</v>
      </c>
      <c r="D65" s="450" t="s">
        <v>727</v>
      </c>
      <c r="E65" s="450"/>
      <c r="F65" s="450">
        <v>850</v>
      </c>
      <c r="G65" s="450">
        <v>700</v>
      </c>
      <c r="H65" t="s">
        <v>874</v>
      </c>
    </row>
    <row r="66" spans="1:10" x14ac:dyDescent="0.25">
      <c r="A66" s="16" t="s">
        <v>866</v>
      </c>
      <c r="B66" t="s">
        <v>865</v>
      </c>
      <c r="C66" s="423">
        <v>16681</v>
      </c>
      <c r="D66" t="s">
        <v>867</v>
      </c>
      <c r="F66" s="423">
        <v>10127.75</v>
      </c>
      <c r="G66" s="423">
        <v>8340.5</v>
      </c>
    </row>
    <row r="67" spans="1:10" x14ac:dyDescent="0.25">
      <c r="B67" s="455" t="s">
        <v>846</v>
      </c>
      <c r="C67" s="458">
        <v>16681</v>
      </c>
      <c r="D67" s="455" t="s">
        <v>868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875</v>
      </c>
      <c r="C69" s="423"/>
      <c r="E69" s="285">
        <v>7.0000000000000007E-2</v>
      </c>
      <c r="F69" s="285">
        <v>0.05</v>
      </c>
      <c r="G69" s="285">
        <v>0.05</v>
      </c>
      <c r="H69" t="s">
        <v>876</v>
      </c>
    </row>
    <row r="70" spans="1:10" x14ac:dyDescent="0.25">
      <c r="B70" s="455" t="s">
        <v>877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865</v>
      </c>
      <c r="C71" s="450">
        <v>500</v>
      </c>
      <c r="D71" s="450" t="s">
        <v>727</v>
      </c>
      <c r="E71" s="450"/>
      <c r="F71" s="450">
        <v>400</v>
      </c>
      <c r="G71" s="450">
        <v>200</v>
      </c>
      <c r="H71" s="16" t="s">
        <v>878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856</v>
      </c>
      <c r="B73" s="450" t="s">
        <v>869</v>
      </c>
      <c r="C73" s="450">
        <v>75000</v>
      </c>
      <c r="D73" s="450" t="s">
        <v>870</v>
      </c>
      <c r="F73" s="450">
        <v>95000</v>
      </c>
      <c r="G73" s="450">
        <v>125000</v>
      </c>
      <c r="H73" t="s">
        <v>879</v>
      </c>
    </row>
    <row r="74" spans="1:10" x14ac:dyDescent="0.25">
      <c r="A74" s="450"/>
      <c r="B74" s="450"/>
      <c r="C74" s="450"/>
      <c r="D74" s="450" t="s">
        <v>870</v>
      </c>
      <c r="E74">
        <v>60000</v>
      </c>
      <c r="F74" s="450">
        <v>90000</v>
      </c>
      <c r="G74" s="450">
        <v>100000</v>
      </c>
      <c r="H74" t="s">
        <v>878</v>
      </c>
    </row>
    <row r="75" spans="1:10" x14ac:dyDescent="0.25">
      <c r="B75" s="455" t="s">
        <v>871</v>
      </c>
      <c r="C75" s="455">
        <v>10</v>
      </c>
      <c r="D75" s="455" t="s">
        <v>697</v>
      </c>
      <c r="E75" s="455"/>
      <c r="F75" s="455">
        <v>13</v>
      </c>
      <c r="G75" s="455">
        <v>16</v>
      </c>
    </row>
    <row r="77" spans="1:10" x14ac:dyDescent="0.25">
      <c r="A77" s="18" t="s">
        <v>880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851</v>
      </c>
      <c r="B80" t="s">
        <v>835</v>
      </c>
      <c r="C80" s="287">
        <v>0</v>
      </c>
      <c r="D80" t="s">
        <v>139</v>
      </c>
      <c r="F80" s="449"/>
      <c r="G80" s="449"/>
      <c r="H80" t="s">
        <v>852</v>
      </c>
      <c r="I80" t="s">
        <v>853</v>
      </c>
      <c r="J80" t="s">
        <v>860</v>
      </c>
    </row>
    <row r="81" spans="1:10" x14ac:dyDescent="0.25">
      <c r="B81" t="s">
        <v>854</v>
      </c>
      <c r="C81" s="287">
        <v>0</v>
      </c>
      <c r="D81" t="s">
        <v>139</v>
      </c>
      <c r="F81" s="449"/>
      <c r="G81" s="449"/>
      <c r="H81" s="441" t="e">
        <v>#DIV/0!</v>
      </c>
      <c r="I81" s="303" t="e">
        <v>#DIV/0!</v>
      </c>
      <c r="J81" t="s">
        <v>860</v>
      </c>
    </row>
    <row r="82" spans="1:10" x14ac:dyDescent="0.25">
      <c r="B82" t="s">
        <v>855</v>
      </c>
      <c r="C82" s="303" t="e">
        <v>#DIV/0!</v>
      </c>
      <c r="D82" t="s">
        <v>834</v>
      </c>
      <c r="F82" s="449"/>
      <c r="G82" s="449"/>
      <c r="J82" t="s">
        <v>860</v>
      </c>
    </row>
    <row r="83" spans="1:10" x14ac:dyDescent="0.25">
      <c r="I83" s="348"/>
    </row>
    <row r="84" spans="1:10" x14ac:dyDescent="0.25">
      <c r="A84" s="450" t="s">
        <v>856</v>
      </c>
      <c r="B84" s="450" t="s">
        <v>857</v>
      </c>
      <c r="C84" s="454">
        <v>0.7</v>
      </c>
      <c r="D84" s="450"/>
      <c r="E84" s="450"/>
      <c r="F84" s="454">
        <v>0.71</v>
      </c>
      <c r="G84" s="454">
        <v>0.8</v>
      </c>
      <c r="H84" t="s">
        <v>874</v>
      </c>
    </row>
    <row r="85" spans="1:10" x14ac:dyDescent="0.25">
      <c r="B85" s="455" t="s">
        <v>858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841</v>
      </c>
      <c r="C86" s="287">
        <v>0</v>
      </c>
      <c r="D86" t="s">
        <v>859</v>
      </c>
      <c r="F86" s="451">
        <v>0</v>
      </c>
      <c r="G86" s="451">
        <v>0</v>
      </c>
    </row>
    <row r="87" spans="1:10" x14ac:dyDescent="0.25">
      <c r="B87" t="s">
        <v>841</v>
      </c>
      <c r="C87" s="303" t="e">
        <v>#DIV/0!</v>
      </c>
      <c r="D87" t="s">
        <v>861</v>
      </c>
      <c r="F87" s="451" t="e">
        <v>#DIV/0!</v>
      </c>
      <c r="G87" s="451" t="e">
        <v>#DIV/0!</v>
      </c>
    </row>
    <row r="88" spans="1:10" x14ac:dyDescent="0.25">
      <c r="B88" t="s">
        <v>841</v>
      </c>
      <c r="C88" s="287">
        <v>0</v>
      </c>
      <c r="D88" t="s">
        <v>862</v>
      </c>
      <c r="F88" s="449"/>
      <c r="G88" s="449"/>
    </row>
    <row r="90" spans="1:10" x14ac:dyDescent="0.25">
      <c r="A90" t="s">
        <v>863</v>
      </c>
      <c r="B90" t="s">
        <v>864</v>
      </c>
      <c r="C90" s="285"/>
    </row>
    <row r="91" spans="1:10" x14ac:dyDescent="0.25">
      <c r="A91" s="450" t="s">
        <v>856</v>
      </c>
      <c r="B91" s="450" t="s">
        <v>865</v>
      </c>
      <c r="C91" s="450">
        <v>500</v>
      </c>
      <c r="D91" s="450" t="s">
        <v>727</v>
      </c>
      <c r="E91" s="450"/>
      <c r="F91" s="450">
        <v>400</v>
      </c>
      <c r="G91" s="450">
        <v>200</v>
      </c>
    </row>
    <row r="92" spans="1:10" x14ac:dyDescent="0.25">
      <c r="A92" s="16" t="s">
        <v>866</v>
      </c>
      <c r="B92" t="s">
        <v>865</v>
      </c>
      <c r="C92" s="423">
        <v>5957.5</v>
      </c>
      <c r="D92" t="s">
        <v>867</v>
      </c>
      <c r="F92" s="423">
        <v>4766</v>
      </c>
      <c r="G92" s="423">
        <v>2383</v>
      </c>
      <c r="H92" t="s">
        <v>881</v>
      </c>
    </row>
    <row r="93" spans="1:10" x14ac:dyDescent="0.25">
      <c r="B93" s="455" t="s">
        <v>846</v>
      </c>
      <c r="C93" s="458">
        <v>5957.5</v>
      </c>
      <c r="D93" s="455" t="s">
        <v>868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875</v>
      </c>
      <c r="C95" s="423"/>
      <c r="E95" s="285">
        <v>7.0000000000000007E-2</v>
      </c>
      <c r="F95" s="285">
        <v>0.05</v>
      </c>
      <c r="G95" s="285">
        <v>0.05</v>
      </c>
      <c r="H95" t="s">
        <v>876</v>
      </c>
    </row>
    <row r="96" spans="1:10" x14ac:dyDescent="0.25">
      <c r="B96" s="455" t="s">
        <v>877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856</v>
      </c>
      <c r="B99" s="450" t="s">
        <v>869</v>
      </c>
      <c r="C99" s="450">
        <v>75000</v>
      </c>
      <c r="D99" s="450" t="s">
        <v>870</v>
      </c>
      <c r="F99" s="450">
        <v>95000</v>
      </c>
      <c r="G99" s="450">
        <v>125000</v>
      </c>
      <c r="H99" t="s">
        <v>882</v>
      </c>
    </row>
    <row r="100" spans="1:15" x14ac:dyDescent="0.25">
      <c r="E100">
        <v>90000</v>
      </c>
      <c r="F100">
        <v>100000</v>
      </c>
      <c r="G100">
        <v>150000</v>
      </c>
      <c r="H100" t="s">
        <v>728</v>
      </c>
    </row>
    <row r="101" spans="1:15" x14ac:dyDescent="0.25">
      <c r="B101" s="455" t="s">
        <v>871</v>
      </c>
      <c r="C101" s="455">
        <v>10</v>
      </c>
      <c r="D101" s="455" t="s">
        <v>697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883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884</v>
      </c>
      <c r="B107" t="s">
        <v>885</v>
      </c>
      <c r="C107" s="320">
        <v>6.12</v>
      </c>
      <c r="D107" t="s">
        <v>139</v>
      </c>
      <c r="F107" s="449"/>
      <c r="G107" s="449"/>
    </row>
    <row r="108" spans="1:15" x14ac:dyDescent="0.25">
      <c r="B108" t="s">
        <v>886</v>
      </c>
      <c r="C108">
        <v>1.504</v>
      </c>
      <c r="D108" t="s">
        <v>887</v>
      </c>
      <c r="F108" s="449"/>
      <c r="G108" s="449"/>
    </row>
    <row r="109" spans="1:15" x14ac:dyDescent="0.25">
      <c r="B109" t="s">
        <v>888</v>
      </c>
      <c r="C109" s="319">
        <v>1</v>
      </c>
      <c r="D109" t="s">
        <v>834</v>
      </c>
      <c r="F109" s="449"/>
      <c r="G109" s="449"/>
    </row>
    <row r="110" spans="1:15" x14ac:dyDescent="0.25">
      <c r="B110" s="16" t="s">
        <v>841</v>
      </c>
      <c r="C110" s="16">
        <v>0.74400000000000022</v>
      </c>
      <c r="D110" s="16" t="s">
        <v>889</v>
      </c>
      <c r="E110" s="16" t="s">
        <v>890</v>
      </c>
      <c r="F110" s="461"/>
      <c r="G110" s="461"/>
      <c r="H110" s="16" t="s">
        <v>891</v>
      </c>
    </row>
    <row r="111" spans="1:15" x14ac:dyDescent="0.25">
      <c r="B111" t="s">
        <v>841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841</v>
      </c>
      <c r="C112" s="320">
        <v>6.12</v>
      </c>
      <c r="D112" t="s">
        <v>859</v>
      </c>
    </row>
    <row r="113" spans="1:4" x14ac:dyDescent="0.25">
      <c r="B113" t="s">
        <v>841</v>
      </c>
      <c r="C113" s="319">
        <v>1</v>
      </c>
      <c r="D113" t="s">
        <v>772</v>
      </c>
    </row>
    <row r="115" spans="1:4" x14ac:dyDescent="0.25">
      <c r="A115" t="s">
        <v>863</v>
      </c>
      <c r="B115" t="s">
        <v>892</v>
      </c>
      <c r="C115" s="285">
        <v>0.9</v>
      </c>
      <c r="D115" t="s">
        <v>893</v>
      </c>
    </row>
    <row r="117" spans="1:4" x14ac:dyDescent="0.25">
      <c r="A117" s="445" t="s">
        <v>843</v>
      </c>
      <c r="B117" s="445" t="s">
        <v>844</v>
      </c>
      <c r="C117" s="445">
        <v>230</v>
      </c>
      <c r="D117" s="445" t="s">
        <v>796</v>
      </c>
    </row>
    <row r="118" spans="1:4" x14ac:dyDescent="0.25">
      <c r="C118">
        <v>264.5</v>
      </c>
      <c r="D118" t="s">
        <v>606</v>
      </c>
    </row>
    <row r="119" spans="1:4" x14ac:dyDescent="0.25">
      <c r="C119" s="418">
        <v>3151.5174999999999</v>
      </c>
      <c r="D119" t="s">
        <v>894</v>
      </c>
    </row>
    <row r="120" spans="1:4" x14ac:dyDescent="0.25">
      <c r="B120" t="s">
        <v>846</v>
      </c>
      <c r="C120" s="287">
        <v>3151.5174999999999</v>
      </c>
      <c r="D120" t="s">
        <v>847</v>
      </c>
    </row>
    <row r="121" spans="1:4" x14ac:dyDescent="0.25">
      <c r="C121" s="287"/>
    </row>
    <row r="122" spans="1:4" x14ac:dyDescent="0.25">
      <c r="B122" t="s">
        <v>895</v>
      </c>
      <c r="C122" s="287"/>
    </row>
    <row r="123" spans="1:4" x14ac:dyDescent="0.25">
      <c r="A123" t="s">
        <v>219</v>
      </c>
      <c r="B123" t="s">
        <v>645</v>
      </c>
      <c r="C123" s="423">
        <v>725.14525500322793</v>
      </c>
      <c r="D123" t="s">
        <v>848</v>
      </c>
    </row>
    <row r="124" spans="1:4" x14ac:dyDescent="0.25">
      <c r="B124" t="s">
        <v>849</v>
      </c>
      <c r="C124" s="423">
        <v>618.86236976156738</v>
      </c>
      <c r="D124" t="s">
        <v>850</v>
      </c>
    </row>
    <row r="127" spans="1:4" x14ac:dyDescent="0.25">
      <c r="C127" s="320"/>
    </row>
    <row r="129" spans="1:9" x14ac:dyDescent="0.25">
      <c r="A129" t="s">
        <v>896</v>
      </c>
    </row>
    <row r="131" spans="1:9" x14ac:dyDescent="0.25">
      <c r="A131" t="s">
        <v>897</v>
      </c>
      <c r="C131" s="418">
        <v>318.83499999999998</v>
      </c>
      <c r="D131" t="s">
        <v>898</v>
      </c>
    </row>
    <row r="132" spans="1:9" x14ac:dyDescent="0.25">
      <c r="C132">
        <v>4162.2431015000002</v>
      </c>
      <c r="D132" t="s">
        <v>894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22" zoomScale="85" zoomScaleNormal="85" workbookViewId="0">
      <selection activeCell="G152" sqref="G152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45.7109375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413</v>
      </c>
    </row>
    <row r="3" spans="2:24" x14ac:dyDescent="0.25">
      <c r="B3" t="s">
        <v>376</v>
      </c>
      <c r="P3" t="s">
        <v>414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409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410</v>
      </c>
      <c r="R5" t="s">
        <v>14</v>
      </c>
      <c r="S5" t="s">
        <v>12</v>
      </c>
      <c r="T5" t="s">
        <v>411</v>
      </c>
      <c r="U5" t="s">
        <v>150</v>
      </c>
      <c r="V5" t="s">
        <v>412</v>
      </c>
      <c r="W5" t="s">
        <v>319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135</v>
      </c>
      <c r="I6" s="24" t="s">
        <v>10</v>
      </c>
      <c r="L6" s="5"/>
      <c r="P6" s="4" t="s">
        <v>415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136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416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129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410</v>
      </c>
      <c r="R10" t="s">
        <v>14</v>
      </c>
      <c r="S10" t="s">
        <v>12</v>
      </c>
      <c r="T10" t="s">
        <v>411</v>
      </c>
      <c r="U10" t="s">
        <v>150</v>
      </c>
      <c r="V10" t="s">
        <v>412</v>
      </c>
      <c r="W10" t="s">
        <v>319</v>
      </c>
      <c r="X10" s="5" t="s">
        <v>3</v>
      </c>
    </row>
    <row r="11" spans="2:24" ht="15.75" x14ac:dyDescent="0.25">
      <c r="B11" s="328"/>
      <c r="C11" s="26" t="s">
        <v>137</v>
      </c>
      <c r="D11" s="52"/>
      <c r="E11" s="52"/>
      <c r="F11" s="52"/>
      <c r="G11" s="52"/>
      <c r="H11" s="52">
        <v>0</v>
      </c>
      <c r="I11" s="52"/>
      <c r="L11" s="5"/>
      <c r="P11" s="4" t="s">
        <v>415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417</v>
      </c>
      <c r="X14" s="5"/>
    </row>
    <row r="15" spans="2:24" x14ac:dyDescent="0.25">
      <c r="B15" s="4"/>
      <c r="L15" s="5"/>
      <c r="P15" s="4"/>
      <c r="Q15" t="s">
        <v>410</v>
      </c>
      <c r="R15" t="s">
        <v>14</v>
      </c>
      <c r="S15" t="s">
        <v>12</v>
      </c>
      <c r="T15" t="s">
        <v>411</v>
      </c>
      <c r="U15" t="s">
        <v>150</v>
      </c>
      <c r="V15" t="s">
        <v>412</v>
      </c>
      <c r="W15" t="s">
        <v>319</v>
      </c>
      <c r="X15" s="5" t="s">
        <v>3</v>
      </c>
    </row>
    <row r="16" spans="2:24" x14ac:dyDescent="0.25">
      <c r="B16" s="4"/>
      <c r="L16" s="5"/>
      <c r="P16" s="4" t="s">
        <v>415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94</v>
      </c>
      <c r="X18" s="5"/>
    </row>
    <row r="19" spans="2:28" ht="15.75" x14ac:dyDescent="0.25">
      <c r="B19" s="330" t="s">
        <v>114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410</v>
      </c>
      <c r="R19" t="s">
        <v>14</v>
      </c>
      <c r="S19" t="s">
        <v>12</v>
      </c>
      <c r="T19" t="s">
        <v>411</v>
      </c>
      <c r="U19" t="s">
        <v>150</v>
      </c>
      <c r="V19" t="s">
        <v>412</v>
      </c>
      <c r="W19" t="s">
        <v>319</v>
      </c>
      <c r="X19" s="5" t="s">
        <v>3</v>
      </c>
    </row>
    <row r="20" spans="2:28" ht="15.75" x14ac:dyDescent="0.25">
      <c r="B20" s="331" t="s">
        <v>121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415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418</v>
      </c>
      <c r="X23" s="5"/>
    </row>
    <row r="24" spans="2:28" ht="15.75" x14ac:dyDescent="0.25">
      <c r="B24" s="332" t="s">
        <v>129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145</v>
      </c>
      <c r="X24" s="5"/>
      <c r="Z24" t="s">
        <v>495</v>
      </c>
    </row>
    <row r="25" spans="2:28" ht="15.75" x14ac:dyDescent="0.25">
      <c r="B25" s="332" t="s">
        <v>130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410</v>
      </c>
      <c r="R25" s="135" t="s">
        <v>14</v>
      </c>
      <c r="S25" s="135" t="s">
        <v>12</v>
      </c>
      <c r="T25" s="135" t="s">
        <v>411</v>
      </c>
      <c r="U25" s="135" t="s">
        <v>150</v>
      </c>
      <c r="V25" s="135" t="s">
        <v>412</v>
      </c>
      <c r="W25" s="135" t="s">
        <v>319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172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419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94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169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184</v>
      </c>
      <c r="L33" s="5"/>
      <c r="Q33" s="18">
        <v>2012</v>
      </c>
      <c r="Z33" t="s">
        <v>499</v>
      </c>
      <c r="AA33" t="s">
        <v>501</v>
      </c>
    </row>
    <row r="34" spans="2:27" x14ac:dyDescent="0.25">
      <c r="B34" s="4" t="s">
        <v>145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135</v>
      </c>
      <c r="I35" s="365" t="s">
        <v>10</v>
      </c>
      <c r="L35" s="5"/>
      <c r="P35" s="117" t="s">
        <v>172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500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419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94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129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130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410</v>
      </c>
      <c r="D43" s="135" t="s">
        <v>14</v>
      </c>
      <c r="E43" s="135" t="s">
        <v>12</v>
      </c>
      <c r="F43" s="135" t="s">
        <v>411</v>
      </c>
      <c r="G43" s="135" t="s">
        <v>150</v>
      </c>
      <c r="H43" s="135" t="s">
        <v>412</v>
      </c>
      <c r="I43" s="135" t="s">
        <v>319</v>
      </c>
      <c r="L43" s="5"/>
      <c r="P43" s="117" t="s">
        <v>172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419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172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94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419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94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498</v>
      </c>
      <c r="R49" s="367">
        <v>17312</v>
      </c>
      <c r="S49" t="s">
        <v>320</v>
      </c>
    </row>
    <row r="50" spans="2:24" x14ac:dyDescent="0.25">
      <c r="P50" t="s">
        <v>364</v>
      </c>
      <c r="R50" s="368">
        <f>R46*1000</f>
        <v>48384.404638233034</v>
      </c>
    </row>
    <row r="51" spans="2:24" x14ac:dyDescent="0.25">
      <c r="B51" t="s">
        <v>441</v>
      </c>
    </row>
    <row r="52" spans="2:24" x14ac:dyDescent="0.25">
      <c r="B52" s="14"/>
      <c r="C52" s="15" t="s">
        <v>443</v>
      </c>
      <c r="D52" s="15"/>
      <c r="E52" s="15" t="s">
        <v>494</v>
      </c>
      <c r="F52" s="15"/>
      <c r="G52" s="3"/>
      <c r="P52" t="s">
        <v>13</v>
      </c>
      <c r="Q52" t="s">
        <v>505</v>
      </c>
      <c r="R52">
        <f>'INPUT Coke'!K17</f>
        <v>2.91</v>
      </c>
      <c r="S52" t="s">
        <v>186</v>
      </c>
    </row>
    <row r="53" spans="2:24" x14ac:dyDescent="0.25">
      <c r="B53" s="4" t="s">
        <v>442</v>
      </c>
      <c r="C53">
        <v>0.753</v>
      </c>
      <c r="E53">
        <f>C53*1000000*3600/1000000000</f>
        <v>2.7107999999999999</v>
      </c>
      <c r="G53" s="5"/>
      <c r="Q53" t="s">
        <v>364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506</v>
      </c>
      <c r="R54">
        <v>2.75</v>
      </c>
    </row>
    <row r="56" spans="2:24" x14ac:dyDescent="0.25">
      <c r="B56" t="s">
        <v>477</v>
      </c>
      <c r="Q56" s="320">
        <f>'AMSA - Saldanha'!B81</f>
        <v>242.57861307692306</v>
      </c>
      <c r="R56" t="s">
        <v>537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474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522</v>
      </c>
    </row>
    <row r="60" spans="2:24" x14ac:dyDescent="0.25">
      <c r="B60" s="4" t="s">
        <v>462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507</v>
      </c>
    </row>
    <row r="61" spans="2:24" x14ac:dyDescent="0.25">
      <c r="B61" s="4" t="s">
        <v>463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410</v>
      </c>
      <c r="R61" s="135" t="s">
        <v>14</v>
      </c>
      <c r="S61" s="135" t="s">
        <v>12</v>
      </c>
      <c r="T61" s="135" t="s">
        <v>411</v>
      </c>
      <c r="U61" s="135" t="s">
        <v>150</v>
      </c>
      <c r="V61" s="135" t="s">
        <v>412</v>
      </c>
      <c r="W61" s="135" t="s">
        <v>319</v>
      </c>
    </row>
    <row r="62" spans="2:24" x14ac:dyDescent="0.25">
      <c r="B62" s="4" t="s">
        <v>464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172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419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496</v>
      </c>
      <c r="E65" t="s">
        <v>478</v>
      </c>
      <c r="G65" s="5"/>
      <c r="I65" t="s">
        <v>479</v>
      </c>
      <c r="P65" s="117" t="s">
        <v>94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462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463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464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523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43</v>
      </c>
      <c r="S70" s="24"/>
      <c r="T70" s="24" t="s">
        <v>8</v>
      </c>
      <c r="U70" s="24" t="s">
        <v>45</v>
      </c>
      <c r="V70" s="24" t="s">
        <v>10</v>
      </c>
      <c r="Y70" s="5"/>
    </row>
    <row r="71" spans="2:25" ht="15.75" x14ac:dyDescent="0.25">
      <c r="P71" s="332" t="s">
        <v>86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89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93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172</v>
      </c>
      <c r="E74" s="268">
        <f>AA27</f>
        <v>0.75891891891891894</v>
      </c>
      <c r="G74">
        <f>1-G73</f>
        <v>0.20013684570646606</v>
      </c>
      <c r="P74" s="332" t="s">
        <v>109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419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94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519</v>
      </c>
    </row>
    <row r="79" spans="2:25" x14ac:dyDescent="0.25">
      <c r="E79" t="s">
        <v>507</v>
      </c>
    </row>
    <row r="80" spans="2:25" x14ac:dyDescent="0.25">
      <c r="E80" s="135" t="s">
        <v>410</v>
      </c>
      <c r="F80" s="135" t="s">
        <v>14</v>
      </c>
      <c r="G80" s="135" t="s">
        <v>12</v>
      </c>
      <c r="H80" s="135" t="s">
        <v>411</v>
      </c>
      <c r="I80" s="135" t="s">
        <v>150</v>
      </c>
      <c r="J80" s="135" t="s">
        <v>412</v>
      </c>
      <c r="K80" s="135" t="s">
        <v>319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172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419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94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520</v>
      </c>
    </row>
    <row r="88" spans="2:23" x14ac:dyDescent="0.25">
      <c r="E88" t="s">
        <v>507</v>
      </c>
    </row>
    <row r="89" spans="2:23" x14ac:dyDescent="0.25">
      <c r="E89" s="135" t="s">
        <v>410</v>
      </c>
      <c r="F89" s="135" t="s">
        <v>14</v>
      </c>
      <c r="G89" s="135" t="s">
        <v>12</v>
      </c>
      <c r="H89" s="135" t="s">
        <v>411</v>
      </c>
      <c r="I89" s="135" t="s">
        <v>150</v>
      </c>
      <c r="J89" s="135" t="s">
        <v>412</v>
      </c>
      <c r="K89" s="135" t="s">
        <v>319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172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419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94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508</v>
      </c>
      <c r="R94" s="340" t="s">
        <v>513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528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509</v>
      </c>
      <c r="S96" s="16" t="s">
        <v>364</v>
      </c>
      <c r="T96" s="16" t="s">
        <v>497</v>
      </c>
      <c r="U96" t="s">
        <v>3</v>
      </c>
      <c r="W96" s="5"/>
    </row>
    <row r="97" spans="2:23" ht="15.75" x14ac:dyDescent="0.25">
      <c r="B97" s="377"/>
      <c r="E97" t="s">
        <v>507</v>
      </c>
      <c r="M97" s="378"/>
      <c r="P97" s="4" t="s">
        <v>14</v>
      </c>
      <c r="Q97" t="s">
        <v>320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410</v>
      </c>
      <c r="F98" s="135" t="s">
        <v>14</v>
      </c>
      <c r="G98" s="135" t="s">
        <v>11</v>
      </c>
      <c r="H98" s="135" t="s">
        <v>411</v>
      </c>
      <c r="I98" s="135" t="s">
        <v>150</v>
      </c>
      <c r="J98" s="135" t="s">
        <v>412</v>
      </c>
      <c r="K98" s="135" t="s">
        <v>319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533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511</v>
      </c>
      <c r="S99" s="16"/>
      <c r="T99" s="16"/>
      <c r="U99" s="372"/>
      <c r="W99" s="5"/>
    </row>
    <row r="100" spans="2:23" x14ac:dyDescent="0.25">
      <c r="B100" s="377" t="s">
        <v>533</v>
      </c>
      <c r="D100" s="117" t="s">
        <v>172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186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365</v>
      </c>
      <c r="C101" s="285">
        <v>0.2</v>
      </c>
      <c r="D101" s="117" t="s">
        <v>419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536</v>
      </c>
      <c r="C102" s="285">
        <v>0.6</v>
      </c>
      <c r="D102" s="117" t="s">
        <v>94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512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521</v>
      </c>
      <c r="Q103" t="s">
        <v>186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517</v>
      </c>
      <c r="S104" s="16"/>
      <c r="T104" s="16"/>
      <c r="U104" s="18"/>
      <c r="W104" s="5"/>
    </row>
    <row r="105" spans="2:23" x14ac:dyDescent="0.25">
      <c r="P105" s="4" t="s">
        <v>514</v>
      </c>
      <c r="Q105" t="s">
        <v>186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510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410</v>
      </c>
      <c r="F107" s="135" t="s">
        <v>14</v>
      </c>
      <c r="G107" s="135" t="s">
        <v>12</v>
      </c>
      <c r="H107" s="135" t="s">
        <v>411</v>
      </c>
      <c r="I107" s="135" t="s">
        <v>150</v>
      </c>
      <c r="J107" s="135" t="s">
        <v>412</v>
      </c>
      <c r="K107" s="135" t="s">
        <v>319</v>
      </c>
      <c r="P107" s="4" t="s">
        <v>518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172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412</v>
      </c>
      <c r="Q109" s="8" t="s">
        <v>320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419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94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1105</v>
      </c>
    </row>
    <row r="112" spans="2:23" x14ac:dyDescent="0.25">
      <c r="R112" s="268">
        <f>SUM(E73:E74)</f>
        <v>3.7919999999999998</v>
      </c>
      <c r="S112" t="s">
        <v>1106</v>
      </c>
    </row>
    <row r="113" spans="1:22" x14ac:dyDescent="0.25">
      <c r="D113" t="s">
        <v>139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186</v>
      </c>
      <c r="P115" s="340" t="s">
        <v>529</v>
      </c>
    </row>
    <row r="116" spans="1:22" x14ac:dyDescent="0.25">
      <c r="P116" s="385">
        <v>3.26</v>
      </c>
      <c r="Q116" s="15" t="s">
        <v>392</v>
      </c>
      <c r="R116" s="386" t="s">
        <v>524</v>
      </c>
      <c r="S116" s="3"/>
    </row>
    <row r="117" spans="1:22" x14ac:dyDescent="0.25">
      <c r="P117" s="4">
        <f>P116*3.6</f>
        <v>11.735999999999999</v>
      </c>
      <c r="Q117" t="s">
        <v>139</v>
      </c>
      <c r="R117" t="s">
        <v>524</v>
      </c>
      <c r="S117" s="5"/>
    </row>
    <row r="118" spans="1:22" x14ac:dyDescent="0.25">
      <c r="P118" s="387">
        <v>0.28899999999999998</v>
      </c>
      <c r="Q118" s="340" t="s">
        <v>286</v>
      </c>
      <c r="R118" s="340" t="s">
        <v>525</v>
      </c>
      <c r="S118" s="5"/>
      <c r="U118" s="383">
        <f>P118/P116</f>
        <v>8.8650306748466259E-2</v>
      </c>
      <c r="V118" t="s">
        <v>534</v>
      </c>
    </row>
    <row r="119" spans="1:22" x14ac:dyDescent="0.25">
      <c r="P119" s="7">
        <f>P118*3.6</f>
        <v>1.0404</v>
      </c>
      <c r="Q119" s="8" t="s">
        <v>139</v>
      </c>
      <c r="R119" s="8" t="s">
        <v>525</v>
      </c>
      <c r="S119" s="9"/>
      <c r="U119">
        <f>U118/(SUM(E73:E74)/SUM(E73:E74,E76))</f>
        <v>0.11478718516217547</v>
      </c>
      <c r="V119" t="s">
        <v>535</v>
      </c>
    </row>
    <row r="121" spans="1:22" x14ac:dyDescent="0.25">
      <c r="P121">
        <f>P117+P119</f>
        <v>12.776399999999999</v>
      </c>
      <c r="R121" t="s">
        <v>530</v>
      </c>
    </row>
    <row r="122" spans="1:22" x14ac:dyDescent="0.25">
      <c r="P122">
        <f>P117</f>
        <v>11.735999999999999</v>
      </c>
      <c r="R122" t="s">
        <v>526</v>
      </c>
    </row>
    <row r="123" spans="1:22" x14ac:dyDescent="0.25">
      <c r="P123" s="287">
        <f>F110</f>
        <v>5.3967331177829116</v>
      </c>
      <c r="R123" t="s">
        <v>531</v>
      </c>
    </row>
    <row r="124" spans="1:22" x14ac:dyDescent="0.25">
      <c r="P124" s="268">
        <f>SUM(P122:P123)</f>
        <v>17.132733117782912</v>
      </c>
      <c r="R124" t="s">
        <v>527</v>
      </c>
    </row>
    <row r="125" spans="1:22" x14ac:dyDescent="0.25">
      <c r="P125" s="384">
        <f>R97/1000</f>
        <v>17.312000000000001</v>
      </c>
      <c r="R125" t="s">
        <v>532</v>
      </c>
    </row>
    <row r="128" spans="1:22" x14ac:dyDescent="0.25">
      <c r="A128" s="18" t="s">
        <v>1225</v>
      </c>
    </row>
    <row r="130" spans="1:21" x14ac:dyDescent="0.25">
      <c r="B130" s="568" t="s">
        <v>1141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1142</v>
      </c>
      <c r="C131" s="571" t="s">
        <v>1143</v>
      </c>
      <c r="D131" s="570" t="s">
        <v>1144</v>
      </c>
      <c r="E131" s="570" t="s">
        <v>1145</v>
      </c>
      <c r="F131" s="572" t="s">
        <v>619</v>
      </c>
      <c r="G131" s="572" t="s">
        <v>1146</v>
      </c>
      <c r="H131" s="572" t="s">
        <v>1147</v>
      </c>
      <c r="I131" s="572" t="s">
        <v>1148</v>
      </c>
      <c r="J131" s="572" t="s">
        <v>1149</v>
      </c>
    </row>
    <row r="132" spans="1:21" x14ac:dyDescent="0.25">
      <c r="B132" s="519" t="s">
        <v>1159</v>
      </c>
      <c r="C132" s="519" t="s">
        <v>951</v>
      </c>
      <c r="D132" t="s">
        <v>38</v>
      </c>
      <c r="E132" t="str">
        <f>"Industry - I&amp;S - "&amp;'INPUT Energy and Emissions'!M132</f>
        <v>Industry - I&amp;S - Electricity</v>
      </c>
      <c r="F132" s="519" t="s">
        <v>139</v>
      </c>
      <c r="G132" s="516"/>
      <c r="H132" s="519" t="s">
        <v>953</v>
      </c>
      <c r="I132" s="516"/>
      <c r="J132" s="519" t="s">
        <v>1160</v>
      </c>
      <c r="M132" t="s">
        <v>14</v>
      </c>
    </row>
    <row r="133" spans="1:21" x14ac:dyDescent="0.25">
      <c r="B133" s="519" t="s">
        <v>1159</v>
      </c>
      <c r="C133" s="519" t="s">
        <v>951</v>
      </c>
      <c r="D133" t="s">
        <v>39</v>
      </c>
      <c r="E133" t="str">
        <f>"Industry - I&amp;S - "&amp;'INPUT Energy and Emissions'!M133</f>
        <v>Industry - I&amp;S - Coke</v>
      </c>
      <c r="F133" s="519" t="s">
        <v>139</v>
      </c>
      <c r="G133" s="516"/>
      <c r="H133" s="519" t="s">
        <v>954</v>
      </c>
      <c r="I133" s="516"/>
      <c r="J133" s="516"/>
      <c r="M133" t="s">
        <v>11</v>
      </c>
    </row>
    <row r="134" spans="1:21" x14ac:dyDescent="0.25">
      <c r="B134" s="520" t="s">
        <v>1158</v>
      </c>
      <c r="C134" s="519" t="s">
        <v>951</v>
      </c>
      <c r="D134" s="99" t="s">
        <v>1269</v>
      </c>
      <c r="E134" t="str">
        <f>"Industry - I&amp;S - "&amp;'INPUT Energy and Emissions'!M134</f>
        <v>Industry - I&amp;S - Crude Steel</v>
      </c>
      <c r="F134" s="520" t="s">
        <v>139</v>
      </c>
      <c r="G134" s="516"/>
      <c r="H134" s="521" t="s">
        <v>954</v>
      </c>
      <c r="I134" s="516"/>
      <c r="J134" s="516"/>
      <c r="M134" t="s">
        <v>1270</v>
      </c>
    </row>
    <row r="135" spans="1:21" x14ac:dyDescent="0.25">
      <c r="B135" s="519" t="s">
        <v>1159</v>
      </c>
      <c r="C135" s="519" t="s">
        <v>951</v>
      </c>
      <c r="D135" s="99" t="s">
        <v>1092</v>
      </c>
      <c r="E135" t="str">
        <f>"Industry - I&amp;S - "&amp;'INPUT Energy and Emissions'!M135</f>
        <v>Industry - I&amp;S - BlastFurnace slag</v>
      </c>
      <c r="F135" s="520" t="s">
        <v>139</v>
      </c>
      <c r="G135" s="516"/>
      <c r="H135" s="521" t="s">
        <v>954</v>
      </c>
      <c r="I135" s="516"/>
      <c r="J135" s="516"/>
      <c r="M135" t="s">
        <v>1271</v>
      </c>
    </row>
    <row r="139" spans="1:21" ht="23.25" x14ac:dyDescent="0.35">
      <c r="A139" s="556" t="s">
        <v>1213</v>
      </c>
    </row>
    <row r="140" spans="1:21" x14ac:dyDescent="0.25">
      <c r="M140" s="16" t="s">
        <v>1234</v>
      </c>
    </row>
    <row r="141" spans="1:21" ht="21" x14ac:dyDescent="0.35">
      <c r="B141" s="424" t="s">
        <v>1164</v>
      </c>
      <c r="N141" t="s">
        <v>1197</v>
      </c>
      <c r="O141" t="s">
        <v>38</v>
      </c>
      <c r="P141" t="s">
        <v>39</v>
      </c>
      <c r="R141" t="s">
        <v>1078</v>
      </c>
      <c r="S141" t="s">
        <v>1076</v>
      </c>
    </row>
    <row r="142" spans="1:21" x14ac:dyDescent="0.25">
      <c r="C142" s="18" t="s">
        <v>1224</v>
      </c>
      <c r="J142" s="522"/>
      <c r="N142" s="135" t="s">
        <v>13</v>
      </c>
      <c r="O142" s="135" t="s">
        <v>14</v>
      </c>
      <c r="P142" s="135" t="s">
        <v>11</v>
      </c>
      <c r="Q142" s="135" t="s">
        <v>411</v>
      </c>
      <c r="R142" s="135" t="s">
        <v>150</v>
      </c>
      <c r="S142" s="135" t="s">
        <v>197</v>
      </c>
      <c r="T142" s="135" t="s">
        <v>319</v>
      </c>
      <c r="U142" s="18"/>
    </row>
    <row r="143" spans="1:21" x14ac:dyDescent="0.25">
      <c r="C143" s="18"/>
      <c r="J143" s="522"/>
      <c r="L143" s="287" t="s">
        <v>166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1136</v>
      </c>
      <c r="F144" s="565"/>
      <c r="G144" s="550"/>
      <c r="L144" s="287" t="s">
        <v>171</v>
      </c>
      <c r="M144" s="117" t="s">
        <v>172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1116</v>
      </c>
      <c r="F145" s="554" t="s">
        <v>1137</v>
      </c>
      <c r="G145" s="554" t="s">
        <v>1138</v>
      </c>
      <c r="L145" s="287" t="s">
        <v>177</v>
      </c>
      <c r="M145" s="117" t="s">
        <v>419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166</v>
      </c>
      <c r="F146" t="s">
        <v>1197</v>
      </c>
      <c r="G146" s="511"/>
      <c r="I146" s="287"/>
      <c r="J146" s="287"/>
      <c r="K146" s="287"/>
      <c r="L146" s="287" t="s">
        <v>168</v>
      </c>
      <c r="M146" s="117" t="s">
        <v>94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175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39</v>
      </c>
      <c r="G148" s="511"/>
      <c r="I148" s="287"/>
      <c r="J148" s="287"/>
      <c r="K148" s="287"/>
    </row>
    <row r="149" spans="3:21" x14ac:dyDescent="0.25">
      <c r="D149" s="508"/>
      <c r="F149" t="s">
        <v>1078</v>
      </c>
      <c r="G149" s="511"/>
      <c r="I149" s="287"/>
      <c r="J149" s="287"/>
      <c r="K149" s="287"/>
    </row>
    <row r="150" spans="3:21" x14ac:dyDescent="0.25">
      <c r="F150" t="s">
        <v>1076</v>
      </c>
      <c r="G150" s="511"/>
      <c r="I150" s="287"/>
      <c r="J150" s="287"/>
      <c r="K150" s="287"/>
      <c r="L150" s="287"/>
      <c r="M150" s="287"/>
      <c r="N150" t="s">
        <v>1232</v>
      </c>
      <c r="O150" s="287"/>
      <c r="P150" t="s">
        <v>1232</v>
      </c>
      <c r="R150" s="287"/>
      <c r="S150" s="287" t="s">
        <v>1230</v>
      </c>
      <c r="T150" t="s">
        <v>1233</v>
      </c>
    </row>
    <row r="151" spans="3:21" x14ac:dyDescent="0.25">
      <c r="F151" s="485" t="s">
        <v>950</v>
      </c>
      <c r="G151" s="511"/>
      <c r="I151" s="287"/>
      <c r="J151" s="287"/>
      <c r="K151" s="287"/>
      <c r="L151" s="573" t="s">
        <v>1136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1269</v>
      </c>
      <c r="I152" s="287"/>
      <c r="J152" s="287"/>
      <c r="K152" s="287"/>
      <c r="L152" s="573" t="s">
        <v>1165</v>
      </c>
      <c r="M152" s="573" t="s">
        <v>1116</v>
      </c>
      <c r="N152" s="574" t="s">
        <v>1197</v>
      </c>
      <c r="O152" s="574" t="s">
        <v>38</v>
      </c>
      <c r="P152" s="574" t="s">
        <v>39</v>
      </c>
      <c r="Q152" s="574" t="s">
        <v>1078</v>
      </c>
      <c r="R152" s="574" t="s">
        <v>1076</v>
      </c>
      <c r="S152" s="574" t="s">
        <v>950</v>
      </c>
      <c r="T152" s="574" t="s">
        <v>1092</v>
      </c>
    </row>
    <row r="153" spans="3:21" x14ac:dyDescent="0.25">
      <c r="F153" s="515"/>
      <c r="G153" s="99" t="s">
        <v>1092</v>
      </c>
      <c r="I153" s="287"/>
      <c r="J153" s="287"/>
      <c r="K153" s="287"/>
      <c r="L153" s="287" t="s">
        <v>841</v>
      </c>
      <c r="M153" s="287" t="s">
        <v>166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1126</v>
      </c>
      <c r="E154" t="s">
        <v>171</v>
      </c>
      <c r="F154" t="s">
        <v>1197</v>
      </c>
      <c r="G154" s="511"/>
      <c r="I154" s="287"/>
      <c r="J154" s="287"/>
      <c r="K154" s="287"/>
      <c r="L154" s="287" t="s">
        <v>841</v>
      </c>
      <c r="M154" s="287" t="s">
        <v>168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841</v>
      </c>
      <c r="M155" s="287" t="s">
        <v>171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1076</v>
      </c>
      <c r="G156" s="511"/>
      <c r="I156" s="287"/>
      <c r="J156" s="287"/>
      <c r="K156" s="287"/>
      <c r="L156" s="287" t="s">
        <v>841</v>
      </c>
      <c r="M156" s="287" t="s">
        <v>175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950</v>
      </c>
      <c r="G157" s="511"/>
      <c r="I157" s="287"/>
      <c r="J157" s="287"/>
      <c r="K157" s="287"/>
      <c r="L157" s="287" t="s">
        <v>841</v>
      </c>
      <c r="M157" s="287" t="s">
        <v>177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1269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1125</v>
      </c>
      <c r="D159" s="512"/>
      <c r="E159" t="s">
        <v>168</v>
      </c>
      <c r="F159" t="s">
        <v>1197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39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1078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1076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950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1269</v>
      </c>
      <c r="I165" s="287"/>
      <c r="J165" s="287"/>
      <c r="K165" s="287"/>
    </row>
    <row r="166" spans="3:19" x14ac:dyDescent="0.25">
      <c r="C166" t="s">
        <v>1124</v>
      </c>
      <c r="D166" s="512"/>
      <c r="E166" t="s">
        <v>175</v>
      </c>
      <c r="F166" t="s">
        <v>1197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1076</v>
      </c>
      <c r="I168" s="287"/>
      <c r="J168" s="287"/>
      <c r="K168" s="287"/>
    </row>
    <row r="169" spans="3:19" x14ac:dyDescent="0.25">
      <c r="F169" s="485" t="s">
        <v>950</v>
      </c>
      <c r="I169" s="287"/>
      <c r="J169" s="287"/>
      <c r="K169" s="287"/>
    </row>
    <row r="170" spans="3:19" x14ac:dyDescent="0.25">
      <c r="G170" s="99" t="s">
        <v>1269</v>
      </c>
      <c r="I170" s="287"/>
      <c r="J170" s="287"/>
      <c r="K170" s="287"/>
    </row>
    <row r="171" spans="3:19" x14ac:dyDescent="0.25">
      <c r="C171" t="s">
        <v>1123</v>
      </c>
      <c r="E171" t="s">
        <v>177</v>
      </c>
      <c r="F171" t="s">
        <v>38</v>
      </c>
      <c r="I171" s="287"/>
      <c r="J171" s="287"/>
      <c r="K171" s="287"/>
    </row>
    <row r="172" spans="3:19" x14ac:dyDescent="0.25">
      <c r="F172" t="s">
        <v>1078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1076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1269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1161</v>
      </c>
      <c r="I178" s="18"/>
      <c r="J178" s="18"/>
      <c r="K178" s="18"/>
      <c r="N178" t="s">
        <v>1232</v>
      </c>
      <c r="P178" t="s">
        <v>1232</v>
      </c>
      <c r="S178" t="s">
        <v>1230</v>
      </c>
      <c r="T178" t="s">
        <v>1232</v>
      </c>
      <c r="U178" t="s">
        <v>1233</v>
      </c>
    </row>
    <row r="179" spans="2:27" x14ac:dyDescent="0.25">
      <c r="E179" s="554" t="s">
        <v>1136</v>
      </c>
      <c r="F179" s="565"/>
      <c r="G179" s="550"/>
      <c r="I179" s="18"/>
      <c r="J179" s="18"/>
      <c r="K179" s="18"/>
      <c r="L179" s="573" t="s">
        <v>1136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1229</v>
      </c>
    </row>
    <row r="180" spans="2:27" x14ac:dyDescent="0.25">
      <c r="E180" s="554" t="s">
        <v>1116</v>
      </c>
      <c r="F180" s="554" t="s">
        <v>1137</v>
      </c>
      <c r="G180" s="554" t="s">
        <v>1138</v>
      </c>
      <c r="I180" s="18"/>
      <c r="J180" s="18"/>
      <c r="K180" s="18"/>
      <c r="L180" s="573" t="s">
        <v>1165</v>
      </c>
      <c r="M180" s="573" t="s">
        <v>1116</v>
      </c>
      <c r="N180" s="574" t="s">
        <v>1197</v>
      </c>
      <c r="O180" s="574" t="s">
        <v>38</v>
      </c>
      <c r="P180" s="574" t="s">
        <v>39</v>
      </c>
      <c r="Q180" s="574" t="s">
        <v>1078</v>
      </c>
      <c r="R180" s="574" t="s">
        <v>1076</v>
      </c>
      <c r="S180" s="574" t="s">
        <v>950</v>
      </c>
      <c r="T180" s="548" t="s">
        <v>1231</v>
      </c>
      <c r="U180" s="574" t="s">
        <v>1092</v>
      </c>
    </row>
    <row r="181" spans="2:27" x14ac:dyDescent="0.25">
      <c r="E181" t="s">
        <v>490</v>
      </c>
      <c r="F181" t="s">
        <v>1197</v>
      </c>
      <c r="G181" s="511"/>
      <c r="I181" s="18"/>
      <c r="J181" s="18"/>
      <c r="K181" s="18"/>
      <c r="L181" s="287" t="s">
        <v>841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1226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841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39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1078</v>
      </c>
      <c r="G184" s="511"/>
      <c r="I184" s="18"/>
      <c r="J184" s="18"/>
      <c r="K184" s="18"/>
      <c r="N184" s="508"/>
      <c r="X184" t="s">
        <v>1227</v>
      </c>
      <c r="Y184">
        <v>0.61</v>
      </c>
      <c r="AA184">
        <f>Y184*$Y$182</f>
        <v>14.291323999999999</v>
      </c>
    </row>
    <row r="185" spans="2:27" x14ac:dyDescent="0.25">
      <c r="F185" t="s">
        <v>1076</v>
      </c>
      <c r="G185" s="511"/>
      <c r="I185" s="18"/>
      <c r="J185" s="18"/>
      <c r="K185" s="18"/>
      <c r="N185" s="512"/>
      <c r="X185" t="s">
        <v>1228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1269</v>
      </c>
      <c r="I187" s="18"/>
      <c r="J187" s="18"/>
      <c r="K187" s="18"/>
      <c r="N187" s="508"/>
    </row>
    <row r="188" spans="2:27" x14ac:dyDescent="0.25">
      <c r="F188" s="515"/>
      <c r="G188" s="99" t="s">
        <v>1092</v>
      </c>
      <c r="I188" s="18"/>
      <c r="J188" s="18"/>
      <c r="K188" s="18"/>
    </row>
    <row r="189" spans="2:27" x14ac:dyDescent="0.25">
      <c r="E189" t="s">
        <v>492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1231</v>
      </c>
      <c r="G190" s="511"/>
      <c r="I190" s="18"/>
      <c r="J190" s="18"/>
      <c r="K190" s="18"/>
      <c r="N190" s="508"/>
    </row>
    <row r="191" spans="2:27" x14ac:dyDescent="0.25">
      <c r="F191" t="s">
        <v>1078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1269</v>
      </c>
      <c r="I193" s="18"/>
      <c r="J193" s="18"/>
      <c r="K193" s="18"/>
    </row>
    <row r="194" spans="1:26" x14ac:dyDescent="0.25">
      <c r="E194" s="99" t="s">
        <v>493</v>
      </c>
      <c r="F194" t="s">
        <v>38</v>
      </c>
      <c r="I194" s="18"/>
      <c r="J194" s="18"/>
      <c r="K194" s="18"/>
    </row>
    <row r="195" spans="1:26" x14ac:dyDescent="0.25">
      <c r="F195" t="s">
        <v>1078</v>
      </c>
      <c r="I195" s="18"/>
      <c r="J195" s="18"/>
      <c r="K195" s="18"/>
    </row>
    <row r="196" spans="1:26" x14ac:dyDescent="0.25">
      <c r="F196" t="s">
        <v>1076</v>
      </c>
      <c r="I196" s="18"/>
      <c r="J196" s="18"/>
      <c r="K196" s="18"/>
    </row>
    <row r="197" spans="1:26" x14ac:dyDescent="0.25">
      <c r="G197" s="99" t="s">
        <v>1269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351</v>
      </c>
    </row>
    <row r="206" spans="1:26" x14ac:dyDescent="0.25">
      <c r="K206" s="14"/>
      <c r="L206" s="305" t="s">
        <v>1264</v>
      </c>
      <c r="M206" s="15"/>
      <c r="N206" s="15"/>
      <c r="O206" s="15"/>
      <c r="P206" s="15"/>
      <c r="Q206" s="15"/>
      <c r="R206" s="15"/>
      <c r="S206" s="3"/>
      <c r="U206" s="14" t="s">
        <v>592</v>
      </c>
      <c r="V206" s="15"/>
      <c r="W206" s="15"/>
      <c r="X206" s="15"/>
      <c r="Y206" s="15"/>
      <c r="Z206" s="3"/>
    </row>
    <row r="207" spans="1:26" x14ac:dyDescent="0.25">
      <c r="B207" s="18" t="s">
        <v>489</v>
      </c>
      <c r="K207" s="4"/>
      <c r="L207" t="s">
        <v>1265</v>
      </c>
      <c r="S207" s="5"/>
      <c r="U207" s="333" t="s">
        <v>363</v>
      </c>
      <c r="V207" s="15"/>
      <c r="W207" s="15"/>
      <c r="X207" s="3"/>
      <c r="Z207" s="5"/>
    </row>
    <row r="208" spans="1:26" x14ac:dyDescent="0.25">
      <c r="D208" t="s">
        <v>487</v>
      </c>
      <c r="K208" s="4"/>
      <c r="L208">
        <v>1.46</v>
      </c>
      <c r="M208" t="s">
        <v>1256</v>
      </c>
      <c r="S208" s="5"/>
      <c r="U208" s="4"/>
      <c r="V208" t="s">
        <v>352</v>
      </c>
      <c r="X208" s="5"/>
      <c r="Z208" s="5"/>
    </row>
    <row r="209" spans="2:26" x14ac:dyDescent="0.25">
      <c r="B209" t="s">
        <v>7</v>
      </c>
      <c r="C209" t="s">
        <v>166</v>
      </c>
      <c r="D209">
        <f>L208</f>
        <v>1.46</v>
      </c>
      <c r="K209" s="4"/>
      <c r="L209">
        <v>0.08</v>
      </c>
      <c r="M209" t="s">
        <v>1257</v>
      </c>
      <c r="S209" s="5"/>
      <c r="U209" s="4" t="s">
        <v>24</v>
      </c>
      <c r="V209" s="1">
        <v>7251928</v>
      </c>
      <c r="W209" t="s">
        <v>591</v>
      </c>
      <c r="X209" s="5" t="s">
        <v>593</v>
      </c>
      <c r="Z209" s="5"/>
    </row>
    <row r="210" spans="2:26" x14ac:dyDescent="0.25">
      <c r="B210" t="s">
        <v>169</v>
      </c>
      <c r="C210" t="s">
        <v>168</v>
      </c>
      <c r="D210" s="268">
        <f>L224+L223</f>
        <v>1.7495714285714286</v>
      </c>
      <c r="F210" t="s">
        <v>1267</v>
      </c>
      <c r="K210" s="4"/>
      <c r="M210" t="s">
        <v>1258</v>
      </c>
      <c r="S210" s="5"/>
      <c r="U210" s="4" t="s">
        <v>1</v>
      </c>
      <c r="V210" s="1">
        <v>0</v>
      </c>
      <c r="W210" t="s">
        <v>591</v>
      </c>
      <c r="X210" s="5" t="s">
        <v>593</v>
      </c>
      <c r="Z210" s="5"/>
    </row>
    <row r="211" spans="2:26" x14ac:dyDescent="0.25">
      <c r="B211" t="s">
        <v>9</v>
      </c>
      <c r="C211" t="s">
        <v>171</v>
      </c>
      <c r="D211" s="268">
        <f>L209+L212</f>
        <v>0.77999999999999992</v>
      </c>
      <c r="F211" t="s">
        <v>1268</v>
      </c>
      <c r="K211" s="4"/>
      <c r="L211">
        <v>1.35</v>
      </c>
      <c r="M211" t="s">
        <v>1259</v>
      </c>
      <c r="S211" s="5"/>
      <c r="U211" s="4" t="s">
        <v>356</v>
      </c>
      <c r="V211" s="1">
        <v>812005</v>
      </c>
      <c r="W211" t="s">
        <v>591</v>
      </c>
      <c r="X211" s="5" t="s">
        <v>593</v>
      </c>
      <c r="Z211" s="5"/>
    </row>
    <row r="212" spans="2:26" x14ac:dyDescent="0.25">
      <c r="B212" t="s">
        <v>10</v>
      </c>
      <c r="C212" t="s">
        <v>175</v>
      </c>
      <c r="D212">
        <f>L208+L209</f>
        <v>1.54</v>
      </c>
      <c r="K212" s="4"/>
      <c r="L212">
        <v>0.7</v>
      </c>
      <c r="M212" t="s">
        <v>1260</v>
      </c>
      <c r="S212" s="5"/>
      <c r="U212" s="4" t="s">
        <v>20</v>
      </c>
      <c r="V212" s="1">
        <v>586261</v>
      </c>
      <c r="W212" t="s">
        <v>591</v>
      </c>
      <c r="X212" s="5" t="s">
        <v>593</v>
      </c>
      <c r="Z212" s="5"/>
    </row>
    <row r="213" spans="2:26" x14ac:dyDescent="0.25">
      <c r="B213" t="s">
        <v>8</v>
      </c>
      <c r="C213" t="s">
        <v>177</v>
      </c>
      <c r="D213">
        <f>L209</f>
        <v>0.08</v>
      </c>
      <c r="K213" s="4"/>
      <c r="L213">
        <v>0.2</v>
      </c>
      <c r="M213" t="s">
        <v>1261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1262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1223</v>
      </c>
      <c r="K215" s="4"/>
      <c r="L215">
        <v>1.06</v>
      </c>
      <c r="M215" t="s">
        <v>1263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4" t="s">
        <v>1136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4" t="s">
        <v>1116</v>
      </c>
      <c r="C218" s="564" t="str">
        <f>"ENV_ACT~"&amp;E218</f>
        <v>ENV_ACT~CO2SP</v>
      </c>
      <c r="E218" t="s">
        <v>1077</v>
      </c>
      <c r="U218" s="4"/>
      <c r="V218" t="s">
        <v>362</v>
      </c>
      <c r="Z218" s="5"/>
    </row>
    <row r="219" spans="2:26" x14ac:dyDescent="0.25">
      <c r="B219" t="s">
        <v>166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490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168</v>
      </c>
      <c r="C221" s="418">
        <f>D210*1000</f>
        <v>1749.5714285714284</v>
      </c>
      <c r="L221" s="18" t="s">
        <v>1266</v>
      </c>
      <c r="U221" s="4" t="s">
        <v>8</v>
      </c>
      <c r="V221">
        <v>0.08</v>
      </c>
      <c r="Z221" s="5"/>
    </row>
    <row r="222" spans="2:26" x14ac:dyDescent="0.25">
      <c r="B222" t="s">
        <v>171</v>
      </c>
      <c r="C222" s="418">
        <f>D211*1000</f>
        <v>779.99999999999989</v>
      </c>
      <c r="L222" t="s">
        <v>487</v>
      </c>
      <c r="U222" s="4" t="s">
        <v>169</v>
      </c>
      <c r="V222">
        <v>2.1267142857142858</v>
      </c>
      <c r="Z222" s="5"/>
    </row>
    <row r="223" spans="2:26" x14ac:dyDescent="0.25">
      <c r="B223" t="s">
        <v>491</v>
      </c>
      <c r="C223" s="418">
        <f>C222</f>
        <v>779.99999999999989</v>
      </c>
      <c r="L223">
        <f>L208*0.5+L209*0.5</f>
        <v>0.77</v>
      </c>
      <c r="M223" t="s">
        <v>361</v>
      </c>
      <c r="U223" s="4" t="s">
        <v>10</v>
      </c>
      <c r="V223">
        <v>1.54</v>
      </c>
      <c r="W223" t="s">
        <v>486</v>
      </c>
      <c r="Z223" s="5"/>
    </row>
    <row r="224" spans="2:26" x14ac:dyDescent="0.25">
      <c r="B224" t="s">
        <v>492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360</v>
      </c>
      <c r="U224" s="4"/>
      <c r="Z224" s="5"/>
    </row>
    <row r="225" spans="2:26" x14ac:dyDescent="0.25">
      <c r="B225" t="s">
        <v>175</v>
      </c>
      <c r="C225">
        <f>D212*1000</f>
        <v>1540</v>
      </c>
      <c r="L225">
        <f>SUM(L223:L224)</f>
        <v>1.7495714285714286</v>
      </c>
      <c r="M225" t="s">
        <v>460</v>
      </c>
      <c r="U225" s="7"/>
      <c r="V225" s="8"/>
      <c r="W225" s="8"/>
      <c r="X225" s="8"/>
      <c r="Y225" s="8"/>
      <c r="Z225" s="9"/>
    </row>
    <row r="226" spans="2:26" x14ac:dyDescent="0.25">
      <c r="B226" t="s">
        <v>177</v>
      </c>
      <c r="C226">
        <f>D213*1000</f>
        <v>80</v>
      </c>
      <c r="L226" t="s">
        <v>365</v>
      </c>
    </row>
    <row r="227" spans="2:26" x14ac:dyDescent="0.25">
      <c r="B227" t="s">
        <v>493</v>
      </c>
      <c r="C227">
        <f>C226</f>
        <v>80</v>
      </c>
      <c r="L227" s="285">
        <v>0.1</v>
      </c>
      <c r="M227" t="s">
        <v>488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9"/>
  <sheetViews>
    <sheetView topLeftCell="A289" zoomScale="70" zoomScaleNormal="70" workbookViewId="0">
      <selection activeCell="O304" sqref="O304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156</v>
      </c>
      <c r="D5" s="94" t="s">
        <v>346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181</v>
      </c>
      <c r="I7" s="13"/>
      <c r="J7" s="13"/>
      <c r="K7" s="13"/>
      <c r="L7" s="13"/>
      <c r="M7" s="255" t="s">
        <v>182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158</v>
      </c>
      <c r="C8" s="105" t="s">
        <v>159</v>
      </c>
      <c r="D8" s="105" t="s">
        <v>160</v>
      </c>
      <c r="E8" s="105" t="s">
        <v>161</v>
      </c>
      <c r="F8" s="105" t="s">
        <v>188</v>
      </c>
      <c r="I8" s="13"/>
      <c r="M8" s="256" t="s">
        <v>162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163</v>
      </c>
      <c r="C9" s="106"/>
      <c r="D9" s="106"/>
      <c r="E9" s="106"/>
      <c r="G9" s="590" t="s">
        <v>557</v>
      </c>
      <c r="H9" s="590"/>
      <c r="I9" s="590"/>
      <c r="J9" s="59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164</v>
      </c>
      <c r="C10" s="100" t="s">
        <v>165</v>
      </c>
      <c r="D10" s="100" t="s">
        <v>16</v>
      </c>
      <c r="E10" s="100" t="s">
        <v>24</v>
      </c>
      <c r="F10" t="s">
        <v>7</v>
      </c>
      <c r="G10" s="342" t="s">
        <v>456</v>
      </c>
      <c r="H10" s="393">
        <f>(110+150)*12/1000</f>
        <v>3.12</v>
      </c>
      <c r="I10" s="396" t="s">
        <v>457</v>
      </c>
      <c r="J10" s="395">
        <f>250*12/1000</f>
        <v>3</v>
      </c>
      <c r="K10" s="13" t="s">
        <v>476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164</v>
      </c>
      <c r="C11" s="100" t="s">
        <v>165</v>
      </c>
      <c r="D11" s="100" t="s">
        <v>167</v>
      </c>
      <c r="E11" s="100" t="s">
        <v>1</v>
      </c>
      <c r="F11" t="s">
        <v>9</v>
      </c>
      <c r="G11" s="343" t="s">
        <v>480</v>
      </c>
      <c r="H11" s="394">
        <f>(87.5+29.2)*12/1000</f>
        <v>1.4004000000000001</v>
      </c>
      <c r="I11" s="396" t="s">
        <v>458</v>
      </c>
      <c r="J11" s="393">
        <f>120*12/1000</f>
        <v>1.44</v>
      </c>
      <c r="K11" s="13" t="s">
        <v>476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164</v>
      </c>
      <c r="C12" s="100" t="s">
        <v>170</v>
      </c>
      <c r="D12" s="100" t="s">
        <v>16</v>
      </c>
      <c r="E12" s="100" t="s">
        <v>24</v>
      </c>
      <c r="F12" t="s">
        <v>7</v>
      </c>
      <c r="G12" s="342" t="s">
        <v>459</v>
      </c>
      <c r="I12" s="342" t="s">
        <v>457</v>
      </c>
      <c r="K12" s="13" t="s">
        <v>475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164</v>
      </c>
      <c r="C13" s="100" t="s">
        <v>173</v>
      </c>
      <c r="D13" s="100" t="s">
        <v>174</v>
      </c>
      <c r="E13" s="100" t="s">
        <v>1</v>
      </c>
      <c r="F13" t="s">
        <v>8</v>
      </c>
      <c r="K13" s="13" t="s">
        <v>475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712</v>
      </c>
      <c r="X13" s="13"/>
      <c r="Y13" s="13"/>
      <c r="Z13" s="13"/>
      <c r="AD13" s="13"/>
    </row>
    <row r="14" spans="1:30" x14ac:dyDescent="0.25">
      <c r="B14" s="109" t="s">
        <v>164</v>
      </c>
      <c r="C14" s="100" t="s">
        <v>176</v>
      </c>
      <c r="D14" s="100" t="s">
        <v>92</v>
      </c>
      <c r="E14" s="100" t="s">
        <v>94</v>
      </c>
      <c r="F14" s="116" t="s">
        <v>169</v>
      </c>
      <c r="K14" s="13" t="s">
        <v>476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164</v>
      </c>
      <c r="C15" s="100" t="s">
        <v>176</v>
      </c>
      <c r="D15" s="100" t="s">
        <v>167</v>
      </c>
      <c r="E15" s="101" t="s">
        <v>94</v>
      </c>
      <c r="F15" s="116" t="s">
        <v>169</v>
      </c>
      <c r="K15" s="13" t="s">
        <v>476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178</v>
      </c>
      <c r="C16" s="100" t="s">
        <v>179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554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180</v>
      </c>
      <c r="C17" s="100"/>
      <c r="D17" s="100" t="s">
        <v>174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1216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1129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1115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1116</v>
      </c>
      <c r="D27" s="559" t="s">
        <v>1117</v>
      </c>
      <c r="E27" s="559" t="s">
        <v>1118</v>
      </c>
      <c r="F27" s="559" t="s">
        <v>1119</v>
      </c>
      <c r="G27" s="559" t="s">
        <v>1120</v>
      </c>
      <c r="H27" s="559" t="s">
        <v>1121</v>
      </c>
      <c r="I27" s="559" t="s">
        <v>1122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166</v>
      </c>
      <c r="D28" t="str">
        <f>"Industry - I&amp;S - "&amp;J28&amp;"-Existing"</f>
        <v>Industry - I&amp;S - BFBOF-Existing</v>
      </c>
      <c r="E28" t="s">
        <v>139</v>
      </c>
      <c r="F28" t="s">
        <v>1127</v>
      </c>
      <c r="G28" t="s">
        <v>954</v>
      </c>
      <c r="H28" t="s">
        <v>1128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171</v>
      </c>
      <c r="D29" t="str">
        <f t="shared" ref="D29:D32" si="4">"Industry - I&amp;S - "&amp;J29&amp;"-Existing"</f>
        <v>Industry - I&amp;S - DRIEAF-Existing</v>
      </c>
      <c r="E29" t="s">
        <v>139</v>
      </c>
      <c r="F29" t="s">
        <v>1127</v>
      </c>
      <c r="G29" t="s">
        <v>954</v>
      </c>
      <c r="H29" t="s">
        <v>1128</v>
      </c>
      <c r="J29" t="s">
        <v>1126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168</v>
      </c>
      <c r="D30" t="str">
        <f t="shared" si="4"/>
        <v>Industry - I&amp;S - Corex EAF-Existing</v>
      </c>
      <c r="E30" t="s">
        <v>139</v>
      </c>
      <c r="F30" t="s">
        <v>1127</v>
      </c>
      <c r="G30" t="s">
        <v>954</v>
      </c>
      <c r="H30" t="s">
        <v>1128</v>
      </c>
      <c r="J30" t="s">
        <v>1125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175</v>
      </c>
      <c r="D31" t="str">
        <f t="shared" si="4"/>
        <v>Industry - I&amp;S - Other EAF-Existing</v>
      </c>
      <c r="E31" t="s">
        <v>139</v>
      </c>
      <c r="F31" t="s">
        <v>1127</v>
      </c>
      <c r="G31" t="s">
        <v>954</v>
      </c>
      <c r="H31" t="s">
        <v>1128</v>
      </c>
      <c r="J31" t="s">
        <v>1124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177</v>
      </c>
      <c r="D32" t="str">
        <f t="shared" si="4"/>
        <v>Industry - I&amp;S - Scrap EAF-Existing</v>
      </c>
      <c r="E32" t="s">
        <v>139</v>
      </c>
      <c r="F32" t="s">
        <v>1127</v>
      </c>
      <c r="G32" t="s">
        <v>954</v>
      </c>
      <c r="H32" t="s">
        <v>1128</v>
      </c>
      <c r="J32" t="s">
        <v>1123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1075</v>
      </c>
      <c r="D33" s="99" t="s">
        <v>1134</v>
      </c>
      <c r="E33" t="s">
        <v>139</v>
      </c>
      <c r="F33" t="s">
        <v>1127</v>
      </c>
      <c r="G33" t="s">
        <v>954</v>
      </c>
      <c r="H33" t="s">
        <v>1128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1130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1115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1116</v>
      </c>
      <c r="D40" s="559" t="s">
        <v>1117</v>
      </c>
      <c r="E40" s="559" t="s">
        <v>1118</v>
      </c>
      <c r="F40" s="559" t="s">
        <v>1119</v>
      </c>
      <c r="G40" s="559" t="s">
        <v>1120</v>
      </c>
      <c r="H40" s="559" t="s">
        <v>1121</v>
      </c>
      <c r="I40" s="559" t="s">
        <v>1122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490</v>
      </c>
      <c r="D41" s="99" t="s">
        <v>1215</v>
      </c>
      <c r="E41" t="s">
        <v>139</v>
      </c>
      <c r="F41" t="s">
        <v>1127</v>
      </c>
      <c r="G41" t="s">
        <v>954</v>
      </c>
      <c r="H41" t="s">
        <v>1128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1162</v>
      </c>
      <c r="D42" s="99" t="s">
        <v>1131</v>
      </c>
      <c r="E42" t="s">
        <v>139</v>
      </c>
      <c r="F42" t="s">
        <v>1127</v>
      </c>
      <c r="G42" t="s">
        <v>954</v>
      </c>
      <c r="H42" t="s">
        <v>1128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492</v>
      </c>
      <c r="D43" s="99" t="s">
        <v>1132</v>
      </c>
      <c r="E43" t="s">
        <v>139</v>
      </c>
      <c r="F43" t="s">
        <v>1127</v>
      </c>
      <c r="G43" t="s">
        <v>954</v>
      </c>
      <c r="H43" t="s">
        <v>1128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493</v>
      </c>
      <c r="D44" s="99" t="s">
        <v>1133</v>
      </c>
      <c r="E44" t="s">
        <v>139</v>
      </c>
      <c r="F44" t="s">
        <v>1127</v>
      </c>
      <c r="G44" t="s">
        <v>954</v>
      </c>
      <c r="H44" t="s">
        <v>1128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1136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1116</v>
      </c>
      <c r="D48" s="559" t="s">
        <v>1252</v>
      </c>
      <c r="E48" s="559" t="s">
        <v>956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1135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183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185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169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169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481</v>
      </c>
      <c r="J73" s="550" t="s">
        <v>1136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49" t="s">
        <v>1116</v>
      </c>
      <c r="K74" s="549" t="s">
        <v>1218</v>
      </c>
      <c r="L74" s="548" t="s">
        <v>1212</v>
      </c>
      <c r="M74" s="548" t="s">
        <v>1212</v>
      </c>
      <c r="N74" s="548" t="s">
        <v>1212</v>
      </c>
      <c r="O74" s="548" t="s">
        <v>1212</v>
      </c>
      <c r="P74" s="548" t="s">
        <v>1212</v>
      </c>
      <c r="Q74" s="548" t="s">
        <v>1212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7" x14ac:dyDescent="0.25">
      <c r="J75" t="s">
        <v>939</v>
      </c>
      <c r="L75" s="18" t="s">
        <v>1214</v>
      </c>
      <c r="M75"/>
      <c r="R75"/>
      <c r="V75" s="18" t="s">
        <v>482</v>
      </c>
      <c r="AC75" s="18" t="s">
        <v>1211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1219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169</v>
      </c>
      <c r="J77" t="str">
        <f>C30</f>
        <v>IISCOREAF-E</v>
      </c>
      <c r="K77" t="s">
        <v>1219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1219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1219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1219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1217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683</v>
      </c>
    </row>
    <row r="87" spans="1:37" x14ac:dyDescent="0.25">
      <c r="Y87" t="s">
        <v>0</v>
      </c>
      <c r="Z87">
        <v>20</v>
      </c>
      <c r="AA87" t="s">
        <v>685</v>
      </c>
      <c r="AB87" t="s">
        <v>684</v>
      </c>
    </row>
    <row r="88" spans="1:37" x14ac:dyDescent="0.25">
      <c r="B88" s="13" t="s">
        <v>1111</v>
      </c>
      <c r="Z88">
        <v>15</v>
      </c>
      <c r="AA88" t="s">
        <v>687</v>
      </c>
      <c r="AB88" t="s">
        <v>686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696</v>
      </c>
      <c r="AA89" t="s">
        <v>697</v>
      </c>
      <c r="AB89" t="s">
        <v>698</v>
      </c>
    </row>
    <row r="90" spans="1:37" ht="18" customHeight="1" x14ac:dyDescent="0.25">
      <c r="B90" s="4"/>
      <c r="P90" s="5"/>
    </row>
    <row r="91" spans="1:37" ht="21" customHeight="1" x14ac:dyDescent="0.25">
      <c r="B91" s="591" t="s">
        <v>2</v>
      </c>
      <c r="C91" s="58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699</v>
      </c>
      <c r="AB91" t="s">
        <v>700</v>
      </c>
    </row>
    <row r="92" spans="1:37" x14ac:dyDescent="0.25">
      <c r="B92" s="591"/>
      <c r="C92" s="58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1"/>
      <c r="C93" s="584"/>
      <c r="D93" t="s">
        <v>187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701</v>
      </c>
    </row>
    <row r="94" spans="1:37" x14ac:dyDescent="0.25">
      <c r="B94" s="59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703</v>
      </c>
    </row>
    <row r="95" spans="1:37" x14ac:dyDescent="0.25">
      <c r="B95" s="59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702</v>
      </c>
      <c r="AB95" s="18"/>
    </row>
    <row r="96" spans="1:37" x14ac:dyDescent="0.25">
      <c r="B96" s="59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705</v>
      </c>
      <c r="AB97" t="s">
        <v>704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706</v>
      </c>
      <c r="AB98" s="18"/>
      <c r="AC98" s="18"/>
    </row>
    <row r="99" spans="2:29" x14ac:dyDescent="0.25">
      <c r="B99" s="59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205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219</v>
      </c>
      <c r="C113" t="s">
        <v>165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219</v>
      </c>
      <c r="C114" t="s">
        <v>165</v>
      </c>
      <c r="D114" t="s">
        <v>167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219</v>
      </c>
      <c r="C115" t="s">
        <v>170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219</v>
      </c>
      <c r="C116" t="s">
        <v>173</v>
      </c>
      <c r="D116" t="s">
        <v>174</v>
      </c>
      <c r="E116" t="s">
        <v>1</v>
      </c>
      <c r="P116" s="5"/>
    </row>
    <row r="117" spans="2:20" x14ac:dyDescent="0.25">
      <c r="B117" s="4" t="s">
        <v>219</v>
      </c>
      <c r="C117" t="s">
        <v>176</v>
      </c>
      <c r="D117" t="s">
        <v>92</v>
      </c>
      <c r="E117" t="s">
        <v>94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219</v>
      </c>
      <c r="C118" t="s">
        <v>176</v>
      </c>
      <c r="D118" t="s">
        <v>167</v>
      </c>
      <c r="E118" t="s">
        <v>94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178</v>
      </c>
      <c r="C119" t="s">
        <v>179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180</v>
      </c>
      <c r="D120" t="s">
        <v>174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219</v>
      </c>
      <c r="C125" t="s">
        <v>165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219</v>
      </c>
      <c r="C126" t="s">
        <v>165</v>
      </c>
      <c r="D126" t="s">
        <v>167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219</v>
      </c>
      <c r="C127" t="s">
        <v>170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349</v>
      </c>
      <c r="S127" s="306"/>
      <c r="T127" s="306"/>
    </row>
    <row r="128" spans="2:20" x14ac:dyDescent="0.25">
      <c r="B128" s="4" t="s">
        <v>219</v>
      </c>
      <c r="C128" t="s">
        <v>173</v>
      </c>
      <c r="D128" t="s">
        <v>174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219</v>
      </c>
      <c r="C129" t="s">
        <v>176</v>
      </c>
      <c r="D129" t="s">
        <v>92</v>
      </c>
      <c r="E129" t="s">
        <v>94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219</v>
      </c>
      <c r="C130" t="s">
        <v>176</v>
      </c>
      <c r="D130" t="s">
        <v>167</v>
      </c>
      <c r="E130" t="s">
        <v>94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178</v>
      </c>
      <c r="C131" t="s">
        <v>179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180</v>
      </c>
      <c r="D132" t="s">
        <v>174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157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339</v>
      </c>
      <c r="P153" s="5"/>
    </row>
    <row r="154" spans="2:16" x14ac:dyDescent="0.25">
      <c r="B154" s="4"/>
      <c r="M154" s="239" t="s">
        <v>186</v>
      </c>
      <c r="P154" s="5"/>
    </row>
    <row r="155" spans="2:16" x14ac:dyDescent="0.25">
      <c r="B155" s="107" t="s">
        <v>158</v>
      </c>
      <c r="C155" s="105" t="s">
        <v>159</v>
      </c>
      <c r="D155" s="105" t="s">
        <v>160</v>
      </c>
      <c r="E155" s="105" t="s">
        <v>161</v>
      </c>
      <c r="M155" s="242">
        <v>2012</v>
      </c>
      <c r="P155" s="5"/>
    </row>
    <row r="156" spans="2:16" x14ac:dyDescent="0.25">
      <c r="B156" s="108" t="s">
        <v>163</v>
      </c>
      <c r="C156" s="106"/>
      <c r="D156" s="106"/>
      <c r="E156" s="106"/>
      <c r="M156" s="244"/>
      <c r="P156" s="5"/>
    </row>
    <row r="157" spans="2:16" x14ac:dyDescent="0.25">
      <c r="B157" s="109" t="s">
        <v>164</v>
      </c>
      <c r="C157" s="100" t="s">
        <v>165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164</v>
      </c>
      <c r="C158" s="100" t="s">
        <v>165</v>
      </c>
      <c r="D158" s="100" t="s">
        <v>167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164</v>
      </c>
      <c r="C159" s="100" t="s">
        <v>170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164</v>
      </c>
      <c r="C160" s="100" t="s">
        <v>173</v>
      </c>
      <c r="D160" s="100" t="s">
        <v>174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164</v>
      </c>
      <c r="C161" s="100" t="s">
        <v>176</v>
      </c>
      <c r="D161" s="100" t="s">
        <v>92</v>
      </c>
      <c r="E161" s="100" t="s">
        <v>94</v>
      </c>
      <c r="F161" s="116" t="s">
        <v>169</v>
      </c>
      <c r="M161" s="243">
        <v>0.67</v>
      </c>
      <c r="P161" s="5"/>
    </row>
    <row r="162" spans="2:19" x14ac:dyDescent="0.25">
      <c r="B162" s="109" t="s">
        <v>164</v>
      </c>
      <c r="C162" s="100" t="s">
        <v>176</v>
      </c>
      <c r="D162" s="100" t="s">
        <v>167</v>
      </c>
      <c r="E162" s="101" t="s">
        <v>94</v>
      </c>
      <c r="F162" s="116" t="s">
        <v>169</v>
      </c>
      <c r="M162" s="243">
        <v>0.54</v>
      </c>
      <c r="P162" s="5"/>
    </row>
    <row r="163" spans="2:19" x14ac:dyDescent="0.25">
      <c r="B163" s="109" t="s">
        <v>178</v>
      </c>
      <c r="C163" s="100" t="s">
        <v>179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180</v>
      </c>
      <c r="C164" s="100"/>
      <c r="D164" s="100" t="s">
        <v>174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291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292</v>
      </c>
      <c r="C171" s="8" t="s">
        <v>293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294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295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135</v>
      </c>
      <c r="C174" s="8" t="s">
        <v>293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294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295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241</v>
      </c>
      <c r="C177" s="8" t="s">
        <v>293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294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295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300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296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297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299</v>
      </c>
      <c r="Q185" s="17"/>
      <c r="R185" s="250"/>
      <c r="S185" s="17"/>
    </row>
    <row r="186" spans="2:22" x14ac:dyDescent="0.25">
      <c r="B186" s="280" t="s">
        <v>158</v>
      </c>
      <c r="C186" s="281" t="s">
        <v>159</v>
      </c>
      <c r="D186" s="281" t="s">
        <v>160</v>
      </c>
      <c r="E186" s="281" t="s">
        <v>161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163</v>
      </c>
      <c r="C187" s="106"/>
      <c r="D187" s="106"/>
      <c r="E187" s="106"/>
      <c r="P187" s="304" t="s">
        <v>318</v>
      </c>
      <c r="Q187" s="17"/>
      <c r="R187" s="250"/>
      <c r="S187" s="17"/>
      <c r="U187" s="5"/>
    </row>
    <row r="188" spans="2:22" x14ac:dyDescent="0.25">
      <c r="B188" s="109" t="s">
        <v>164</v>
      </c>
      <c r="C188" s="100" t="s">
        <v>165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164</v>
      </c>
      <c r="C189" s="100" t="s">
        <v>165</v>
      </c>
      <c r="D189" s="100" t="s">
        <v>167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164</v>
      </c>
      <c r="C190" s="100" t="s">
        <v>170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164</v>
      </c>
      <c r="C191" s="100" t="s">
        <v>173</v>
      </c>
      <c r="D191" s="100" t="s">
        <v>174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302</v>
      </c>
    </row>
    <row r="192" spans="2:22" x14ac:dyDescent="0.25">
      <c r="B192" s="109" t="s">
        <v>164</v>
      </c>
      <c r="C192" s="100" t="s">
        <v>176</v>
      </c>
      <c r="D192" s="100" t="s">
        <v>92</v>
      </c>
      <c r="E192" s="100" t="s">
        <v>94</v>
      </c>
      <c r="F192" s="116" t="s">
        <v>169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164</v>
      </c>
      <c r="C193" s="100" t="s">
        <v>176</v>
      </c>
      <c r="D193" s="100" t="s">
        <v>167</v>
      </c>
      <c r="E193" s="101" t="s">
        <v>94</v>
      </c>
      <c r="F193" s="116" t="s">
        <v>169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178</v>
      </c>
      <c r="C194" s="100" t="s">
        <v>179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559</v>
      </c>
    </row>
    <row r="195" spans="2:22" x14ac:dyDescent="0.25">
      <c r="B195" s="109" t="s">
        <v>180</v>
      </c>
      <c r="C195" s="100"/>
      <c r="D195" s="100" t="s">
        <v>174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309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345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301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344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317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343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556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547</v>
      </c>
      <c r="D206" s="388" t="s">
        <v>548</v>
      </c>
      <c r="E206" s="388" t="s">
        <v>553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355</v>
      </c>
      <c r="D207" s="388" t="s">
        <v>549</v>
      </c>
      <c r="E207" s="388" t="s">
        <v>553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549</v>
      </c>
      <c r="E208" s="388" t="s">
        <v>553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550</v>
      </c>
      <c r="D209" s="392" t="s">
        <v>549</v>
      </c>
      <c r="E209" s="392" t="s">
        <v>551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555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549</v>
      </c>
      <c r="E211" s="100" t="s">
        <v>551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549</v>
      </c>
      <c r="E212" s="110" t="s">
        <v>551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586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590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571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164</v>
      </c>
      <c r="C219" s="100" t="s">
        <v>165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574</v>
      </c>
    </row>
    <row r="220" spans="2:21" x14ac:dyDescent="0.25">
      <c r="B220" s="100" t="s">
        <v>164</v>
      </c>
      <c r="C220" s="100" t="s">
        <v>165</v>
      </c>
      <c r="D220" s="100" t="s">
        <v>167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566</v>
      </c>
    </row>
    <row r="221" spans="2:21" x14ac:dyDescent="0.25">
      <c r="B221" s="100" t="s">
        <v>164</v>
      </c>
      <c r="C221" s="100" t="s">
        <v>170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574</v>
      </c>
    </row>
    <row r="222" spans="2:21" x14ac:dyDescent="0.25">
      <c r="B222" s="100" t="s">
        <v>164</v>
      </c>
      <c r="C222" s="100" t="s">
        <v>173</v>
      </c>
      <c r="D222" s="100" t="s">
        <v>174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570</v>
      </c>
    </row>
    <row r="223" spans="2:21" x14ac:dyDescent="0.25">
      <c r="B223" s="100" t="s">
        <v>164</v>
      </c>
      <c r="C223" s="100" t="s">
        <v>176</v>
      </c>
      <c r="D223" s="100" t="s">
        <v>560</v>
      </c>
      <c r="E223" s="100" t="s">
        <v>560</v>
      </c>
      <c r="F223" s="116"/>
      <c r="G223" s="116" t="s">
        <v>560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574</v>
      </c>
    </row>
    <row r="224" spans="2:21" x14ac:dyDescent="0.25">
      <c r="B224" s="100" t="s">
        <v>164</v>
      </c>
      <c r="C224" s="100" t="s">
        <v>176</v>
      </c>
      <c r="D224" s="100" t="s">
        <v>92</v>
      </c>
      <c r="E224" s="100" t="s">
        <v>94</v>
      </c>
      <c r="F224" s="116"/>
      <c r="G224" s="116" t="s">
        <v>169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581</v>
      </c>
    </row>
    <row r="225" spans="2:21" x14ac:dyDescent="0.25">
      <c r="B225" s="100" t="s">
        <v>164</v>
      </c>
      <c r="C225" s="100" t="s">
        <v>176</v>
      </c>
      <c r="D225" s="100" t="s">
        <v>167</v>
      </c>
      <c r="E225" s="101" t="s">
        <v>94</v>
      </c>
      <c r="F225" s="116"/>
      <c r="G225" s="116" t="s">
        <v>169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582</v>
      </c>
    </row>
    <row r="226" spans="2:21" x14ac:dyDescent="0.25">
      <c r="B226" s="100" t="s">
        <v>178</v>
      </c>
      <c r="C226" s="100" t="s">
        <v>179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558</v>
      </c>
    </row>
    <row r="227" spans="2:21" x14ac:dyDescent="0.25">
      <c r="B227" s="100" t="s">
        <v>180</v>
      </c>
      <c r="C227" s="100"/>
      <c r="D227" s="100" t="s">
        <v>174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575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164</v>
      </c>
      <c r="C230" s="100" t="s">
        <v>165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569</v>
      </c>
    </row>
    <row r="231" spans="2:21" x14ac:dyDescent="0.25">
      <c r="B231" s="100" t="s">
        <v>164</v>
      </c>
      <c r="C231" s="100" t="s">
        <v>165</v>
      </c>
      <c r="D231" s="100" t="s">
        <v>167</v>
      </c>
      <c r="E231" s="100" t="s">
        <v>1</v>
      </c>
      <c r="G231" s="100" t="s">
        <v>167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568</v>
      </c>
      <c r="U231" t="s">
        <v>567</v>
      </c>
    </row>
    <row r="232" spans="2:21" x14ac:dyDescent="0.25">
      <c r="B232" s="100" t="s">
        <v>164</v>
      </c>
      <c r="C232" s="100" t="s">
        <v>170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574</v>
      </c>
      <c r="U232" t="s">
        <v>219</v>
      </c>
    </row>
    <row r="233" spans="2:21" x14ac:dyDescent="0.25">
      <c r="B233" s="100" t="s">
        <v>164</v>
      </c>
      <c r="C233" s="100" t="s">
        <v>173</v>
      </c>
      <c r="D233" s="100" t="s">
        <v>174</v>
      </c>
      <c r="E233" s="100" t="s">
        <v>1</v>
      </c>
      <c r="G233" s="100" t="s">
        <v>174</v>
      </c>
      <c r="Q233" s="272"/>
      <c r="R233" s="379"/>
      <c r="S233" s="272"/>
    </row>
    <row r="234" spans="2:21" x14ac:dyDescent="0.25">
      <c r="B234" s="100" t="s">
        <v>164</v>
      </c>
      <c r="C234" s="100" t="s">
        <v>176</v>
      </c>
      <c r="D234" s="100" t="s">
        <v>560</v>
      </c>
      <c r="E234" s="100" t="s">
        <v>560</v>
      </c>
      <c r="F234" s="116"/>
      <c r="G234" s="100" t="s">
        <v>560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164</v>
      </c>
      <c r="C235" s="100" t="s">
        <v>176</v>
      </c>
      <c r="D235" s="100" t="s">
        <v>92</v>
      </c>
      <c r="E235" s="100" t="s">
        <v>94</v>
      </c>
      <c r="F235" s="116"/>
      <c r="G235" s="100" t="s">
        <v>92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164</v>
      </c>
      <c r="C236" s="100" t="s">
        <v>176</v>
      </c>
      <c r="D236" s="100" t="s">
        <v>167</v>
      </c>
      <c r="E236" s="101" t="s">
        <v>94</v>
      </c>
      <c r="F236" s="116"/>
      <c r="G236" s="100" t="s">
        <v>167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178</v>
      </c>
      <c r="C237" s="100" t="s">
        <v>179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180</v>
      </c>
      <c r="C238" s="100"/>
      <c r="D238" s="100" t="s">
        <v>174</v>
      </c>
      <c r="E238" s="100" t="s">
        <v>1</v>
      </c>
      <c r="G238" s="100" t="s">
        <v>174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576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164</v>
      </c>
      <c r="C241" s="100" t="s">
        <v>165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577</v>
      </c>
    </row>
    <row r="242" spans="2:20" x14ac:dyDescent="0.25">
      <c r="B242" s="100"/>
      <c r="C242" s="100" t="s">
        <v>583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180</v>
      </c>
      <c r="C243" s="100"/>
      <c r="D243" s="100" t="s">
        <v>174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577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578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572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573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589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580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579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587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584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585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588</v>
      </c>
      <c r="D254" s="100"/>
      <c r="E254" s="100"/>
      <c r="Q254" s="17"/>
      <c r="R254" s="250"/>
      <c r="S254" s="17"/>
    </row>
    <row r="255" spans="2:20" x14ac:dyDescent="0.25">
      <c r="B255" s="100" t="s">
        <v>164</v>
      </c>
      <c r="C255" s="100" t="s">
        <v>165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164</v>
      </c>
      <c r="C256" s="100" t="s">
        <v>165</v>
      </c>
      <c r="D256" s="100" t="s">
        <v>167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164</v>
      </c>
      <c r="C257" s="100" t="s">
        <v>170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164</v>
      </c>
      <c r="C258" s="100" t="s">
        <v>173</v>
      </c>
      <c r="D258" s="100" t="s">
        <v>174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164</v>
      </c>
      <c r="C259" s="100" t="s">
        <v>176</v>
      </c>
      <c r="D259" s="100" t="s">
        <v>560</v>
      </c>
      <c r="E259" s="100" t="s">
        <v>560</v>
      </c>
      <c r="F259" s="116"/>
      <c r="G259" s="116" t="s">
        <v>560</v>
      </c>
      <c r="Q259" s="17"/>
      <c r="R259" s="250"/>
      <c r="S259" s="17"/>
    </row>
    <row r="260" spans="2:22" x14ac:dyDescent="0.25">
      <c r="B260" s="100" t="s">
        <v>164</v>
      </c>
      <c r="C260" s="100" t="s">
        <v>176</v>
      </c>
      <c r="D260" s="100" t="s">
        <v>92</v>
      </c>
      <c r="E260" s="100" t="s">
        <v>94</v>
      </c>
      <c r="F260" s="116"/>
      <c r="G260" s="116" t="s">
        <v>169</v>
      </c>
      <c r="Q260" s="17"/>
      <c r="R260" s="250"/>
      <c r="S260" s="17"/>
    </row>
    <row r="261" spans="2:22" x14ac:dyDescent="0.25">
      <c r="B261" s="100" t="s">
        <v>164</v>
      </c>
      <c r="C261" s="100" t="s">
        <v>176</v>
      </c>
      <c r="D261" s="100" t="s">
        <v>167</v>
      </c>
      <c r="E261" s="101" t="s">
        <v>94</v>
      </c>
      <c r="F261" s="116"/>
      <c r="G261" s="116" t="s">
        <v>169</v>
      </c>
      <c r="Q261" s="17"/>
      <c r="R261" s="250"/>
      <c r="S261" s="17"/>
    </row>
    <row r="262" spans="2:22" x14ac:dyDescent="0.25">
      <c r="B262" s="100" t="s">
        <v>178</v>
      </c>
      <c r="C262" s="100" t="s">
        <v>179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180</v>
      </c>
      <c r="C263" s="100"/>
      <c r="D263" s="100" t="s">
        <v>174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303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164</v>
      </c>
      <c r="C267" s="276" t="s">
        <v>165</v>
      </c>
      <c r="D267" s="276" t="s">
        <v>16</v>
      </c>
      <c r="E267" s="276" t="s">
        <v>24</v>
      </c>
      <c r="F267" s="15"/>
      <c r="G267" s="15"/>
      <c r="H267" s="276" t="s">
        <v>306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307</v>
      </c>
    </row>
    <row r="268" spans="2:22" x14ac:dyDescent="0.25">
      <c r="B268" s="109" t="s">
        <v>164</v>
      </c>
      <c r="C268" s="100" t="s">
        <v>165</v>
      </c>
      <c r="D268" s="100" t="s">
        <v>167</v>
      </c>
      <c r="E268" s="100" t="s">
        <v>1</v>
      </c>
      <c r="H268" s="100" t="s">
        <v>306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307</v>
      </c>
    </row>
    <row r="269" spans="2:22" x14ac:dyDescent="0.25">
      <c r="B269" s="109" t="s">
        <v>164</v>
      </c>
      <c r="C269" s="100" t="s">
        <v>170</v>
      </c>
      <c r="D269" s="100" t="s">
        <v>16</v>
      </c>
      <c r="E269" s="100" t="s">
        <v>24</v>
      </c>
      <c r="H269" s="100" t="s">
        <v>306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307</v>
      </c>
    </row>
    <row r="270" spans="2:22" x14ac:dyDescent="0.25">
      <c r="B270" s="109" t="s">
        <v>164</v>
      </c>
      <c r="C270" s="100" t="s">
        <v>173</v>
      </c>
      <c r="D270" s="100" t="s">
        <v>174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164</v>
      </c>
      <c r="C271" s="100" t="s">
        <v>176</v>
      </c>
      <c r="D271" s="100" t="s">
        <v>92</v>
      </c>
      <c r="E271" s="100" t="s">
        <v>94</v>
      </c>
      <c r="G271" s="116"/>
      <c r="H271" s="100" t="s">
        <v>304</v>
      </c>
      <c r="Q271" s="272"/>
      <c r="R271" s="379"/>
      <c r="S271" s="272"/>
      <c r="U271" s="5">
        <v>0</v>
      </c>
      <c r="V271" t="s">
        <v>305</v>
      </c>
    </row>
    <row r="272" spans="2:22" x14ac:dyDescent="0.25">
      <c r="B272" s="109" t="s">
        <v>164</v>
      </c>
      <c r="C272" s="100" t="s">
        <v>176</v>
      </c>
      <c r="D272" s="100" t="s">
        <v>167</v>
      </c>
      <c r="E272" s="101" t="s">
        <v>94</v>
      </c>
      <c r="G272" s="116"/>
      <c r="H272" t="s">
        <v>304</v>
      </c>
      <c r="Q272" s="272"/>
      <c r="R272" s="379"/>
      <c r="S272" s="272"/>
      <c r="U272" s="5">
        <v>0</v>
      </c>
      <c r="V272" t="s">
        <v>305</v>
      </c>
    </row>
    <row r="273" spans="2:21" x14ac:dyDescent="0.25">
      <c r="B273" s="109" t="s">
        <v>178</v>
      </c>
      <c r="C273" s="100" t="s">
        <v>179</v>
      </c>
      <c r="D273" s="100" t="s">
        <v>17</v>
      </c>
      <c r="E273" s="100" t="s">
        <v>24</v>
      </c>
      <c r="H273" s="100" t="s">
        <v>304</v>
      </c>
      <c r="Q273" s="272"/>
      <c r="R273" s="379"/>
      <c r="S273" s="272"/>
      <c r="U273" s="5">
        <v>0</v>
      </c>
    </row>
    <row r="274" spans="2:21" x14ac:dyDescent="0.25">
      <c r="B274" s="109" t="s">
        <v>180</v>
      </c>
      <c r="C274" s="100"/>
      <c r="D274" s="100" t="s">
        <v>174</v>
      </c>
      <c r="E274" s="100" t="s">
        <v>1</v>
      </c>
      <c r="H274" s="100" t="s">
        <v>306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308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164</v>
      </c>
      <c r="C278" s="100" t="s">
        <v>165</v>
      </c>
      <c r="D278" s="100" t="s">
        <v>16</v>
      </c>
      <c r="E278" s="100" t="s">
        <v>24</v>
      </c>
      <c r="F278" t="s">
        <v>7</v>
      </c>
      <c r="H278" s="100" t="s">
        <v>304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164</v>
      </c>
      <c r="C279" s="100" t="s">
        <v>165</v>
      </c>
      <c r="D279" s="100" t="s">
        <v>167</v>
      </c>
      <c r="E279" s="100" t="s">
        <v>1</v>
      </c>
      <c r="F279" t="s">
        <v>9</v>
      </c>
      <c r="H279" s="100" t="s">
        <v>304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164</v>
      </c>
      <c r="C280" s="100" t="s">
        <v>170</v>
      </c>
      <c r="D280" s="100" t="s">
        <v>16</v>
      </c>
      <c r="E280" s="100" t="s">
        <v>24</v>
      </c>
      <c r="F280" t="s">
        <v>7</v>
      </c>
      <c r="H280" s="100" t="s">
        <v>304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164</v>
      </c>
      <c r="C281" s="100" t="s">
        <v>173</v>
      </c>
      <c r="D281" s="100" t="s">
        <v>174</v>
      </c>
      <c r="E281" s="100" t="s">
        <v>1</v>
      </c>
      <c r="F281" t="s">
        <v>8</v>
      </c>
      <c r="H281" s="100" t="s">
        <v>304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164</v>
      </c>
      <c r="C282" s="100" t="s">
        <v>176</v>
      </c>
      <c r="D282" s="100" t="s">
        <v>92</v>
      </c>
      <c r="E282" s="100" t="s">
        <v>94</v>
      </c>
      <c r="F282" s="116" t="s">
        <v>169</v>
      </c>
      <c r="H282" s="100" t="s">
        <v>304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164</v>
      </c>
      <c r="C283" s="100" t="s">
        <v>176</v>
      </c>
      <c r="D283" s="100" t="s">
        <v>167</v>
      </c>
      <c r="E283" s="101" t="s">
        <v>94</v>
      </c>
      <c r="F283" s="116" t="s">
        <v>169</v>
      </c>
      <c r="H283" s="100" t="s">
        <v>304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178</v>
      </c>
      <c r="C284" s="100" t="s">
        <v>179</v>
      </c>
      <c r="D284" s="100" t="s">
        <v>17</v>
      </c>
      <c r="E284" s="100" t="s">
        <v>24</v>
      </c>
      <c r="F284" t="s">
        <v>10</v>
      </c>
      <c r="H284" s="100" t="s">
        <v>304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180</v>
      </c>
      <c r="C285" s="110"/>
      <c r="D285" s="110" t="s">
        <v>174</v>
      </c>
      <c r="E285" s="110" t="s">
        <v>1</v>
      </c>
      <c r="F285" s="8" t="s">
        <v>8</v>
      </c>
      <c r="G285" s="8"/>
      <c r="H285" s="110" t="s">
        <v>304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316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204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169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298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1220</v>
      </c>
    </row>
    <row r="301" spans="2:22" x14ac:dyDescent="0.25">
      <c r="V301" s="508"/>
    </row>
    <row r="302" spans="2:22" x14ac:dyDescent="0.25">
      <c r="O302" s="564" t="s">
        <v>1136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1165</v>
      </c>
      <c r="P303" s="564" t="s">
        <v>1144</v>
      </c>
      <c r="Q303" s="564" t="s">
        <v>1166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939</v>
      </c>
      <c r="P304" s="523" t="s">
        <v>1167</v>
      </c>
      <c r="Q304" s="523" t="s">
        <v>1168</v>
      </c>
      <c r="R304" s="239" t="s">
        <v>1169</v>
      </c>
      <c r="V304" s="512"/>
    </row>
    <row r="305" spans="14:27" x14ac:dyDescent="0.25">
      <c r="O305" s="524" t="s">
        <v>1170</v>
      </c>
      <c r="P305" s="523" t="str">
        <f>'INPUT Energy and Emissions'!D134</f>
        <v>IISCRS</v>
      </c>
      <c r="Q305" s="523" t="s">
        <v>139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1222</v>
      </c>
      <c r="V307" s="512"/>
    </row>
    <row r="308" spans="14:27" x14ac:dyDescent="0.25">
      <c r="V308" s="512"/>
    </row>
    <row r="309" spans="14:27" x14ac:dyDescent="0.25">
      <c r="O309" s="564" t="s">
        <v>1136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1165</v>
      </c>
      <c r="P310" s="564" t="s">
        <v>1116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1221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1221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1221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1221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1221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460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313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310</v>
      </c>
      <c r="C327" t="s">
        <v>304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311</v>
      </c>
      <c r="C328" t="s">
        <v>304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233</v>
      </c>
      <c r="C329" t="s">
        <v>261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350</v>
      </c>
    </row>
    <row r="330" spans="2:24" x14ac:dyDescent="0.25">
      <c r="B330" s="4" t="s">
        <v>314</v>
      </c>
      <c r="C330" t="s">
        <v>315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312</v>
      </c>
      <c r="V332" s="5"/>
    </row>
    <row r="333" spans="2:24" x14ac:dyDescent="0.25">
      <c r="B333" s="4" t="s">
        <v>24</v>
      </c>
      <c r="C333" t="s">
        <v>186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186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261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261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483</v>
      </c>
      <c r="C338" t="s">
        <v>261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1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377</v>
      </c>
      <c r="J2" t="s">
        <v>383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390</v>
      </c>
    </row>
    <row r="5" spans="1:12" x14ac:dyDescent="0.25">
      <c r="A5" s="4" t="s">
        <v>379</v>
      </c>
      <c r="B5" s="340">
        <v>220000</v>
      </c>
      <c r="C5" t="s">
        <v>380</v>
      </c>
      <c r="H5" s="5"/>
      <c r="J5">
        <v>30</v>
      </c>
      <c r="K5" t="s">
        <v>391</v>
      </c>
    </row>
    <row r="6" spans="1:12" x14ac:dyDescent="0.25">
      <c r="A6" s="4" t="s">
        <v>420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378</v>
      </c>
      <c r="C8">
        <v>195000</v>
      </c>
      <c r="D8">
        <v>190000</v>
      </c>
      <c r="E8">
        <v>184000</v>
      </c>
      <c r="G8" t="s">
        <v>285</v>
      </c>
      <c r="H8" s="5"/>
      <c r="J8" t="s">
        <v>387</v>
      </c>
    </row>
    <row r="9" spans="1:12" x14ac:dyDescent="0.25">
      <c r="A9" s="4" t="s">
        <v>381</v>
      </c>
      <c r="C9">
        <v>1.4</v>
      </c>
      <c r="D9">
        <v>1.4</v>
      </c>
      <c r="E9">
        <v>1.4</v>
      </c>
      <c r="G9" t="s">
        <v>382</v>
      </c>
      <c r="H9" s="5"/>
      <c r="J9" t="s">
        <v>388</v>
      </c>
    </row>
    <row r="10" spans="1:12" x14ac:dyDescent="0.25">
      <c r="A10" s="4"/>
      <c r="H10" s="5"/>
    </row>
    <row r="11" spans="1:12" x14ac:dyDescent="0.25">
      <c r="A11" s="4" t="s">
        <v>386</v>
      </c>
      <c r="H11" s="5"/>
    </row>
    <row r="12" spans="1:12" x14ac:dyDescent="0.25">
      <c r="A12" s="4" t="s">
        <v>384</v>
      </c>
      <c r="C12">
        <v>367</v>
      </c>
      <c r="D12">
        <v>193</v>
      </c>
      <c r="E12">
        <v>158</v>
      </c>
      <c r="G12" t="s">
        <v>385</v>
      </c>
      <c r="H12" s="5"/>
      <c r="J12" t="s">
        <v>421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504</v>
      </c>
    </row>
    <row r="15" spans="1:12" x14ac:dyDescent="0.25">
      <c r="A15" s="4" t="s">
        <v>389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503</v>
      </c>
      <c r="L16" s="5"/>
    </row>
    <row r="17" spans="1:12" x14ac:dyDescent="0.25">
      <c r="J17" s="4" t="s">
        <v>202</v>
      </c>
      <c r="K17">
        <v>2.91</v>
      </c>
      <c r="L17" s="5"/>
    </row>
    <row r="18" spans="1:12" x14ac:dyDescent="0.25">
      <c r="J18" s="4" t="s">
        <v>502</v>
      </c>
      <c r="K18">
        <v>2.7</v>
      </c>
      <c r="L18" s="5"/>
    </row>
    <row r="19" spans="1:12" x14ac:dyDescent="0.25">
      <c r="A19" t="s">
        <v>435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436</v>
      </c>
      <c r="H21" s="5"/>
    </row>
    <row r="22" spans="1:12" x14ac:dyDescent="0.25">
      <c r="A22" s="4" t="s">
        <v>437</v>
      </c>
      <c r="B22" s="1">
        <v>190000</v>
      </c>
      <c r="C22" t="s">
        <v>438</v>
      </c>
      <c r="H22" s="5"/>
      <c r="J22">
        <v>30</v>
      </c>
      <c r="K22" t="s">
        <v>391</v>
      </c>
    </row>
    <row r="23" spans="1:12" x14ac:dyDescent="0.25">
      <c r="A23" s="4"/>
      <c r="H23" s="5"/>
      <c r="J23" s="19">
        <f>B21*1000*J22/1000000000</f>
        <v>20.85</v>
      </c>
      <c r="K23" t="s">
        <v>1193</v>
      </c>
    </row>
    <row r="24" spans="1:12" x14ac:dyDescent="0.25">
      <c r="A24" s="4" t="s">
        <v>381</v>
      </c>
      <c r="B24">
        <v>1.4</v>
      </c>
      <c r="C24" t="s">
        <v>439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440</v>
      </c>
      <c r="H26" s="5"/>
      <c r="J26" s="320">
        <f>J22</f>
        <v>30</v>
      </c>
      <c r="K26" t="s">
        <v>145</v>
      </c>
    </row>
    <row r="27" spans="1:12" x14ac:dyDescent="0.25">
      <c r="A27" s="4"/>
      <c r="H27" s="5"/>
      <c r="J27" s="301">
        <f>B26/J26</f>
        <v>245.61403508771932</v>
      </c>
      <c r="K27" t="s">
        <v>608</v>
      </c>
      <c r="L27" t="s">
        <v>1194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403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404</v>
      </c>
      <c r="H37" s="5"/>
    </row>
    <row r="38" spans="1:8" x14ac:dyDescent="0.25">
      <c r="A38" s="4" t="s">
        <v>405</v>
      </c>
      <c r="H38" s="5"/>
    </row>
    <row r="39" spans="1:8" x14ac:dyDescent="0.25">
      <c r="A39" s="4"/>
      <c r="H39" s="5"/>
    </row>
    <row r="40" spans="1:8" x14ac:dyDescent="0.25">
      <c r="A40" s="4" t="s">
        <v>406</v>
      </c>
      <c r="H40" s="5"/>
    </row>
    <row r="41" spans="1:8" x14ac:dyDescent="0.25">
      <c r="A41" s="4"/>
      <c r="B41" t="s">
        <v>5</v>
      </c>
      <c r="C41" t="s">
        <v>408</v>
      </c>
      <c r="H41" s="5"/>
    </row>
    <row r="42" spans="1:8" x14ac:dyDescent="0.25">
      <c r="A42" s="4" t="s">
        <v>407</v>
      </c>
      <c r="B42">
        <v>0.4</v>
      </c>
      <c r="C42">
        <v>1.8</v>
      </c>
      <c r="D42" t="s">
        <v>186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422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538</v>
      </c>
    </row>
    <row r="50" spans="1:14" x14ac:dyDescent="0.25">
      <c r="A50" s="4"/>
      <c r="C50" t="s">
        <v>430</v>
      </c>
      <c r="H50" s="5"/>
    </row>
    <row r="51" spans="1:14" x14ac:dyDescent="0.25">
      <c r="A51" s="4" t="s">
        <v>424</v>
      </c>
      <c r="B51" t="s">
        <v>426</v>
      </c>
      <c r="C51" s="1">
        <v>1088723</v>
      </c>
      <c r="D51" t="s">
        <v>423</v>
      </c>
      <c r="F51" t="s">
        <v>428</v>
      </c>
      <c r="H51" s="5"/>
      <c r="J51" s="119">
        <f>C51/0.52</f>
        <v>2093698.0769230768</v>
      </c>
      <c r="K51" t="s">
        <v>431</v>
      </c>
      <c r="M51" s="19">
        <f>C51/1000</f>
        <v>1088.723</v>
      </c>
      <c r="N51" t="s">
        <v>539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432</v>
      </c>
      <c r="M52" s="320">
        <f>J52/1000</f>
        <v>62.810942307692308</v>
      </c>
      <c r="N52" t="s">
        <v>540</v>
      </c>
    </row>
    <row r="53" spans="1:14" x14ac:dyDescent="0.25">
      <c r="A53" s="4" t="s">
        <v>427</v>
      </c>
      <c r="B53" t="s">
        <v>425</v>
      </c>
      <c r="C53" s="1">
        <v>317799</v>
      </c>
      <c r="D53" t="s">
        <v>423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594</v>
      </c>
    </row>
    <row r="55" spans="1:14" x14ac:dyDescent="0.25">
      <c r="A55" s="4" t="s">
        <v>23</v>
      </c>
      <c r="B55" t="s">
        <v>429</v>
      </c>
      <c r="C55" s="1">
        <v>8569232</v>
      </c>
      <c r="D55" t="s">
        <v>423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433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434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444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445</v>
      </c>
      <c r="B74">
        <v>1.1499999999999999</v>
      </c>
      <c r="C74" t="s">
        <v>446</v>
      </c>
      <c r="H74" s="5"/>
    </row>
    <row r="75" spans="1:12" x14ac:dyDescent="0.25">
      <c r="A75" s="4"/>
      <c r="H75" s="5"/>
    </row>
    <row r="76" spans="1:12" x14ac:dyDescent="0.25">
      <c r="A76" s="4" t="s">
        <v>447</v>
      </c>
      <c r="B76" s="285">
        <v>0.65</v>
      </c>
      <c r="C76" t="s">
        <v>516</v>
      </c>
      <c r="H76" s="5"/>
    </row>
    <row r="77" spans="1:12" x14ac:dyDescent="0.25">
      <c r="A77" s="4" t="s">
        <v>448</v>
      </c>
      <c r="B77" s="285">
        <v>0.35</v>
      </c>
      <c r="C77" t="s">
        <v>1101</v>
      </c>
      <c r="H77" s="5"/>
    </row>
    <row r="78" spans="1:12" x14ac:dyDescent="0.25">
      <c r="A78" s="4"/>
      <c r="H78" s="5"/>
    </row>
    <row r="79" spans="1:12" x14ac:dyDescent="0.25">
      <c r="A79" s="4" t="s">
        <v>451</v>
      </c>
      <c r="H79" s="5"/>
    </row>
    <row r="80" spans="1:12" x14ac:dyDescent="0.25">
      <c r="A80" s="4"/>
      <c r="B80" t="s">
        <v>450</v>
      </c>
      <c r="H80" s="5"/>
      <c r="J80" t="s">
        <v>391</v>
      </c>
      <c r="L80" t="s">
        <v>452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449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460</v>
      </c>
      <c r="L84" s="341">
        <f>SUM(L81:L83)</f>
        <v>15570</v>
      </c>
      <c r="M84" s="18" t="s">
        <v>453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453</v>
      </c>
    </row>
    <row r="86" spans="1:15" x14ac:dyDescent="0.25">
      <c r="A86" s="4" t="s">
        <v>454</v>
      </c>
      <c r="B86">
        <v>1.8</v>
      </c>
      <c r="C86" t="s">
        <v>455</v>
      </c>
      <c r="H86" s="5"/>
      <c r="K86" t="s">
        <v>13</v>
      </c>
      <c r="L86" s="344">
        <f>L83</f>
        <v>3840</v>
      </c>
      <c r="M86" s="18" t="s">
        <v>453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595</v>
      </c>
      <c r="J94" s="285"/>
      <c r="O94" s="320"/>
    </row>
    <row r="95" spans="1:15" x14ac:dyDescent="0.25">
      <c r="B95" t="s">
        <v>607</v>
      </c>
      <c r="J95" s="285"/>
    </row>
    <row r="96" spans="1:15" ht="15.75" thickBot="1" x14ac:dyDescent="0.3">
      <c r="B96" s="402"/>
      <c r="C96" s="402" t="s">
        <v>596</v>
      </c>
      <c r="D96" s="402" t="s">
        <v>597</v>
      </c>
      <c r="E96" s="402" t="s">
        <v>598</v>
      </c>
      <c r="F96" s="402" t="s">
        <v>599</v>
      </c>
      <c r="G96" s="402" t="s">
        <v>600</v>
      </c>
      <c r="J96" s="119"/>
    </row>
    <row r="97" spans="2:14" ht="29.25" thickBot="1" x14ac:dyDescent="0.3">
      <c r="B97" s="403" t="s">
        <v>601</v>
      </c>
      <c r="C97" s="404" t="s">
        <v>602</v>
      </c>
      <c r="D97" s="404" t="s">
        <v>603</v>
      </c>
      <c r="E97" s="404" t="s">
        <v>604</v>
      </c>
      <c r="F97" s="404" t="s">
        <v>605</v>
      </c>
      <c r="G97" s="404">
        <v>179.47</v>
      </c>
      <c r="H97" s="405" t="s">
        <v>606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440</v>
      </c>
      <c r="J100" s="319">
        <v>29</v>
      </c>
      <c r="K100" t="s">
        <v>145</v>
      </c>
    </row>
    <row r="101" spans="2:14" x14ac:dyDescent="0.25">
      <c r="G101" s="320">
        <f>G100/J100</f>
        <v>99.017931034482757</v>
      </c>
      <c r="H101" t="s">
        <v>608</v>
      </c>
    </row>
    <row r="103" spans="2:14" x14ac:dyDescent="0.25">
      <c r="N103" s="285"/>
    </row>
    <row r="107" spans="2:14" x14ac:dyDescent="0.25">
      <c r="B107" s="565"/>
      <c r="C107" s="565"/>
      <c r="D107" s="550" t="s">
        <v>1136</v>
      </c>
      <c r="E107" s="548"/>
      <c r="F107" s="548"/>
      <c r="G107" s="565"/>
      <c r="H107" s="566"/>
      <c r="I107" s="551" t="s">
        <v>1077</v>
      </c>
      <c r="J107" s="551"/>
      <c r="K107" s="551"/>
      <c r="L107" s="551"/>
      <c r="N107" s="285"/>
    </row>
    <row r="108" spans="2:14" ht="23.25" x14ac:dyDescent="0.25">
      <c r="B108" s="552" t="s">
        <v>1116</v>
      </c>
      <c r="C108" s="554" t="s">
        <v>1137</v>
      </c>
      <c r="D108" s="554" t="s">
        <v>1138</v>
      </c>
      <c r="E108" s="567" t="s">
        <v>1139</v>
      </c>
      <c r="F108" s="567" t="s">
        <v>1140</v>
      </c>
      <c r="G108" s="567" t="s">
        <v>1195</v>
      </c>
      <c r="H108" s="553" t="s">
        <v>841</v>
      </c>
      <c r="I108" s="553" t="str">
        <f>"ENV_ACT~"&amp;I107</f>
        <v>ENV_ACT~CO2SP</v>
      </c>
      <c r="J108" s="551" t="s">
        <v>952</v>
      </c>
      <c r="K108" s="551" t="s">
        <v>877</v>
      </c>
      <c r="L108" s="551" t="s">
        <v>1203</v>
      </c>
    </row>
    <row r="109" spans="2:14" x14ac:dyDescent="0.25">
      <c r="B109" s="99" t="s">
        <v>1075</v>
      </c>
      <c r="C109" t="s">
        <v>1198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110" zoomScale="85" zoomScaleNormal="85" workbookViewId="0">
      <selection activeCell="I138" sqref="I138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615</v>
      </c>
    </row>
    <row r="3" spans="1:10" ht="16.5" thickTop="1" x14ac:dyDescent="0.25"/>
    <row r="4" spans="1:10" x14ac:dyDescent="0.25">
      <c r="B4" s="58" t="s">
        <v>616</v>
      </c>
      <c r="C4" s="60" t="s">
        <v>617</v>
      </c>
      <c r="D4" s="21" t="s">
        <v>678</v>
      </c>
      <c r="E4" s="43">
        <v>1.3012729844413011</v>
      </c>
      <c r="F4" s="21" t="s">
        <v>679</v>
      </c>
    </row>
    <row r="5" spans="1:10" x14ac:dyDescent="0.25">
      <c r="B5" s="58" t="s">
        <v>618</v>
      </c>
      <c r="C5" s="60">
        <v>2010</v>
      </c>
    </row>
    <row r="7" spans="1:10" ht="18" thickBot="1" x14ac:dyDescent="0.35">
      <c r="B7" s="22" t="s">
        <v>675</v>
      </c>
    </row>
    <row r="8" spans="1:10" ht="16.5" thickTop="1" x14ac:dyDescent="0.25">
      <c r="B8" s="407"/>
      <c r="C8" s="408"/>
      <c r="D8" s="408" t="s">
        <v>619</v>
      </c>
      <c r="E8" s="408" t="s">
        <v>620</v>
      </c>
      <c r="F8" s="408" t="s">
        <v>621</v>
      </c>
      <c r="G8" s="408" t="s">
        <v>622</v>
      </c>
      <c r="H8" s="408" t="s">
        <v>623</v>
      </c>
      <c r="I8" s="408" t="s">
        <v>676</v>
      </c>
      <c r="J8" s="409" t="s">
        <v>515</v>
      </c>
    </row>
    <row r="9" spans="1:10" x14ac:dyDescent="0.25">
      <c r="B9" s="70"/>
      <c r="C9" s="81"/>
      <c r="D9" s="81" t="s">
        <v>624</v>
      </c>
      <c r="E9" s="81" t="s">
        <v>625</v>
      </c>
      <c r="F9" s="81"/>
      <c r="G9" s="81"/>
      <c r="H9" s="81"/>
      <c r="I9" s="81"/>
      <c r="J9" s="410"/>
    </row>
    <row r="10" spans="1:10" x14ac:dyDescent="0.25">
      <c r="B10" s="80" t="s">
        <v>228</v>
      </c>
      <c r="C10" s="59" t="s">
        <v>243</v>
      </c>
      <c r="D10" s="59" t="s">
        <v>626</v>
      </c>
      <c r="E10" s="59">
        <v>98</v>
      </c>
      <c r="F10" s="59" t="s">
        <v>627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628</v>
      </c>
    </row>
    <row r="11" spans="1:10" x14ac:dyDescent="0.25">
      <c r="B11" s="55"/>
      <c r="C11" s="59" t="s">
        <v>629</v>
      </c>
      <c r="D11" s="59" t="s">
        <v>626</v>
      </c>
      <c r="E11" s="59">
        <v>43.89</v>
      </c>
      <c r="F11" s="59" t="s">
        <v>627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630</v>
      </c>
    </row>
    <row r="12" spans="1:10" x14ac:dyDescent="0.25">
      <c r="B12" s="58"/>
      <c r="C12" s="59" t="s">
        <v>631</v>
      </c>
      <c r="D12" s="59" t="s">
        <v>626</v>
      </c>
      <c r="E12" s="59">
        <v>340</v>
      </c>
      <c r="F12" s="59" t="s">
        <v>627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628</v>
      </c>
    </row>
    <row r="13" spans="1:10" x14ac:dyDescent="0.25">
      <c r="B13" s="58"/>
      <c r="C13" s="59" t="s">
        <v>632</v>
      </c>
      <c r="D13" s="59" t="s">
        <v>633</v>
      </c>
      <c r="E13" s="59">
        <v>9.5000000000000001E-2</v>
      </c>
      <c r="F13" s="59" t="s">
        <v>627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628</v>
      </c>
    </row>
    <row r="14" spans="1:10" x14ac:dyDescent="0.25">
      <c r="B14" s="58"/>
      <c r="C14" s="59" t="s">
        <v>634</v>
      </c>
      <c r="D14" s="59" t="s">
        <v>626</v>
      </c>
      <c r="E14" s="59">
        <v>90.02</v>
      </c>
      <c r="F14" s="59" t="s">
        <v>627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630</v>
      </c>
    </row>
    <row r="15" spans="1:10" x14ac:dyDescent="0.25">
      <c r="B15" s="58"/>
      <c r="C15" s="59" t="s">
        <v>635</v>
      </c>
      <c r="D15" s="59" t="s">
        <v>626</v>
      </c>
      <c r="E15" s="59">
        <v>77.83</v>
      </c>
      <c r="F15" s="59" t="s">
        <v>627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630</v>
      </c>
    </row>
    <row r="16" spans="1:10" x14ac:dyDescent="0.25">
      <c r="B16" s="58"/>
      <c r="C16" s="59" t="s">
        <v>636</v>
      </c>
      <c r="D16" s="59" t="s">
        <v>626</v>
      </c>
      <c r="E16" s="59">
        <v>1175</v>
      </c>
      <c r="F16" s="59" t="s">
        <v>627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628</v>
      </c>
    </row>
    <row r="17" spans="2:10" x14ac:dyDescent="0.25">
      <c r="B17" s="58"/>
      <c r="C17" s="59" t="s">
        <v>245</v>
      </c>
      <c r="D17" s="59" t="s">
        <v>626</v>
      </c>
      <c r="E17" s="59">
        <v>50</v>
      </c>
      <c r="F17" s="59" t="s">
        <v>627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628</v>
      </c>
    </row>
    <row r="18" spans="2:10" x14ac:dyDescent="0.25">
      <c r="B18" s="58"/>
      <c r="C18" s="59" t="s">
        <v>637</v>
      </c>
      <c r="D18" s="59" t="s">
        <v>626</v>
      </c>
      <c r="E18" s="59">
        <v>490.53</v>
      </c>
      <c r="F18" s="59" t="s">
        <v>627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630</v>
      </c>
    </row>
    <row r="19" spans="2:10" x14ac:dyDescent="0.25">
      <c r="B19" s="58"/>
      <c r="C19" s="59" t="s">
        <v>638</v>
      </c>
      <c r="D19" s="59" t="s">
        <v>626</v>
      </c>
      <c r="E19" s="59">
        <v>5800</v>
      </c>
      <c r="F19" s="59" t="s">
        <v>627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628</v>
      </c>
    </row>
    <row r="20" spans="2:10" x14ac:dyDescent="0.25">
      <c r="B20" s="58"/>
      <c r="C20" s="59" t="s">
        <v>639</v>
      </c>
      <c r="D20" s="59" t="s">
        <v>626</v>
      </c>
      <c r="E20" s="59">
        <v>648</v>
      </c>
      <c r="F20" s="59" t="s">
        <v>627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628</v>
      </c>
    </row>
    <row r="21" spans="2:10" x14ac:dyDescent="0.25">
      <c r="B21" s="80" t="s">
        <v>640</v>
      </c>
      <c r="C21" s="59" t="s">
        <v>641</v>
      </c>
      <c r="D21" s="59" t="s">
        <v>626</v>
      </c>
      <c r="E21" s="59">
        <v>9.25</v>
      </c>
      <c r="F21" s="59" t="s">
        <v>627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628</v>
      </c>
    </row>
    <row r="22" spans="2:10" x14ac:dyDescent="0.25">
      <c r="B22" s="58"/>
      <c r="C22" s="59" t="s">
        <v>642</v>
      </c>
      <c r="D22" s="59" t="s">
        <v>626</v>
      </c>
      <c r="E22" s="59">
        <v>5</v>
      </c>
      <c r="F22" s="59" t="s">
        <v>627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628</v>
      </c>
    </row>
    <row r="23" spans="2:10" x14ac:dyDescent="0.25">
      <c r="B23" s="58"/>
      <c r="C23" s="59" t="s">
        <v>643</v>
      </c>
      <c r="D23" s="59" t="s">
        <v>626</v>
      </c>
      <c r="E23" s="59">
        <v>13.25</v>
      </c>
      <c r="F23" s="59" t="s">
        <v>627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628</v>
      </c>
    </row>
    <row r="24" spans="2:10" x14ac:dyDescent="0.25">
      <c r="B24" s="80" t="s">
        <v>644</v>
      </c>
      <c r="C24" s="59" t="s">
        <v>645</v>
      </c>
      <c r="D24" s="59" t="s">
        <v>646</v>
      </c>
      <c r="E24" s="59">
        <v>37.700000000000003</v>
      </c>
      <c r="F24" s="59" t="s">
        <v>627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628</v>
      </c>
    </row>
    <row r="25" spans="2:10" x14ac:dyDescent="0.25">
      <c r="B25" s="58"/>
      <c r="C25" s="59" t="s">
        <v>647</v>
      </c>
      <c r="D25" s="59"/>
      <c r="E25" s="59"/>
      <c r="F25" s="59" t="s">
        <v>627</v>
      </c>
      <c r="G25" s="411">
        <v>2011</v>
      </c>
      <c r="H25" s="59">
        <v>7.5574381672222009</v>
      </c>
      <c r="I25" s="416">
        <f>H25*E25</f>
        <v>0</v>
      </c>
      <c r="J25" s="412" t="s">
        <v>628</v>
      </c>
    </row>
    <row r="26" spans="2:10" x14ac:dyDescent="0.25">
      <c r="B26" s="58"/>
      <c r="C26" s="59" t="s">
        <v>648</v>
      </c>
      <c r="D26" s="413" t="s">
        <v>649</v>
      </c>
      <c r="E26" s="59">
        <v>15</v>
      </c>
      <c r="F26" s="59" t="s">
        <v>627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628</v>
      </c>
    </row>
    <row r="27" spans="2:10" x14ac:dyDescent="0.25">
      <c r="B27" s="58"/>
      <c r="C27" s="59" t="s">
        <v>650</v>
      </c>
      <c r="D27" s="413" t="s">
        <v>649</v>
      </c>
      <c r="E27" s="59">
        <v>-31.8</v>
      </c>
      <c r="F27" s="59" t="s">
        <v>627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628</v>
      </c>
    </row>
    <row r="33" spans="2:9" ht="18" thickBot="1" x14ac:dyDescent="0.35">
      <c r="B33" s="22" t="s">
        <v>651</v>
      </c>
    </row>
    <row r="34" spans="2:9" ht="16.5" thickTop="1" x14ac:dyDescent="0.25">
      <c r="B34" s="407"/>
      <c r="C34" s="408"/>
      <c r="D34" s="408" t="s">
        <v>652</v>
      </c>
      <c r="E34" s="408" t="s">
        <v>619</v>
      </c>
      <c r="F34" s="408" t="s">
        <v>7</v>
      </c>
      <c r="G34" s="408"/>
      <c r="H34" s="408" t="s">
        <v>7</v>
      </c>
      <c r="I34" s="409" t="s">
        <v>653</v>
      </c>
    </row>
    <row r="35" spans="2:9" x14ac:dyDescent="0.25">
      <c r="B35" s="70"/>
      <c r="C35" s="81"/>
      <c r="D35" s="81"/>
      <c r="E35" s="81"/>
      <c r="F35" s="81" t="s">
        <v>654</v>
      </c>
      <c r="G35" s="81"/>
      <c r="H35" s="414" t="s">
        <v>655</v>
      </c>
      <c r="I35" s="410"/>
    </row>
    <row r="36" spans="2:9" x14ac:dyDescent="0.25">
      <c r="B36" s="58" t="s">
        <v>656</v>
      </c>
      <c r="C36" s="59" t="s">
        <v>243</v>
      </c>
      <c r="D36" s="59" t="s">
        <v>657</v>
      </c>
      <c r="E36" s="59" t="s">
        <v>658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659</v>
      </c>
    </row>
    <row r="37" spans="2:9" x14ac:dyDescent="0.25">
      <c r="B37" s="58"/>
      <c r="C37" s="59" t="s">
        <v>641</v>
      </c>
      <c r="D37" s="59" t="s">
        <v>660</v>
      </c>
      <c r="E37" s="59" t="s">
        <v>658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659</v>
      </c>
    </row>
    <row r="38" spans="2:9" x14ac:dyDescent="0.25">
      <c r="B38" s="58"/>
      <c r="C38" s="59" t="s">
        <v>631</v>
      </c>
      <c r="D38" s="59" t="s">
        <v>657</v>
      </c>
      <c r="E38" s="59" t="s">
        <v>658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659</v>
      </c>
    </row>
    <row r="39" spans="2:9" x14ac:dyDescent="0.25">
      <c r="B39" s="58"/>
      <c r="C39" s="59" t="s">
        <v>642</v>
      </c>
      <c r="D39" s="59" t="s">
        <v>660</v>
      </c>
      <c r="E39" s="59" t="s">
        <v>658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659</v>
      </c>
    </row>
    <row r="40" spans="2:9" x14ac:dyDescent="0.25">
      <c r="B40" s="58"/>
      <c r="C40" s="59" t="s">
        <v>643</v>
      </c>
      <c r="D40" s="59" t="s">
        <v>660</v>
      </c>
      <c r="E40" s="59" t="s">
        <v>658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659</v>
      </c>
    </row>
    <row r="41" spans="2:9" x14ac:dyDescent="0.25">
      <c r="B41" s="58"/>
      <c r="C41" s="59" t="s">
        <v>632</v>
      </c>
      <c r="D41" s="59" t="s">
        <v>657</v>
      </c>
      <c r="E41" s="59" t="s">
        <v>661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659</v>
      </c>
    </row>
    <row r="42" spans="2:9" x14ac:dyDescent="0.25">
      <c r="B42" s="58"/>
      <c r="C42" s="59" t="s">
        <v>636</v>
      </c>
      <c r="D42" s="59" t="s">
        <v>657</v>
      </c>
      <c r="E42" s="59" t="s">
        <v>658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659</v>
      </c>
    </row>
    <row r="43" spans="2:9" x14ac:dyDescent="0.25">
      <c r="B43" s="58"/>
      <c r="C43" s="59" t="s">
        <v>245</v>
      </c>
      <c r="D43" s="59" t="s">
        <v>657</v>
      </c>
      <c r="E43" s="59" t="s">
        <v>658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659</v>
      </c>
    </row>
    <row r="44" spans="2:9" x14ac:dyDescent="0.25">
      <c r="B44" s="58"/>
      <c r="C44" s="59" t="s">
        <v>638</v>
      </c>
      <c r="D44" s="59" t="s">
        <v>657</v>
      </c>
      <c r="E44" s="59" t="s">
        <v>658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659</v>
      </c>
    </row>
    <row r="45" spans="2:9" x14ac:dyDescent="0.25">
      <c r="B45" s="58"/>
      <c r="C45" s="59" t="s">
        <v>639</v>
      </c>
      <c r="D45" s="59" t="s">
        <v>657</v>
      </c>
      <c r="E45" s="59" t="s">
        <v>658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659</v>
      </c>
    </row>
    <row r="46" spans="2:9" x14ac:dyDescent="0.25">
      <c r="B46" s="58" t="s">
        <v>644</v>
      </c>
      <c r="C46" s="59" t="s">
        <v>645</v>
      </c>
      <c r="D46" s="59" t="s">
        <v>657</v>
      </c>
      <c r="E46" s="59" t="s">
        <v>662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659</v>
      </c>
    </row>
    <row r="47" spans="2:9" x14ac:dyDescent="0.25">
      <c r="B47" s="58"/>
      <c r="C47" s="59" t="s">
        <v>648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659</v>
      </c>
    </row>
    <row r="48" spans="2:9" x14ac:dyDescent="0.25">
      <c r="B48" s="58"/>
      <c r="C48" s="59" t="s">
        <v>650</v>
      </c>
      <c r="D48" s="59" t="s">
        <v>657</v>
      </c>
      <c r="E48" s="59" t="s">
        <v>658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659</v>
      </c>
    </row>
    <row r="49" spans="2:9" x14ac:dyDescent="0.25">
      <c r="B49" s="58"/>
      <c r="C49" s="59" t="s">
        <v>663</v>
      </c>
      <c r="D49" s="59"/>
      <c r="E49" s="59"/>
      <c r="F49" s="59"/>
      <c r="G49" s="59" t="e">
        <f t="shared" si="1"/>
        <v>#N/A</v>
      </c>
      <c r="H49" s="59"/>
      <c r="I49" s="60" t="s">
        <v>659</v>
      </c>
    </row>
    <row r="50" spans="2:9" x14ac:dyDescent="0.25">
      <c r="B50" s="58"/>
      <c r="C50" s="59" t="s">
        <v>664</v>
      </c>
      <c r="D50" s="59"/>
      <c r="E50" s="59"/>
      <c r="F50" s="59"/>
      <c r="G50" s="59" t="e">
        <f t="shared" si="1"/>
        <v>#N/A</v>
      </c>
      <c r="H50" s="59"/>
      <c r="I50" s="60" t="s">
        <v>659</v>
      </c>
    </row>
    <row r="51" spans="2:9" x14ac:dyDescent="0.25">
      <c r="B51" s="58"/>
      <c r="C51" s="59" t="s">
        <v>665</v>
      </c>
      <c r="D51" s="59"/>
      <c r="E51" s="59"/>
      <c r="F51" s="59"/>
      <c r="G51" s="59" t="e">
        <f t="shared" si="1"/>
        <v>#N/A</v>
      </c>
      <c r="H51" s="59"/>
      <c r="I51" s="60" t="s">
        <v>659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680</v>
      </c>
    </row>
    <row r="55" spans="2:9" ht="18" thickBot="1" x14ac:dyDescent="0.35">
      <c r="B55" s="22" t="s">
        <v>666</v>
      </c>
    </row>
    <row r="56" spans="2:9" ht="16.5" thickTop="1" x14ac:dyDescent="0.25">
      <c r="B56" s="80"/>
      <c r="C56" s="83"/>
      <c r="D56" s="83" t="s">
        <v>652</v>
      </c>
      <c r="E56" s="83" t="s">
        <v>619</v>
      </c>
      <c r="F56" s="83" t="s">
        <v>9</v>
      </c>
      <c r="G56" s="83"/>
      <c r="H56" s="83" t="s">
        <v>9</v>
      </c>
      <c r="I56" s="84" t="s">
        <v>667</v>
      </c>
    </row>
    <row r="57" spans="2:9" x14ac:dyDescent="0.25">
      <c r="B57" s="70"/>
      <c r="C57" s="81"/>
      <c r="D57" s="81"/>
      <c r="E57" s="81"/>
      <c r="F57" s="81" t="s">
        <v>654</v>
      </c>
      <c r="G57" s="81"/>
      <c r="H57" s="81" t="s">
        <v>668</v>
      </c>
      <c r="I57" s="410"/>
    </row>
    <row r="58" spans="2:9" x14ac:dyDescent="0.25">
      <c r="B58" s="58" t="s">
        <v>656</v>
      </c>
      <c r="C58" s="59" t="s">
        <v>629</v>
      </c>
      <c r="D58" s="59" t="s">
        <v>657</v>
      </c>
      <c r="E58" s="59" t="s">
        <v>658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630</v>
      </c>
    </row>
    <row r="59" spans="2:9" x14ac:dyDescent="0.25">
      <c r="B59" s="58"/>
      <c r="C59" s="59" t="s">
        <v>641</v>
      </c>
      <c r="D59" s="59" t="s">
        <v>660</v>
      </c>
      <c r="E59" s="59" t="s">
        <v>658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630</v>
      </c>
    </row>
    <row r="60" spans="2:9" x14ac:dyDescent="0.25">
      <c r="B60" s="58"/>
      <c r="C60" s="59" t="s">
        <v>631</v>
      </c>
      <c r="D60" s="59" t="s">
        <v>657</v>
      </c>
      <c r="E60" s="59" t="s">
        <v>658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642</v>
      </c>
      <c r="D61" s="59" t="s">
        <v>660</v>
      </c>
      <c r="E61" s="59" t="s">
        <v>658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643</v>
      </c>
      <c r="D62" s="59" t="s">
        <v>660</v>
      </c>
      <c r="E62" s="59" t="s">
        <v>658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632</v>
      </c>
      <c r="D63" s="59" t="s">
        <v>657</v>
      </c>
      <c r="E63" s="59" t="s">
        <v>661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635</v>
      </c>
      <c r="D64" s="59" t="s">
        <v>657</v>
      </c>
      <c r="E64" s="59" t="s">
        <v>658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245</v>
      </c>
      <c r="D65" s="59" t="s">
        <v>657</v>
      </c>
      <c r="E65" s="59" t="s">
        <v>658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638</v>
      </c>
      <c r="D66" s="59" t="s">
        <v>657</v>
      </c>
      <c r="E66" s="59" t="s">
        <v>658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639</v>
      </c>
      <c r="D67" s="59" t="s">
        <v>657</v>
      </c>
      <c r="E67" s="59" t="s">
        <v>658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644</v>
      </c>
      <c r="C68" s="59" t="s">
        <v>645</v>
      </c>
      <c r="D68" s="59" t="s">
        <v>657</v>
      </c>
      <c r="E68" s="59" t="s">
        <v>662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648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650</v>
      </c>
      <c r="D70" s="59" t="s">
        <v>657</v>
      </c>
      <c r="E70" s="59" t="s">
        <v>658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663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664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665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680</v>
      </c>
    </row>
    <row r="77" spans="2:9" ht="18" thickBot="1" x14ac:dyDescent="0.35">
      <c r="B77" s="22" t="s">
        <v>669</v>
      </c>
    </row>
    <row r="78" spans="2:9" ht="16.5" thickTop="1" x14ac:dyDescent="0.25">
      <c r="B78" s="407"/>
      <c r="C78" s="408"/>
      <c r="D78" s="408" t="s">
        <v>652</v>
      </c>
      <c r="E78" s="408" t="s">
        <v>619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654</v>
      </c>
      <c r="G79" s="81"/>
      <c r="H79" s="81" t="s">
        <v>668</v>
      </c>
      <c r="I79" s="410"/>
    </row>
    <row r="80" spans="2:9" x14ac:dyDescent="0.25">
      <c r="B80" s="58" t="s">
        <v>656</v>
      </c>
      <c r="C80" s="59" t="s">
        <v>243</v>
      </c>
      <c r="D80" s="59" t="s">
        <v>657</v>
      </c>
      <c r="E80" s="59" t="s">
        <v>658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670</v>
      </c>
    </row>
    <row r="81" spans="2:9" x14ac:dyDescent="0.25">
      <c r="B81" s="58"/>
      <c r="C81" s="59" t="s">
        <v>641</v>
      </c>
      <c r="D81" s="59" t="s">
        <v>660</v>
      </c>
      <c r="E81" s="59" t="s">
        <v>658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670</v>
      </c>
    </row>
    <row r="82" spans="2:9" x14ac:dyDescent="0.25">
      <c r="B82" s="58"/>
      <c r="C82" s="59" t="s">
        <v>631</v>
      </c>
      <c r="D82" s="59" t="s">
        <v>657</v>
      </c>
      <c r="E82" s="59" t="s">
        <v>658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670</v>
      </c>
    </row>
    <row r="83" spans="2:9" x14ac:dyDescent="0.25">
      <c r="B83" s="58"/>
      <c r="C83" s="59" t="s">
        <v>642</v>
      </c>
      <c r="D83" s="59" t="s">
        <v>660</v>
      </c>
      <c r="E83" s="59" t="s">
        <v>658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670</v>
      </c>
    </row>
    <row r="84" spans="2:9" x14ac:dyDescent="0.25">
      <c r="B84" s="58"/>
      <c r="C84" s="59" t="s">
        <v>643</v>
      </c>
      <c r="D84" s="59" t="s">
        <v>660</v>
      </c>
      <c r="E84" s="59" t="s">
        <v>658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670</v>
      </c>
    </row>
    <row r="85" spans="2:9" x14ac:dyDescent="0.25">
      <c r="B85" s="58"/>
      <c r="C85" s="59" t="s">
        <v>632</v>
      </c>
      <c r="D85" s="59" t="s">
        <v>657</v>
      </c>
      <c r="E85" s="59" t="s">
        <v>661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670</v>
      </c>
    </row>
    <row r="86" spans="2:9" x14ac:dyDescent="0.25">
      <c r="B86" s="58"/>
      <c r="C86" s="59" t="s">
        <v>636</v>
      </c>
      <c r="D86" s="59" t="s">
        <v>657</v>
      </c>
      <c r="E86" s="59" t="s">
        <v>658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670</v>
      </c>
    </row>
    <row r="87" spans="2:9" x14ac:dyDescent="0.25">
      <c r="B87" s="58"/>
      <c r="C87" s="59" t="s">
        <v>245</v>
      </c>
      <c r="D87" s="59" t="s">
        <v>657</v>
      </c>
      <c r="E87" s="59" t="s">
        <v>658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670</v>
      </c>
    </row>
    <row r="88" spans="2:9" x14ac:dyDescent="0.25">
      <c r="B88" s="58"/>
      <c r="C88" s="59" t="s">
        <v>638</v>
      </c>
      <c r="D88" s="59" t="s">
        <v>657</v>
      </c>
      <c r="E88" s="59" t="s">
        <v>658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670</v>
      </c>
    </row>
    <row r="89" spans="2:9" x14ac:dyDescent="0.25">
      <c r="B89" s="58"/>
      <c r="C89" s="59" t="s">
        <v>639</v>
      </c>
      <c r="D89" s="59" t="s">
        <v>657</v>
      </c>
      <c r="E89" s="59" t="s">
        <v>658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670</v>
      </c>
    </row>
    <row r="90" spans="2:9" x14ac:dyDescent="0.25">
      <c r="B90" s="58" t="s">
        <v>644</v>
      </c>
      <c r="C90" s="59" t="s">
        <v>645</v>
      </c>
      <c r="D90" s="59" t="s">
        <v>657</v>
      </c>
      <c r="E90" s="59" t="s">
        <v>662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670</v>
      </c>
    </row>
    <row r="91" spans="2:9" x14ac:dyDescent="0.25">
      <c r="B91" s="58"/>
      <c r="C91" s="59" t="s">
        <v>648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670</v>
      </c>
    </row>
    <row r="92" spans="2:9" x14ac:dyDescent="0.25">
      <c r="B92" s="58"/>
      <c r="C92" s="59" t="s">
        <v>650</v>
      </c>
      <c r="D92" s="59" t="s">
        <v>657</v>
      </c>
      <c r="E92" s="59" t="s">
        <v>658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670</v>
      </c>
    </row>
    <row r="93" spans="2:9" x14ac:dyDescent="0.25">
      <c r="B93" s="58"/>
      <c r="C93" s="59" t="s">
        <v>663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664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665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1255</v>
      </c>
    </row>
    <row r="99" spans="2:9" ht="18" thickBot="1" x14ac:dyDescent="0.35">
      <c r="B99" s="22" t="s">
        <v>671</v>
      </c>
    </row>
    <row r="100" spans="2:9" ht="16.5" thickTop="1" x14ac:dyDescent="0.25">
      <c r="B100" s="407"/>
      <c r="C100" s="408"/>
      <c r="D100" s="408" t="s">
        <v>652</v>
      </c>
      <c r="E100" s="408" t="s">
        <v>619</v>
      </c>
      <c r="F100" s="408" t="s">
        <v>672</v>
      </c>
      <c r="G100" s="408"/>
      <c r="H100" s="408" t="s">
        <v>672</v>
      </c>
      <c r="I100" s="409" t="s">
        <v>673</v>
      </c>
    </row>
    <row r="101" spans="2:9" x14ac:dyDescent="0.25">
      <c r="B101" s="70"/>
      <c r="C101" s="81"/>
      <c r="D101" s="81"/>
      <c r="E101" s="81"/>
      <c r="F101" s="81" t="s">
        <v>654</v>
      </c>
      <c r="G101" s="81"/>
      <c r="H101" s="81" t="s">
        <v>668</v>
      </c>
      <c r="I101" s="410"/>
    </row>
    <row r="102" spans="2:9" x14ac:dyDescent="0.25">
      <c r="B102" s="58" t="s">
        <v>656</v>
      </c>
      <c r="C102" s="59" t="s">
        <v>629</v>
      </c>
      <c r="D102" s="59" t="s">
        <v>657</v>
      </c>
      <c r="E102" s="59" t="s">
        <v>658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641</v>
      </c>
      <c r="D103" s="59" t="s">
        <v>660</v>
      </c>
      <c r="E103" s="59" t="s">
        <v>658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631</v>
      </c>
      <c r="D104" s="59" t="s">
        <v>657</v>
      </c>
      <c r="E104" s="59" t="s">
        <v>658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642</v>
      </c>
      <c r="D105" s="59" t="s">
        <v>660</v>
      </c>
      <c r="E105" s="59" t="s">
        <v>658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643</v>
      </c>
      <c r="D106" s="59" t="s">
        <v>660</v>
      </c>
      <c r="E106" s="59" t="s">
        <v>658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632</v>
      </c>
      <c r="D107" s="59" t="s">
        <v>657</v>
      </c>
      <c r="E107" s="59" t="s">
        <v>661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634</v>
      </c>
      <c r="D108" s="59" t="s">
        <v>657</v>
      </c>
      <c r="E108" s="59" t="s">
        <v>658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637</v>
      </c>
      <c r="D109" s="59" t="s">
        <v>657</v>
      </c>
      <c r="E109" s="59" t="s">
        <v>658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638</v>
      </c>
      <c r="D110" s="59" t="s">
        <v>657</v>
      </c>
      <c r="E110" s="59" t="s">
        <v>658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635</v>
      </c>
      <c r="D111" s="59" t="s">
        <v>657</v>
      </c>
      <c r="E111" s="59" t="s">
        <v>658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644</v>
      </c>
      <c r="C112" s="59" t="s">
        <v>645</v>
      </c>
      <c r="D112" s="59" t="s">
        <v>657</v>
      </c>
      <c r="E112" s="59" t="s">
        <v>662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650</v>
      </c>
      <c r="D114" s="59" t="s">
        <v>657</v>
      </c>
      <c r="E114" s="59" t="s">
        <v>658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663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664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665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674</v>
      </c>
      <c r="C121" s="408" t="s">
        <v>7</v>
      </c>
      <c r="D121" s="408" t="s">
        <v>9</v>
      </c>
      <c r="E121" s="408" t="s">
        <v>155</v>
      </c>
      <c r="F121" s="409" t="s">
        <v>672</v>
      </c>
    </row>
    <row r="122" spans="2:9" x14ac:dyDescent="0.25">
      <c r="B122" s="58" t="s">
        <v>677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1237</v>
      </c>
    </row>
    <row r="123" spans="2:9" x14ac:dyDescent="0.25">
      <c r="B123" s="58" t="s">
        <v>1238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681</v>
      </c>
    </row>
    <row r="126" spans="2:9" x14ac:dyDescent="0.25">
      <c r="G126">
        <v>1.3</v>
      </c>
      <c r="H126" t="s">
        <v>1072</v>
      </c>
    </row>
    <row r="127" spans="2:9" x14ac:dyDescent="0.25">
      <c r="B127" s="32" t="s">
        <v>1000</v>
      </c>
      <c r="G127">
        <v>1.4059999999999999</v>
      </c>
      <c r="H127" t="s">
        <v>1163</v>
      </c>
    </row>
    <row r="128" spans="2:9" x14ac:dyDescent="0.25">
      <c r="B128" s="45" t="s">
        <v>1235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1136</v>
      </c>
      <c r="C132" s="575"/>
      <c r="D132" s="575"/>
    </row>
    <row r="133" spans="2:10" x14ac:dyDescent="0.25">
      <c r="B133" s="575" t="s">
        <v>1116</v>
      </c>
      <c r="C133" s="575" t="s">
        <v>1218</v>
      </c>
      <c r="D133" s="575">
        <v>2017</v>
      </c>
    </row>
    <row r="134" spans="2:10" x14ac:dyDescent="0.25">
      <c r="B134" s="287" t="s">
        <v>166</v>
      </c>
      <c r="C134" s="21" t="s">
        <v>1236</v>
      </c>
      <c r="D134" s="88">
        <f>C123</f>
        <v>2058.2266036821152</v>
      </c>
    </row>
    <row r="135" spans="2:10" x14ac:dyDescent="0.25">
      <c r="B135" s="287" t="s">
        <v>168</v>
      </c>
      <c r="C135" s="21" t="s">
        <v>1236</v>
      </c>
      <c r="D135" s="88">
        <f>D134</f>
        <v>2058.2266036821152</v>
      </c>
      <c r="F135" s="21" t="s">
        <v>1239</v>
      </c>
    </row>
    <row r="136" spans="2:10" x14ac:dyDescent="0.25">
      <c r="B136" s="287" t="s">
        <v>171</v>
      </c>
      <c r="C136" s="21" t="s">
        <v>1236</v>
      </c>
      <c r="D136" s="88">
        <f>D123</f>
        <v>3435.5226418380635</v>
      </c>
    </row>
    <row r="137" spans="2:10" x14ac:dyDescent="0.25">
      <c r="B137" s="287" t="s">
        <v>175</v>
      </c>
      <c r="C137" s="21" t="s">
        <v>1236</v>
      </c>
      <c r="D137" s="88">
        <f>F123</f>
        <v>3317.6835267331317</v>
      </c>
    </row>
    <row r="138" spans="2:10" x14ac:dyDescent="0.25">
      <c r="B138" s="287" t="s">
        <v>177</v>
      </c>
      <c r="C138" s="21" t="s">
        <v>1236</v>
      </c>
      <c r="D138" s="88">
        <f>E123+I138</f>
        <v>3024.8128184733596</v>
      </c>
      <c r="F138" s="21" t="s">
        <v>1253</v>
      </c>
      <c r="I138" s="21">
        <f>Scrap!B24</f>
        <v>2000</v>
      </c>
      <c r="J138" s="21" t="s">
        <v>440</v>
      </c>
    </row>
    <row r="139" spans="2:10" x14ac:dyDescent="0.25">
      <c r="B139" s="287" t="s">
        <v>490</v>
      </c>
      <c r="C139" s="21" t="s">
        <v>1236</v>
      </c>
      <c r="D139" s="88">
        <f>D134</f>
        <v>2058.2266036821152</v>
      </c>
    </row>
    <row r="140" spans="2:10" x14ac:dyDescent="0.25">
      <c r="B140" t="s">
        <v>492</v>
      </c>
      <c r="C140" s="21" t="s">
        <v>1236</v>
      </c>
      <c r="D140" s="88">
        <f>D136</f>
        <v>3435.5226418380635</v>
      </c>
    </row>
    <row r="141" spans="2:10" x14ac:dyDescent="0.25">
      <c r="B141" t="s">
        <v>493</v>
      </c>
      <c r="C141" s="21" t="s">
        <v>1236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opLeftCell="A36" zoomScale="70" zoomScaleNormal="70" workbookViewId="0">
      <selection activeCell="E75" sqref="E75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1002</v>
      </c>
    </row>
    <row r="2" spans="1:10" ht="16.5" thickTop="1" x14ac:dyDescent="0.25"/>
    <row r="3" spans="1:10" x14ac:dyDescent="0.25">
      <c r="A3" s="58" t="s">
        <v>1003</v>
      </c>
      <c r="B3" s="60">
        <v>2010</v>
      </c>
    </row>
    <row r="4" spans="1:10" x14ac:dyDescent="0.25">
      <c r="A4" s="58" t="s">
        <v>616</v>
      </c>
      <c r="B4" s="499" t="s">
        <v>617</v>
      </c>
    </row>
    <row r="5" spans="1:10" x14ac:dyDescent="0.25">
      <c r="H5" s="21" t="s">
        <v>1241</v>
      </c>
    </row>
    <row r="6" spans="1:10" x14ac:dyDescent="0.25">
      <c r="A6" s="32" t="s">
        <v>1004</v>
      </c>
    </row>
    <row r="7" spans="1:10" x14ac:dyDescent="0.25">
      <c r="A7" s="407" t="s">
        <v>121</v>
      </c>
      <c r="B7" s="23" t="s">
        <v>1005</v>
      </c>
      <c r="C7" s="24" t="s">
        <v>515</v>
      </c>
      <c r="D7" s="24" t="s">
        <v>1006</v>
      </c>
      <c r="E7" s="24" t="s">
        <v>1007</v>
      </c>
      <c r="F7" s="24" t="s">
        <v>616</v>
      </c>
      <c r="G7" s="24" t="s">
        <v>1008</v>
      </c>
      <c r="H7" s="24" t="s">
        <v>623</v>
      </c>
      <c r="I7" s="24" t="s">
        <v>652</v>
      </c>
      <c r="J7" s="25" t="s">
        <v>1009</v>
      </c>
    </row>
    <row r="8" spans="1:10" x14ac:dyDescent="0.25">
      <c r="B8" s="58" t="s">
        <v>1010</v>
      </c>
      <c r="C8" s="59" t="s">
        <v>1011</v>
      </c>
      <c r="D8" s="59" t="s">
        <v>1012</v>
      </c>
      <c r="E8" s="59">
        <v>2000</v>
      </c>
      <c r="F8" s="59" t="s">
        <v>627</v>
      </c>
      <c r="G8" s="59">
        <v>148</v>
      </c>
      <c r="H8" s="59">
        <v>5.914974034351558</v>
      </c>
      <c r="I8" s="59" t="s">
        <v>1013</v>
      </c>
      <c r="J8" s="415">
        <f t="shared" ref="J8:J20" si="0">G8*H8</f>
        <v>875.4161570840306</v>
      </c>
    </row>
    <row r="9" spans="1:10" x14ac:dyDescent="0.25">
      <c r="A9" s="58"/>
      <c r="B9" s="58" t="s">
        <v>1010</v>
      </c>
      <c r="C9" s="59" t="s">
        <v>1011</v>
      </c>
      <c r="D9" s="59" t="s">
        <v>1012</v>
      </c>
      <c r="E9" s="59">
        <v>2000</v>
      </c>
      <c r="F9" s="59" t="s">
        <v>627</v>
      </c>
      <c r="G9" s="59">
        <v>275</v>
      </c>
      <c r="H9" s="59">
        <v>5.914974034351558</v>
      </c>
      <c r="I9" s="59" t="s">
        <v>1013</v>
      </c>
      <c r="J9" s="415">
        <f t="shared" si="0"/>
        <v>1626.6178594466785</v>
      </c>
    </row>
    <row r="10" spans="1:10" x14ac:dyDescent="0.25">
      <c r="A10" s="58"/>
      <c r="B10" s="58" t="s">
        <v>353</v>
      </c>
      <c r="C10" s="59" t="s">
        <v>1011</v>
      </c>
      <c r="D10" s="59" t="s">
        <v>1014</v>
      </c>
      <c r="E10" s="59">
        <v>2000</v>
      </c>
      <c r="F10" s="59" t="s">
        <v>627</v>
      </c>
      <c r="G10" s="59">
        <v>100</v>
      </c>
      <c r="H10" s="59">
        <v>5.914974034351558</v>
      </c>
      <c r="I10" s="59" t="s">
        <v>1013</v>
      </c>
      <c r="J10" s="415">
        <f t="shared" si="0"/>
        <v>591.49740343515577</v>
      </c>
    </row>
    <row r="11" spans="1:10" x14ac:dyDescent="0.25">
      <c r="A11" s="58"/>
      <c r="B11" s="58" t="s">
        <v>1015</v>
      </c>
      <c r="C11" s="59" t="s">
        <v>1011</v>
      </c>
      <c r="D11" s="59" t="s">
        <v>1012</v>
      </c>
      <c r="E11" s="59">
        <v>2000</v>
      </c>
      <c r="F11" s="59" t="s">
        <v>627</v>
      </c>
      <c r="G11" s="59">
        <v>143</v>
      </c>
      <c r="H11" s="59">
        <v>5.914974034351558</v>
      </c>
      <c r="I11" s="59" t="s">
        <v>1013</v>
      </c>
      <c r="J11" s="415">
        <f t="shared" si="0"/>
        <v>845.84128691227284</v>
      </c>
    </row>
    <row r="12" spans="1:10" x14ac:dyDescent="0.25">
      <c r="A12" s="58"/>
      <c r="B12" s="58" t="s">
        <v>1016</v>
      </c>
      <c r="C12" s="59" t="s">
        <v>1011</v>
      </c>
      <c r="D12" s="59" t="s">
        <v>1012</v>
      </c>
      <c r="E12" s="59">
        <v>2000</v>
      </c>
      <c r="F12" s="59" t="s">
        <v>627</v>
      </c>
      <c r="G12" s="59">
        <v>145</v>
      </c>
      <c r="H12" s="59">
        <v>5.914974034351558</v>
      </c>
      <c r="I12" s="59" t="s">
        <v>1013</v>
      </c>
      <c r="J12" s="415">
        <f t="shared" si="0"/>
        <v>857.6712349809759</v>
      </c>
    </row>
    <row r="13" spans="1:10" x14ac:dyDescent="0.25">
      <c r="A13" s="58"/>
      <c r="B13" s="58" t="s">
        <v>1017</v>
      </c>
      <c r="C13" s="59" t="s">
        <v>1011</v>
      </c>
      <c r="D13" s="59" t="s">
        <v>1012</v>
      </c>
      <c r="E13" s="59">
        <v>2000</v>
      </c>
      <c r="F13" s="59" t="s">
        <v>627</v>
      </c>
      <c r="G13" s="59">
        <v>122</v>
      </c>
      <c r="H13" s="59">
        <v>5.914974034351558</v>
      </c>
      <c r="I13" s="59" t="s">
        <v>1013</v>
      </c>
      <c r="J13" s="415">
        <f t="shared" si="0"/>
        <v>721.62683219089013</v>
      </c>
    </row>
    <row r="14" spans="1:10" x14ac:dyDescent="0.25">
      <c r="A14" s="58"/>
      <c r="B14" s="58" t="s">
        <v>1018</v>
      </c>
      <c r="C14" s="59" t="s">
        <v>1011</v>
      </c>
      <c r="D14" s="59" t="s">
        <v>1012</v>
      </c>
      <c r="E14" s="59">
        <v>2000</v>
      </c>
      <c r="F14" s="59" t="s">
        <v>627</v>
      </c>
      <c r="G14" s="59">
        <v>98</v>
      </c>
      <c r="H14" s="59">
        <v>5.914974034351558</v>
      </c>
      <c r="I14" s="59" t="s">
        <v>1013</v>
      </c>
      <c r="J14" s="415">
        <f t="shared" si="0"/>
        <v>579.66745536645271</v>
      </c>
    </row>
    <row r="15" spans="1:10" x14ac:dyDescent="0.25">
      <c r="A15" s="58"/>
      <c r="B15" s="58" t="s">
        <v>1019</v>
      </c>
      <c r="C15" s="59" t="s">
        <v>1011</v>
      </c>
      <c r="D15" s="59" t="s">
        <v>1012</v>
      </c>
      <c r="E15" s="59">
        <v>2000</v>
      </c>
      <c r="F15" s="59" t="s">
        <v>627</v>
      </c>
      <c r="G15" s="59">
        <v>320</v>
      </c>
      <c r="H15" s="59">
        <v>5.914974034351558</v>
      </c>
      <c r="I15" s="59" t="s">
        <v>1013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1011</v>
      </c>
      <c r="D16" s="59" t="s">
        <v>1014</v>
      </c>
      <c r="E16" s="59">
        <v>2000</v>
      </c>
      <c r="F16" s="59" t="s">
        <v>627</v>
      </c>
      <c r="G16" s="59">
        <v>80</v>
      </c>
      <c r="H16" s="59">
        <v>5.914974034351558</v>
      </c>
      <c r="I16" s="59" t="s">
        <v>1013</v>
      </c>
      <c r="J16" s="415">
        <f t="shared" si="0"/>
        <v>473.19792274812465</v>
      </c>
    </row>
    <row r="17" spans="1:10" x14ac:dyDescent="0.25">
      <c r="A17" s="58"/>
      <c r="B17" s="58" t="s">
        <v>1020</v>
      </c>
      <c r="C17" s="59" t="s">
        <v>1011</v>
      </c>
      <c r="D17" s="59" t="s">
        <v>1012</v>
      </c>
      <c r="E17" s="59">
        <v>2010</v>
      </c>
      <c r="F17" s="59" t="s">
        <v>804</v>
      </c>
      <c r="G17" s="59">
        <v>273</v>
      </c>
      <c r="H17" s="59">
        <v>9.7120768109592781</v>
      </c>
      <c r="I17" s="59" t="s">
        <v>1013</v>
      </c>
      <c r="J17" s="415">
        <f t="shared" si="0"/>
        <v>2651.396969391883</v>
      </c>
    </row>
    <row r="18" spans="1:10" x14ac:dyDescent="0.25">
      <c r="A18" s="58"/>
      <c r="B18" s="58" t="s">
        <v>1021</v>
      </c>
      <c r="C18" s="59" t="s">
        <v>1011</v>
      </c>
      <c r="D18" s="59" t="s">
        <v>1012</v>
      </c>
      <c r="E18" s="59">
        <v>2010</v>
      </c>
      <c r="F18" s="59" t="s">
        <v>804</v>
      </c>
      <c r="G18" s="59">
        <v>500</v>
      </c>
      <c r="H18" s="59">
        <v>9.7120768109592781</v>
      </c>
      <c r="I18" s="59" t="s">
        <v>1013</v>
      </c>
      <c r="J18" s="415">
        <f t="shared" si="0"/>
        <v>4856.0384054796386</v>
      </c>
    </row>
    <row r="19" spans="1:10" x14ac:dyDescent="0.25">
      <c r="A19" s="58"/>
      <c r="B19" s="58" t="s">
        <v>190</v>
      </c>
      <c r="C19" s="59" t="s">
        <v>1011</v>
      </c>
      <c r="D19" s="59" t="s">
        <v>1012</v>
      </c>
      <c r="E19" s="59">
        <v>2010</v>
      </c>
      <c r="F19" s="59" t="s">
        <v>804</v>
      </c>
      <c r="G19" s="59">
        <v>200</v>
      </c>
      <c r="H19" s="59">
        <v>9.7120768109592781</v>
      </c>
      <c r="I19" s="59" t="s">
        <v>1013</v>
      </c>
      <c r="J19" s="415">
        <f t="shared" si="0"/>
        <v>1942.4153621918556</v>
      </c>
    </row>
    <row r="20" spans="1:10" x14ac:dyDescent="0.25">
      <c r="A20" s="58"/>
      <c r="B20" s="58" t="s">
        <v>1022</v>
      </c>
      <c r="C20" s="59" t="s">
        <v>1011</v>
      </c>
      <c r="D20" s="59" t="s">
        <v>1012</v>
      </c>
      <c r="E20" s="59">
        <v>2010</v>
      </c>
      <c r="F20" s="59" t="s">
        <v>804</v>
      </c>
      <c r="G20" s="59">
        <v>400</v>
      </c>
      <c r="H20" s="59">
        <v>9.7120768109592781</v>
      </c>
      <c r="I20" s="59" t="s">
        <v>1013</v>
      </c>
      <c r="J20" s="415">
        <f t="shared" si="0"/>
        <v>3884.8307243837112</v>
      </c>
    </row>
    <row r="22" spans="1:10" x14ac:dyDescent="0.25">
      <c r="A22" s="32" t="s">
        <v>1023</v>
      </c>
      <c r="H22" s="500"/>
    </row>
    <row r="23" spans="1:10" x14ac:dyDescent="0.25">
      <c r="A23" s="58" t="s">
        <v>7</v>
      </c>
      <c r="B23" s="59" t="s">
        <v>1024</v>
      </c>
      <c r="C23" s="59" t="s">
        <v>1025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711</v>
      </c>
      <c r="C24" s="59" t="s">
        <v>1026</v>
      </c>
      <c r="D24" s="59" t="s">
        <v>1027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1028</v>
      </c>
      <c r="C25" s="59" t="s">
        <v>1029</v>
      </c>
      <c r="D25" s="59"/>
      <c r="E25" s="59">
        <v>2000</v>
      </c>
      <c r="F25" s="59" t="s">
        <v>627</v>
      </c>
      <c r="G25" s="59">
        <v>362.6</v>
      </c>
      <c r="H25" s="59">
        <v>5.914974034351558</v>
      </c>
      <c r="I25" s="59" t="s">
        <v>1013</v>
      </c>
      <c r="J25" s="415">
        <f>G25*H25</f>
        <v>2144.7695848558751</v>
      </c>
    </row>
    <row r="26" spans="1:10" x14ac:dyDescent="0.25">
      <c r="A26" s="58" t="s">
        <v>9</v>
      </c>
      <c r="B26" s="59" t="s">
        <v>1030</v>
      </c>
      <c r="C26" s="59" t="s">
        <v>1029</v>
      </c>
      <c r="D26" s="59"/>
      <c r="E26" s="59">
        <v>2000</v>
      </c>
      <c r="F26" s="59" t="s">
        <v>627</v>
      </c>
      <c r="G26" s="59">
        <v>373.5</v>
      </c>
      <c r="H26" s="59">
        <v>5.914974034351558</v>
      </c>
      <c r="I26" s="59" t="s">
        <v>1013</v>
      </c>
      <c r="J26" s="415">
        <f>G26*H26</f>
        <v>2209.2428018303067</v>
      </c>
    </row>
    <row r="27" spans="1:10" x14ac:dyDescent="0.25">
      <c r="A27" s="58" t="s">
        <v>9</v>
      </c>
      <c r="B27" s="59" t="s">
        <v>1031</v>
      </c>
      <c r="C27" s="59" t="s">
        <v>1025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1032</v>
      </c>
      <c r="C28" s="59" t="s">
        <v>1029</v>
      </c>
      <c r="D28" s="59"/>
      <c r="E28" s="59">
        <v>2000</v>
      </c>
      <c r="F28" s="59" t="s">
        <v>627</v>
      </c>
      <c r="G28" s="59">
        <v>259.63</v>
      </c>
      <c r="H28" s="59">
        <v>5.914974034351558</v>
      </c>
      <c r="I28" s="59" t="s">
        <v>1013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1033</v>
      </c>
      <c r="C29" s="59" t="s">
        <v>1029</v>
      </c>
      <c r="D29" s="59"/>
      <c r="E29" s="59">
        <v>2000</v>
      </c>
      <c r="F29" s="59" t="s">
        <v>627</v>
      </c>
      <c r="G29" s="59">
        <v>334.67</v>
      </c>
      <c r="H29" s="59">
        <v>5.914974034351558</v>
      </c>
      <c r="I29" s="59" t="s">
        <v>1013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1034</v>
      </c>
      <c r="C30" s="59" t="s">
        <v>1029</v>
      </c>
      <c r="D30" s="59"/>
      <c r="E30" s="59">
        <v>2000</v>
      </c>
      <c r="F30" s="59" t="s">
        <v>627</v>
      </c>
      <c r="G30" s="59">
        <v>296.10000000000002</v>
      </c>
      <c r="H30" s="59">
        <v>5.914974034351558</v>
      </c>
      <c r="I30" s="59" t="s">
        <v>1013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1035</v>
      </c>
      <c r="C31" s="59" t="s">
        <v>1029</v>
      </c>
      <c r="D31" s="59"/>
      <c r="E31" s="59">
        <v>2000</v>
      </c>
      <c r="F31" s="59" t="s">
        <v>627</v>
      </c>
      <c r="G31" s="59">
        <v>232.37</v>
      </c>
      <c r="H31" s="59">
        <v>5.914974034351558</v>
      </c>
      <c r="I31" s="59" t="s">
        <v>1013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1036</v>
      </c>
      <c r="C32" s="59" t="s">
        <v>1029</v>
      </c>
      <c r="D32" s="59"/>
      <c r="E32" s="59">
        <v>2000</v>
      </c>
      <c r="F32" s="59" t="s">
        <v>627</v>
      </c>
      <c r="G32" s="59">
        <v>239.63</v>
      </c>
      <c r="H32" s="59">
        <v>5.914974034351558</v>
      </c>
      <c r="I32" s="59" t="s">
        <v>1013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1037</v>
      </c>
      <c r="C33" s="59" t="s">
        <v>1029</v>
      </c>
      <c r="D33" s="59"/>
      <c r="E33" s="59">
        <v>2000</v>
      </c>
      <c r="F33" s="59" t="s">
        <v>627</v>
      </c>
      <c r="G33" s="59">
        <v>263.47000000000003</v>
      </c>
      <c r="H33" s="59">
        <v>5.914974034351558</v>
      </c>
      <c r="I33" s="59" t="s">
        <v>1013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1038</v>
      </c>
      <c r="C34" s="59" t="s">
        <v>1025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1039</v>
      </c>
      <c r="C35" s="59" t="s">
        <v>1025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1026</v>
      </c>
      <c r="D36" s="59" t="s">
        <v>1027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1040</v>
      </c>
      <c r="B37" s="59" t="s">
        <v>1041</v>
      </c>
      <c r="C37" s="59" t="s">
        <v>1025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1040</v>
      </c>
      <c r="B38" s="59" t="s">
        <v>1042</v>
      </c>
      <c r="C38" s="59" t="s">
        <v>1025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1043</v>
      </c>
      <c r="C39" s="59" t="s">
        <v>1025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1044</v>
      </c>
      <c r="C40" s="59" t="s">
        <v>1025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1026</v>
      </c>
      <c r="D41" s="59" t="s">
        <v>1027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1045</v>
      </c>
      <c r="C42" s="59" t="s">
        <v>1029</v>
      </c>
      <c r="D42" s="59"/>
      <c r="E42" s="59">
        <v>2000</v>
      </c>
      <c r="F42" s="59" t="s">
        <v>627</v>
      </c>
      <c r="G42" s="59">
        <v>365.36</v>
      </c>
      <c r="H42" s="59">
        <v>5.914974034351558</v>
      </c>
      <c r="I42" s="59" t="s">
        <v>1013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1046</v>
      </c>
      <c r="C43" s="59" t="s">
        <v>1029</v>
      </c>
      <c r="D43" s="59"/>
      <c r="E43" s="59">
        <v>2000</v>
      </c>
      <c r="F43" s="59" t="s">
        <v>627</v>
      </c>
      <c r="G43" s="59">
        <v>365.45</v>
      </c>
      <c r="H43" s="59">
        <v>5.914974034351558</v>
      </c>
      <c r="I43" s="59" t="s">
        <v>1013</v>
      </c>
      <c r="J43" s="415">
        <f t="shared" si="2"/>
        <v>2161.627260853777</v>
      </c>
    </row>
    <row r="44" spans="1:10" x14ac:dyDescent="0.25">
      <c r="A44" s="58"/>
      <c r="B44" s="59" t="s">
        <v>1047</v>
      </c>
      <c r="C44" s="59" t="s">
        <v>1029</v>
      </c>
      <c r="D44" s="59"/>
      <c r="E44" s="59">
        <v>2000</v>
      </c>
      <c r="F44" s="59" t="s">
        <v>627</v>
      </c>
      <c r="G44" s="59">
        <v>231.85</v>
      </c>
      <c r="H44" s="59">
        <v>5.914974034351558</v>
      </c>
      <c r="I44" s="59" t="s">
        <v>1013</v>
      </c>
      <c r="J44" s="415">
        <f t="shared" si="2"/>
        <v>1371.3867298644086</v>
      </c>
    </row>
    <row r="45" spans="1:10" x14ac:dyDescent="0.25">
      <c r="A45" s="58"/>
      <c r="B45" s="59" t="s">
        <v>1048</v>
      </c>
      <c r="C45" s="59" t="s">
        <v>1029</v>
      </c>
      <c r="D45" s="59"/>
      <c r="E45" s="59">
        <v>2000</v>
      </c>
      <c r="F45" s="59" t="s">
        <v>627</v>
      </c>
      <c r="G45" s="59">
        <v>232.7</v>
      </c>
      <c r="H45" s="59">
        <v>5.914974034351558</v>
      </c>
      <c r="I45" s="59" t="s">
        <v>1013</v>
      </c>
      <c r="J45" s="415">
        <f t="shared" si="2"/>
        <v>1376.4144577936074</v>
      </c>
    </row>
    <row r="46" spans="1:10" x14ac:dyDescent="0.25">
      <c r="A46" s="58"/>
      <c r="B46" s="59" t="s">
        <v>1049</v>
      </c>
      <c r="C46" s="59" t="s">
        <v>1029</v>
      </c>
      <c r="D46" s="59"/>
      <c r="E46" s="59">
        <v>2000</v>
      </c>
      <c r="F46" s="59" t="s">
        <v>627</v>
      </c>
      <c r="G46" s="59">
        <v>292.32</v>
      </c>
      <c r="H46" s="59">
        <v>5.914974034351558</v>
      </c>
      <c r="I46" s="59" t="s">
        <v>1013</v>
      </c>
      <c r="J46" s="415">
        <f t="shared" si="2"/>
        <v>1729.0652097216473</v>
      </c>
    </row>
    <row r="47" spans="1:10" x14ac:dyDescent="0.25">
      <c r="A47" s="58"/>
      <c r="B47" s="59" t="s">
        <v>1050</v>
      </c>
      <c r="C47" s="59" t="s">
        <v>1029</v>
      </c>
      <c r="D47" s="59"/>
      <c r="E47" s="59">
        <v>2000</v>
      </c>
      <c r="F47" s="59" t="s">
        <v>627</v>
      </c>
      <c r="G47" s="59">
        <v>347.59</v>
      </c>
      <c r="H47" s="59">
        <v>5.914974034351558</v>
      </c>
      <c r="I47" s="59" t="s">
        <v>1013</v>
      </c>
      <c r="J47" s="415">
        <f t="shared" si="2"/>
        <v>2055.9858246002577</v>
      </c>
    </row>
    <row r="48" spans="1:10" x14ac:dyDescent="0.25">
      <c r="A48" s="58"/>
      <c r="B48" s="59" t="s">
        <v>1051</v>
      </c>
      <c r="C48" s="59" t="s">
        <v>1029</v>
      </c>
      <c r="D48" s="59"/>
      <c r="E48" s="59">
        <v>2000</v>
      </c>
      <c r="F48" s="59" t="s">
        <v>627</v>
      </c>
      <c r="G48" s="59">
        <v>257.24</v>
      </c>
      <c r="H48" s="59">
        <v>5.914974034351558</v>
      </c>
      <c r="I48" s="59" t="s">
        <v>1013</v>
      </c>
      <c r="J48" s="415">
        <f t="shared" si="2"/>
        <v>1521.5679205965948</v>
      </c>
    </row>
    <row r="49" spans="1:10" x14ac:dyDescent="0.25">
      <c r="A49" s="58" t="s">
        <v>1052</v>
      </c>
      <c r="B49" s="59" t="s">
        <v>1053</v>
      </c>
      <c r="C49" s="59" t="s">
        <v>1026</v>
      </c>
      <c r="D49" s="59" t="s">
        <v>1012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710</v>
      </c>
      <c r="C50" s="59" t="s">
        <v>1026</v>
      </c>
      <c r="D50" s="59" t="s">
        <v>1014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1054</v>
      </c>
      <c r="C51" s="59" t="s">
        <v>1026</v>
      </c>
      <c r="D51" s="59" t="s">
        <v>1014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1055</v>
      </c>
      <c r="C52" s="59" t="s">
        <v>1029</v>
      </c>
      <c r="D52" s="59"/>
      <c r="E52" s="59">
        <v>2000</v>
      </c>
      <c r="F52" s="59" t="s">
        <v>627</v>
      </c>
      <c r="G52" s="59">
        <v>173.68</v>
      </c>
      <c r="H52" s="59">
        <v>5.914974034351558</v>
      </c>
      <c r="I52" s="59" t="s">
        <v>1013</v>
      </c>
      <c r="J52" s="415">
        <f>G52*H52</f>
        <v>1027.3126902861786</v>
      </c>
    </row>
    <row r="53" spans="1:10" x14ac:dyDescent="0.25">
      <c r="A53" s="58"/>
      <c r="B53" s="59" t="s">
        <v>1056</v>
      </c>
      <c r="C53" s="59" t="s">
        <v>1029</v>
      </c>
      <c r="D53" s="59"/>
      <c r="E53" s="59">
        <v>2000</v>
      </c>
      <c r="F53" s="59" t="s">
        <v>627</v>
      </c>
      <c r="G53" s="59">
        <v>248.06</v>
      </c>
      <c r="H53" s="59">
        <v>5.914974034351558</v>
      </c>
      <c r="I53" s="59" t="s">
        <v>1013</v>
      </c>
      <c r="J53" s="415">
        <f>G53*H53</f>
        <v>1467.2684589612475</v>
      </c>
    </row>
    <row r="54" spans="1:10" x14ac:dyDescent="0.25">
      <c r="A54" s="58"/>
      <c r="B54" s="59" t="s">
        <v>1057</v>
      </c>
      <c r="C54" s="59" t="s">
        <v>1025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1058</v>
      </c>
      <c r="C55" s="59" t="s">
        <v>1025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1059</v>
      </c>
      <c r="C56" s="59" t="s">
        <v>1025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1060</v>
      </c>
      <c r="C57" s="59" t="s">
        <v>1026</v>
      </c>
      <c r="D57" s="59" t="s">
        <v>1027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1061</v>
      </c>
      <c r="C58" s="59" t="s">
        <v>1029</v>
      </c>
      <c r="D58" s="59"/>
      <c r="E58" s="59">
        <v>2000</v>
      </c>
      <c r="F58" s="59" t="s">
        <v>627</v>
      </c>
      <c r="G58" s="59">
        <v>243.64</v>
      </c>
      <c r="H58" s="59">
        <v>5.914974034351558</v>
      </c>
      <c r="I58" s="59" t="s">
        <v>1013</v>
      </c>
      <c r="J58" s="415">
        <f t="shared" ref="J58:J63" si="3">G58*H58</f>
        <v>1441.1242737294135</v>
      </c>
    </row>
    <row r="59" spans="1:10" x14ac:dyDescent="0.25">
      <c r="A59" s="58"/>
      <c r="B59" s="59" t="s">
        <v>1062</v>
      </c>
      <c r="C59" s="59" t="s">
        <v>1029</v>
      </c>
      <c r="D59" s="59"/>
      <c r="E59" s="59">
        <v>2000</v>
      </c>
      <c r="F59" s="59" t="s">
        <v>627</v>
      </c>
      <c r="G59" s="59">
        <v>198.05</v>
      </c>
      <c r="H59" s="59">
        <v>5.914974034351558</v>
      </c>
      <c r="I59" s="59" t="s">
        <v>1013</v>
      </c>
      <c r="J59" s="415">
        <f t="shared" si="3"/>
        <v>1171.4606075033262</v>
      </c>
    </row>
    <row r="60" spans="1:10" x14ac:dyDescent="0.25">
      <c r="A60" s="58"/>
      <c r="B60" s="59" t="s">
        <v>1063</v>
      </c>
      <c r="C60" s="59" t="s">
        <v>1029</v>
      </c>
      <c r="D60" s="59"/>
      <c r="E60" s="59">
        <v>2000</v>
      </c>
      <c r="F60" s="59" t="s">
        <v>627</v>
      </c>
      <c r="G60" s="59">
        <v>243.63</v>
      </c>
      <c r="H60" s="59">
        <v>5.914974034351558</v>
      </c>
      <c r="I60" s="59" t="s">
        <v>1013</v>
      </c>
      <c r="J60" s="415">
        <f t="shared" si="3"/>
        <v>1441.0651239890701</v>
      </c>
    </row>
    <row r="61" spans="1:10" x14ac:dyDescent="0.25">
      <c r="A61" s="58"/>
      <c r="B61" s="59" t="s">
        <v>1064</v>
      </c>
      <c r="C61" s="59" t="s">
        <v>1029</v>
      </c>
      <c r="D61" s="59"/>
      <c r="E61" s="59">
        <v>2000</v>
      </c>
      <c r="F61" s="59" t="s">
        <v>627</v>
      </c>
      <c r="G61" s="59">
        <v>196.48</v>
      </c>
      <c r="H61" s="59">
        <v>5.914974034351558</v>
      </c>
      <c r="I61" s="59" t="s">
        <v>1013</v>
      </c>
      <c r="J61" s="415">
        <f t="shared" si="3"/>
        <v>1162.1740982693941</v>
      </c>
    </row>
    <row r="62" spans="1:10" x14ac:dyDescent="0.25">
      <c r="A62" s="58"/>
      <c r="B62" s="59" t="s">
        <v>1065</v>
      </c>
      <c r="C62" s="59" t="s">
        <v>1029</v>
      </c>
      <c r="D62" s="59"/>
      <c r="E62" s="59">
        <v>2000</v>
      </c>
      <c r="F62" s="59" t="s">
        <v>627</v>
      </c>
      <c r="G62" s="59">
        <v>187.71</v>
      </c>
      <c r="H62" s="59">
        <v>5.914974034351558</v>
      </c>
      <c r="I62" s="59" t="s">
        <v>1013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1066</v>
      </c>
      <c r="C63" s="59" t="s">
        <v>1029</v>
      </c>
      <c r="D63" s="59"/>
      <c r="E63" s="59">
        <v>2000</v>
      </c>
      <c r="F63" s="59" t="s">
        <v>627</v>
      </c>
      <c r="G63" s="59">
        <v>344.39</v>
      </c>
      <c r="H63" s="59">
        <v>5.914974034351558</v>
      </c>
      <c r="I63" s="59" t="s">
        <v>1013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1067</v>
      </c>
    </row>
    <row r="66" spans="1:5" x14ac:dyDescent="0.25">
      <c r="A66" s="37" t="s">
        <v>1068</v>
      </c>
    </row>
    <row r="67" spans="1:5" x14ac:dyDescent="0.25">
      <c r="A67" s="37" t="s">
        <v>1069</v>
      </c>
    </row>
    <row r="70" spans="1:5" x14ac:dyDescent="0.25">
      <c r="B70" s="501" t="s">
        <v>707</v>
      </c>
      <c r="C70" s="502" t="s">
        <v>708</v>
      </c>
    </row>
    <row r="71" spans="1:5" x14ac:dyDescent="0.25">
      <c r="B71" s="70"/>
      <c r="C71" s="421" t="s">
        <v>709</v>
      </c>
      <c r="D71" s="21" t="s">
        <v>1240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1070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1071</v>
      </c>
    </row>
    <row r="83" spans="2:8" x14ac:dyDescent="0.25">
      <c r="B83" s="575" t="s">
        <v>1136</v>
      </c>
      <c r="C83" s="575"/>
      <c r="D83" s="575"/>
      <c r="G83">
        <v>1.3</v>
      </c>
      <c r="H83" t="s">
        <v>1072</v>
      </c>
    </row>
    <row r="84" spans="2:8" x14ac:dyDescent="0.25">
      <c r="B84" s="575" t="s">
        <v>1116</v>
      </c>
      <c r="C84" s="575" t="s">
        <v>1218</v>
      </c>
      <c r="D84" s="575">
        <v>2017</v>
      </c>
      <c r="G84">
        <v>1.4059999999999999</v>
      </c>
      <c r="H84" t="s">
        <v>1163</v>
      </c>
    </row>
    <row r="85" spans="2:8" x14ac:dyDescent="0.25">
      <c r="B85" s="287" t="s">
        <v>490</v>
      </c>
      <c r="C85" s="21" t="s">
        <v>952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492</v>
      </c>
      <c r="C86" s="21" t="s">
        <v>952</v>
      </c>
      <c r="D86" s="88">
        <f>D73</f>
        <v>3433.1135028649592</v>
      </c>
    </row>
    <row r="87" spans="2:8" x14ac:dyDescent="0.25">
      <c r="B87" t="s">
        <v>493</v>
      </c>
      <c r="C87" s="21" t="s">
        <v>952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544</v>
      </c>
    </row>
    <row r="5" spans="1:3" x14ac:dyDescent="0.25">
      <c r="B5" t="s">
        <v>545</v>
      </c>
      <c r="C5" t="s">
        <v>546</v>
      </c>
    </row>
    <row r="7" spans="1:3" x14ac:dyDescent="0.25">
      <c r="A7" s="18" t="s">
        <v>6</v>
      </c>
    </row>
    <row r="8" spans="1:3" x14ac:dyDescent="0.25">
      <c r="B8" t="s">
        <v>562</v>
      </c>
    </row>
    <row r="9" spans="1:3" x14ac:dyDescent="0.25">
      <c r="B9">
        <v>280</v>
      </c>
      <c r="C9" t="s">
        <v>561</v>
      </c>
    </row>
    <row r="10" spans="1:3" x14ac:dyDescent="0.25">
      <c r="B10">
        <v>120</v>
      </c>
      <c r="C10" t="s">
        <v>563</v>
      </c>
    </row>
    <row r="11" spans="1:3" x14ac:dyDescent="0.25">
      <c r="B11">
        <v>500</v>
      </c>
      <c r="C11" t="s">
        <v>564</v>
      </c>
    </row>
    <row r="12" spans="1:3" x14ac:dyDescent="0.25">
      <c r="B12" t="s">
        <v>195</v>
      </c>
      <c r="C12" t="s">
        <v>565</v>
      </c>
    </row>
    <row r="17" spans="2:3" x14ac:dyDescent="0.25">
      <c r="B17" s="18" t="s">
        <v>1207</v>
      </c>
    </row>
    <row r="18" spans="2:3" x14ac:dyDescent="0.25">
      <c r="B18" t="s">
        <v>1254</v>
      </c>
    </row>
    <row r="19" spans="2:3" x14ac:dyDescent="0.25">
      <c r="B19" t="s">
        <v>1206</v>
      </c>
    </row>
    <row r="20" spans="2:3" x14ac:dyDescent="0.25">
      <c r="B20" t="s">
        <v>1208</v>
      </c>
    </row>
    <row r="21" spans="2:3" x14ac:dyDescent="0.25">
      <c r="B21" s="18" t="s">
        <v>1210</v>
      </c>
      <c r="C21" s="18"/>
    </row>
    <row r="22" spans="2:3" x14ac:dyDescent="0.25">
      <c r="B22" s="18">
        <v>2</v>
      </c>
      <c r="C22" s="18" t="s">
        <v>1209</v>
      </c>
    </row>
    <row r="23" spans="2:3" x14ac:dyDescent="0.25">
      <c r="B23" s="18">
        <f>B22*1000</f>
        <v>2000</v>
      </c>
      <c r="C23" s="18" t="s">
        <v>440</v>
      </c>
    </row>
    <row r="24" spans="2:3" x14ac:dyDescent="0.25">
      <c r="B24" s="18">
        <f>B23</f>
        <v>2000</v>
      </c>
      <c r="C24" s="18" t="s">
        <v>872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40</v>
      </c>
      <c r="C1" s="20"/>
    </row>
    <row r="2" spans="2:11" ht="16.5" thickTop="1" x14ac:dyDescent="0.25"/>
    <row r="3" spans="2:11" ht="18" thickBot="1" x14ac:dyDescent="0.35">
      <c r="B3" s="22" t="s">
        <v>41</v>
      </c>
      <c r="C3" s="22"/>
    </row>
    <row r="4" spans="2:11" ht="16.5" thickTop="1" x14ac:dyDescent="0.25">
      <c r="B4" s="23" t="s">
        <v>42</v>
      </c>
      <c r="C4" s="24"/>
      <c r="D4" s="24" t="s">
        <v>7</v>
      </c>
      <c r="E4" s="24" t="s">
        <v>43</v>
      </c>
      <c r="F4" s="24" t="s">
        <v>44</v>
      </c>
      <c r="G4" s="24" t="s">
        <v>8</v>
      </c>
      <c r="H4" s="24" t="s">
        <v>45</v>
      </c>
      <c r="I4" s="24" t="s">
        <v>10</v>
      </c>
      <c r="J4" s="25" t="s">
        <v>3</v>
      </c>
    </row>
    <row r="5" spans="2:11" x14ac:dyDescent="0.25">
      <c r="B5" s="26" t="s">
        <v>46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47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48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49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50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51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52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53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54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55</v>
      </c>
      <c r="C15" s="22"/>
    </row>
    <row r="16" spans="2:11" ht="16.5" thickTop="1" x14ac:dyDescent="0.25">
      <c r="B16" s="23" t="s">
        <v>42</v>
      </c>
      <c r="C16" s="24"/>
      <c r="D16" s="24" t="s">
        <v>7</v>
      </c>
      <c r="E16" s="24" t="s">
        <v>43</v>
      </c>
      <c r="F16" s="24" t="s">
        <v>44</v>
      </c>
      <c r="G16" s="24" t="s">
        <v>8</v>
      </c>
      <c r="H16" s="24" t="s">
        <v>45</v>
      </c>
      <c r="I16" s="24" t="s">
        <v>10</v>
      </c>
      <c r="J16" s="25" t="s">
        <v>3</v>
      </c>
    </row>
    <row r="17" spans="2:14" x14ac:dyDescent="0.25">
      <c r="B17" s="26" t="s">
        <v>46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47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48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49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50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51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52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53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54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56</v>
      </c>
      <c r="C29" s="22"/>
      <c r="M29" s="37" t="s">
        <v>57</v>
      </c>
    </row>
    <row r="30" spans="2:14" ht="16.5" thickTop="1" x14ac:dyDescent="0.25">
      <c r="B30" s="23" t="s">
        <v>42</v>
      </c>
      <c r="C30" s="24"/>
      <c r="D30" s="24" t="s">
        <v>7</v>
      </c>
      <c r="E30" s="24" t="s">
        <v>43</v>
      </c>
      <c r="F30" s="24" t="s">
        <v>44</v>
      </c>
      <c r="G30" s="24" t="s">
        <v>8</v>
      </c>
      <c r="H30" s="24" t="s">
        <v>45</v>
      </c>
      <c r="I30" s="24" t="s">
        <v>10</v>
      </c>
      <c r="J30" s="25" t="s">
        <v>3</v>
      </c>
      <c r="M30" s="23" t="s">
        <v>58</v>
      </c>
      <c r="N30" s="25" t="s">
        <v>59</v>
      </c>
    </row>
    <row r="31" spans="2:14" x14ac:dyDescent="0.25">
      <c r="B31" s="26" t="s">
        <v>46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47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48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49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50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51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52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53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60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54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61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62</v>
      </c>
      <c r="N41" s="48">
        <f>[8]Production!AO22</f>
        <v>0.18573780613294916</v>
      </c>
    </row>
    <row r="42" spans="2:15" ht="16.5" thickTop="1" x14ac:dyDescent="0.25">
      <c r="B42" s="21" t="s">
        <v>63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64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65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66</v>
      </c>
      <c r="C48" s="22"/>
    </row>
    <row r="49" spans="2:21" ht="16.5" thickTop="1" x14ac:dyDescent="0.25">
      <c r="B49" s="23" t="s">
        <v>67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45</v>
      </c>
      <c r="I49" s="24" t="str">
        <f>I30</f>
        <v>Other-EAF</v>
      </c>
      <c r="J49" s="25" t="s">
        <v>3</v>
      </c>
      <c r="M49" s="23" t="s">
        <v>68</v>
      </c>
      <c r="N49" s="23" t="s">
        <v>69</v>
      </c>
      <c r="O49" s="23" t="s">
        <v>70</v>
      </c>
      <c r="P49" s="23" t="s">
        <v>71</v>
      </c>
      <c r="Q49" s="23" t="s">
        <v>72</v>
      </c>
      <c r="R49" s="23" t="s">
        <v>73</v>
      </c>
      <c r="S49" s="51" t="s">
        <v>74</v>
      </c>
      <c r="T49" s="51" t="s">
        <v>18</v>
      </c>
      <c r="U49" s="25" t="s">
        <v>3</v>
      </c>
    </row>
    <row r="50" spans="2:21" x14ac:dyDescent="0.25">
      <c r="B50" s="26" t="s">
        <v>75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75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76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76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77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77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78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78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79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79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80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80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81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81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82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83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84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85</v>
      </c>
      <c r="C62" s="22"/>
      <c r="K62" s="32"/>
      <c r="M62" s="50"/>
    </row>
    <row r="63" spans="2:21" ht="16.5" thickTop="1" x14ac:dyDescent="0.25">
      <c r="B63" s="23" t="s">
        <v>86</v>
      </c>
      <c r="C63" s="24"/>
      <c r="D63" s="24" t="s">
        <v>7</v>
      </c>
      <c r="E63" s="24" t="s">
        <v>43</v>
      </c>
      <c r="F63" s="24" t="s">
        <v>44</v>
      </c>
      <c r="G63" s="24" t="s">
        <v>8</v>
      </c>
      <c r="H63" s="24" t="s">
        <v>45</v>
      </c>
      <c r="I63" s="24" t="s">
        <v>10</v>
      </c>
      <c r="K63" s="32"/>
      <c r="M63" s="50"/>
    </row>
    <row r="64" spans="2:21" x14ac:dyDescent="0.25">
      <c r="B64" s="26" t="s">
        <v>87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88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89</v>
      </c>
      <c r="C67" s="24"/>
      <c r="D67" s="24" t="s">
        <v>7</v>
      </c>
      <c r="E67" s="24" t="s">
        <v>43</v>
      </c>
      <c r="F67" s="24" t="s">
        <v>44</v>
      </c>
      <c r="G67" s="24" t="s">
        <v>8</v>
      </c>
      <c r="H67" s="24" t="s">
        <v>45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90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91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92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93</v>
      </c>
      <c r="C72" s="24"/>
      <c r="D72" s="24" t="s">
        <v>7</v>
      </c>
      <c r="E72" s="24" t="s">
        <v>43</v>
      </c>
      <c r="F72" s="24" t="s">
        <v>44</v>
      </c>
      <c r="G72" s="24" t="s">
        <v>8</v>
      </c>
      <c r="H72" s="24" t="s">
        <v>45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94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95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96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97</v>
      </c>
      <c r="C79" s="24"/>
      <c r="D79" s="24" t="s">
        <v>27</v>
      </c>
      <c r="E79" s="24" t="s">
        <v>98</v>
      </c>
      <c r="F79" s="24" t="s">
        <v>99</v>
      </c>
      <c r="G79" s="24" t="s">
        <v>45</v>
      </c>
      <c r="H79" s="24" t="s">
        <v>100</v>
      </c>
      <c r="I79" s="25" t="s">
        <v>3</v>
      </c>
      <c r="J79" s="32"/>
      <c r="L79" s="50"/>
    </row>
    <row r="80" spans="2:13" x14ac:dyDescent="0.25">
      <c r="B80" s="26" t="s">
        <v>75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101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77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78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79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80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81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102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103</v>
      </c>
      <c r="C90" s="24"/>
      <c r="D90" s="24" t="s">
        <v>7</v>
      </c>
      <c r="E90" s="24" t="s">
        <v>43</v>
      </c>
      <c r="F90" s="24" t="s">
        <v>44</v>
      </c>
      <c r="G90" s="24" t="s">
        <v>8</v>
      </c>
      <c r="H90" s="24" t="s">
        <v>45</v>
      </c>
      <c r="I90" s="24" t="s">
        <v>10</v>
      </c>
    </row>
    <row r="91" spans="2:13" x14ac:dyDescent="0.25">
      <c r="B91" s="58" t="s">
        <v>104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105</v>
      </c>
      <c r="C93" s="24"/>
      <c r="D93" s="24" t="s">
        <v>7</v>
      </c>
      <c r="E93" s="24" t="s">
        <v>43</v>
      </c>
      <c r="F93" s="24" t="s">
        <v>44</v>
      </c>
      <c r="G93" s="24" t="s">
        <v>8</v>
      </c>
      <c r="H93" s="24" t="s">
        <v>45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106</v>
      </c>
      <c r="C103" s="22"/>
    </row>
    <row r="104" spans="2:10" ht="16.5" thickTop="1" x14ac:dyDescent="0.25">
      <c r="B104" s="37" t="s">
        <v>107</v>
      </c>
    </row>
    <row r="105" spans="2:10" x14ac:dyDescent="0.25">
      <c r="C105" s="24"/>
      <c r="D105" s="24" t="str">
        <f>D49</f>
        <v>BF-BOF</v>
      </c>
      <c r="E105" s="24" t="s">
        <v>43</v>
      </c>
      <c r="F105" s="24" t="s">
        <v>44</v>
      </c>
      <c r="G105" s="24" t="str">
        <f>G49</f>
        <v>Scrap-EAF</v>
      </c>
      <c r="H105" s="24" t="s">
        <v>45</v>
      </c>
      <c r="I105" s="24" t="str">
        <f>I49</f>
        <v>Other-EAF</v>
      </c>
      <c r="J105" s="25" t="s">
        <v>3</v>
      </c>
    </row>
    <row r="106" spans="2:10" x14ac:dyDescent="0.25">
      <c r="B106" s="23" t="s">
        <v>86</v>
      </c>
      <c r="C106" s="26" t="s">
        <v>87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88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89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90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91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92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93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94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95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108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109</v>
      </c>
      <c r="C118" s="26" t="s">
        <v>75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76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77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78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79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80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81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110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111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112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113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114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115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116</v>
      </c>
    </row>
    <row r="135" spans="2:12" ht="18" thickBot="1" x14ac:dyDescent="0.35">
      <c r="B135" s="22" t="s">
        <v>117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44</v>
      </c>
    </row>
    <row r="137" spans="2:12" x14ac:dyDescent="0.25">
      <c r="B137" s="80" t="s">
        <v>118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119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120</v>
      </c>
    </row>
    <row r="142" spans="2:12" ht="16.5" thickTop="1" x14ac:dyDescent="0.25"/>
    <row r="144" spans="2:12" x14ac:dyDescent="0.25">
      <c r="C144" s="80" t="s">
        <v>121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122</v>
      </c>
    </row>
    <row r="145" spans="2:16" x14ac:dyDescent="0.25">
      <c r="C145" s="58" t="s">
        <v>123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124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125</v>
      </c>
      <c r="O146" s="84" t="s">
        <v>126</v>
      </c>
      <c r="P146" s="21" t="s">
        <v>127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128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129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129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130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130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131</v>
      </c>
    </row>
    <row r="153" spans="2:16" x14ac:dyDescent="0.25">
      <c r="C153" s="37" t="s">
        <v>132</v>
      </c>
    </row>
    <row r="154" spans="2:16" x14ac:dyDescent="0.25">
      <c r="C154" s="37" t="s">
        <v>133</v>
      </c>
    </row>
    <row r="155" spans="2:16" x14ac:dyDescent="0.25">
      <c r="C155" s="87" t="s">
        <v>134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135</v>
      </c>
      <c r="I157" s="24" t="s">
        <v>10</v>
      </c>
      <c r="J157" s="25" t="s">
        <v>3</v>
      </c>
    </row>
    <row r="158" spans="2:16" x14ac:dyDescent="0.25">
      <c r="B158" s="23" t="s">
        <v>136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129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137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138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129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137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139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139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139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129</v>
      </c>
      <c r="D177" s="21" t="s">
        <v>139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130</v>
      </c>
      <c r="D178" s="21" t="s">
        <v>139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465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466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129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137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140</v>
      </c>
    </row>
    <row r="195" spans="2:11" x14ac:dyDescent="0.25">
      <c r="C195" s="21" t="s">
        <v>141</v>
      </c>
      <c r="D195" s="21" t="s">
        <v>142</v>
      </c>
      <c r="G195" s="21" t="s">
        <v>143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144</v>
      </c>
      <c r="D196" s="21">
        <v>27.8</v>
      </c>
      <c r="E196" s="21" t="s">
        <v>145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144</v>
      </c>
      <c r="D197" s="21">
        <v>28.2</v>
      </c>
      <c r="E197" s="21" t="s">
        <v>145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146</v>
      </c>
      <c r="D198" s="21">
        <v>3.6</v>
      </c>
      <c r="E198" s="21" t="s">
        <v>147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129</v>
      </c>
      <c r="C199" s="21" t="s">
        <v>148</v>
      </c>
      <c r="D199" s="21">
        <v>1</v>
      </c>
      <c r="E199" s="21" t="s">
        <v>149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150</v>
      </c>
      <c r="C200" s="21" t="s">
        <v>148</v>
      </c>
      <c r="D200" s="21">
        <v>1</v>
      </c>
      <c r="E200" s="21" t="s">
        <v>149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151</v>
      </c>
      <c r="C201" s="21" t="s">
        <v>152</v>
      </c>
      <c r="D201" s="21">
        <v>41.716000000000001</v>
      </c>
      <c r="E201" s="21" t="s">
        <v>153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122</v>
      </c>
      <c r="I203" s="21" t="s">
        <v>0</v>
      </c>
      <c r="J203" s="21" t="s">
        <v>154</v>
      </c>
      <c r="K203" s="21" t="s">
        <v>155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129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150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151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129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150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151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467</v>
      </c>
      <c r="M2" t="s">
        <v>467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611</v>
      </c>
    </row>
    <row r="5" spans="3:25" x14ac:dyDescent="0.25">
      <c r="C5" s="4" t="s">
        <v>366</v>
      </c>
      <c r="D5">
        <v>2.33</v>
      </c>
      <c r="E5">
        <v>2.34</v>
      </c>
      <c r="F5">
        <v>2.3199999999999998</v>
      </c>
      <c r="G5" t="s">
        <v>370</v>
      </c>
      <c r="I5" s="5"/>
      <c r="M5" s="6" t="s">
        <v>386</v>
      </c>
      <c r="V5" s="5"/>
      <c r="Y5" s="118" t="s">
        <v>612</v>
      </c>
    </row>
    <row r="6" spans="3:25" x14ac:dyDescent="0.25">
      <c r="C6" s="4" t="s">
        <v>366</v>
      </c>
      <c r="D6">
        <v>2.91</v>
      </c>
      <c r="E6">
        <v>3.01</v>
      </c>
      <c r="F6">
        <v>3</v>
      </c>
      <c r="G6" t="s">
        <v>368</v>
      </c>
      <c r="I6" s="5"/>
      <c r="M6" s="4"/>
      <c r="O6" t="s">
        <v>907</v>
      </c>
      <c r="V6" s="5"/>
    </row>
    <row r="7" spans="3:25" x14ac:dyDescent="0.25">
      <c r="C7" s="4" t="s">
        <v>367</v>
      </c>
      <c r="D7">
        <v>14.84</v>
      </c>
      <c r="E7">
        <v>14.71</v>
      </c>
      <c r="F7">
        <v>14.3</v>
      </c>
      <c r="G7" t="s">
        <v>373</v>
      </c>
      <c r="I7" s="5"/>
      <c r="M7" s="4" t="s">
        <v>908</v>
      </c>
      <c r="O7">
        <v>4493</v>
      </c>
      <c r="Q7" t="s">
        <v>909</v>
      </c>
      <c r="V7" s="5"/>
    </row>
    <row r="8" spans="3:25" x14ac:dyDescent="0.25">
      <c r="C8" s="4"/>
      <c r="I8" s="5"/>
      <c r="M8" s="4"/>
      <c r="O8" t="s">
        <v>385</v>
      </c>
      <c r="V8" s="5"/>
    </row>
    <row r="9" spans="3:25" x14ac:dyDescent="0.25">
      <c r="C9" s="4" t="s">
        <v>372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369</v>
      </c>
      <c r="I9" s="5"/>
      <c r="M9" s="4" t="s">
        <v>910</v>
      </c>
      <c r="O9">
        <v>3098</v>
      </c>
      <c r="P9" t="s">
        <v>911</v>
      </c>
      <c r="Q9" t="s">
        <v>912</v>
      </c>
      <c r="V9" s="5"/>
    </row>
    <row r="10" spans="3:25" x14ac:dyDescent="0.25">
      <c r="C10" s="4"/>
      <c r="D10" s="268"/>
      <c r="E10" s="268"/>
      <c r="F10" s="268"/>
      <c r="I10" s="5"/>
      <c r="M10" s="4" t="s">
        <v>913</v>
      </c>
      <c r="O10">
        <v>1393</v>
      </c>
      <c r="P10" t="s">
        <v>911</v>
      </c>
      <c r="Q10" t="s">
        <v>912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371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914</v>
      </c>
      <c r="N13" s="18"/>
      <c r="O13" s="466">
        <f>O7*1000000/(O9*1000)</f>
        <v>1450.2905100064559</v>
      </c>
      <c r="P13" s="18" t="s">
        <v>915</v>
      </c>
      <c r="Q13" s="18" t="s">
        <v>916</v>
      </c>
      <c r="V13" s="5"/>
    </row>
    <row r="14" spans="3:25" x14ac:dyDescent="0.25">
      <c r="M14" s="4"/>
      <c r="V14" s="5"/>
    </row>
    <row r="15" spans="3:25" x14ac:dyDescent="0.25">
      <c r="C15" t="s">
        <v>468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470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469</v>
      </c>
      <c r="I18" s="5"/>
      <c r="M18" s="4" t="s">
        <v>917</v>
      </c>
      <c r="V18" s="5"/>
    </row>
    <row r="19" spans="3:22" x14ac:dyDescent="0.25">
      <c r="C19" s="4">
        <v>2016</v>
      </c>
      <c r="D19" s="346">
        <v>6544</v>
      </c>
      <c r="E19" t="s">
        <v>469</v>
      </c>
      <c r="I19" s="5"/>
      <c r="M19" s="4"/>
      <c r="V19" s="5"/>
    </row>
    <row r="20" spans="3:22" x14ac:dyDescent="0.25">
      <c r="C20" s="4"/>
      <c r="I20" s="5"/>
      <c r="M20" s="4" t="s">
        <v>918</v>
      </c>
      <c r="P20">
        <v>16</v>
      </c>
      <c r="V20" s="5"/>
    </row>
    <row r="21" spans="3:22" x14ac:dyDescent="0.25">
      <c r="C21" s="4"/>
      <c r="I21" s="5"/>
      <c r="M21" s="117"/>
      <c r="N21" s="117" t="s">
        <v>915</v>
      </c>
      <c r="P21" t="s">
        <v>919</v>
      </c>
      <c r="V21" s="5"/>
    </row>
    <row r="22" spans="3:22" x14ac:dyDescent="0.25">
      <c r="C22" s="4" t="s">
        <v>471</v>
      </c>
      <c r="I22" s="5"/>
      <c r="M22" s="117" t="s">
        <v>920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472</v>
      </c>
      <c r="I23" s="5"/>
      <c r="M23" s="117" t="s">
        <v>135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473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691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688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689</v>
      </c>
    </row>
    <row r="38" spans="3:17" x14ac:dyDescent="0.25">
      <c r="C38" s="4"/>
      <c r="I38" t="s">
        <v>692</v>
      </c>
      <c r="M38" s="5"/>
      <c r="P38">
        <v>1.4</v>
      </c>
      <c r="Q38" t="s">
        <v>690</v>
      </c>
    </row>
    <row r="39" spans="3:17" x14ac:dyDescent="0.25">
      <c r="C39" s="4"/>
      <c r="I39" t="s">
        <v>693</v>
      </c>
      <c r="M39" s="5"/>
    </row>
    <row r="40" spans="3:17" x14ac:dyDescent="0.25">
      <c r="C40" s="4"/>
      <c r="I40" t="s">
        <v>694</v>
      </c>
      <c r="M40" s="5"/>
    </row>
    <row r="41" spans="3:17" x14ac:dyDescent="0.25">
      <c r="C41" s="4"/>
      <c r="I41" t="s">
        <v>695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999</v>
      </c>
    </row>
    <row r="79" spans="3:13" x14ac:dyDescent="0.25">
      <c r="D79" t="s">
        <v>609</v>
      </c>
    </row>
    <row r="94" spans="21:23" x14ac:dyDescent="0.25">
      <c r="V94" t="s">
        <v>613</v>
      </c>
    </row>
    <row r="95" spans="21:23" x14ac:dyDescent="0.25">
      <c r="U95" t="s">
        <v>325</v>
      </c>
      <c r="V95">
        <v>1072</v>
      </c>
      <c r="W95" t="s">
        <v>385</v>
      </c>
    </row>
    <row r="96" spans="21:23" x14ac:dyDescent="0.25">
      <c r="U96" t="s">
        <v>614</v>
      </c>
      <c r="V96">
        <v>1406</v>
      </c>
    </row>
    <row r="124" spans="3:3" x14ac:dyDescent="0.25">
      <c r="C124" t="s">
        <v>610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220</v>
      </c>
    </row>
    <row r="2" spans="1:46" x14ac:dyDescent="0.2">
      <c r="A2" s="13" t="s">
        <v>221</v>
      </c>
    </row>
    <row r="4" spans="1:46" ht="13.5" thickBot="1" x14ac:dyDescent="0.25">
      <c r="A4" s="13" t="s">
        <v>222</v>
      </c>
    </row>
    <row r="5" spans="1:46" x14ac:dyDescent="0.2">
      <c r="A5" s="603" t="s">
        <v>223</v>
      </c>
      <c r="B5" s="606" t="s">
        <v>224</v>
      </c>
      <c r="C5" s="595"/>
      <c r="D5" s="595"/>
      <c r="E5" s="596"/>
      <c r="F5" s="597" t="s">
        <v>225</v>
      </c>
      <c r="G5" s="595"/>
      <c r="H5" s="596"/>
      <c r="I5" s="595" t="s">
        <v>226</v>
      </c>
      <c r="J5" s="595"/>
      <c r="K5" s="595"/>
      <c r="L5" s="595"/>
      <c r="M5" s="595"/>
      <c r="N5" s="595"/>
      <c r="O5" s="595"/>
      <c r="P5" s="596"/>
      <c r="Q5" s="597" t="s">
        <v>227</v>
      </c>
      <c r="R5" s="595"/>
      <c r="S5" s="595"/>
      <c r="T5" s="595"/>
      <c r="U5" s="595"/>
      <c r="V5" s="595"/>
      <c r="W5" s="595"/>
      <c r="X5" s="596"/>
      <c r="Y5" s="595" t="s">
        <v>228</v>
      </c>
      <c r="Z5" s="595"/>
      <c r="AA5" s="595"/>
      <c r="AB5" s="598"/>
      <c r="AC5" s="606" t="s">
        <v>229</v>
      </c>
      <c r="AD5" s="595"/>
      <c r="AE5" s="595"/>
      <c r="AF5" s="595"/>
      <c r="AG5" s="137"/>
      <c r="AH5" s="137"/>
      <c r="AI5" s="138" t="s">
        <v>230</v>
      </c>
      <c r="AJ5" s="598" t="s">
        <v>231</v>
      </c>
      <c r="AK5" s="608"/>
      <c r="AL5" s="608"/>
      <c r="AM5" s="608"/>
      <c r="AN5" s="608"/>
      <c r="AO5" s="608"/>
      <c r="AP5" s="608"/>
      <c r="AQ5" s="608"/>
      <c r="AR5" s="608"/>
      <c r="AS5" s="608"/>
      <c r="AT5" s="602"/>
    </row>
    <row r="6" spans="1:46" s="151" customFormat="1" ht="26.25" customHeight="1" x14ac:dyDescent="0.2">
      <c r="A6" s="604"/>
      <c r="B6" s="139" t="s">
        <v>6</v>
      </c>
      <c r="C6" s="140" t="s">
        <v>232</v>
      </c>
      <c r="D6" s="139" t="s">
        <v>233</v>
      </c>
      <c r="E6" s="141" t="s">
        <v>234</v>
      </c>
      <c r="F6" s="142" t="s">
        <v>235</v>
      </c>
      <c r="G6" s="139" t="s">
        <v>236</v>
      </c>
      <c r="H6" s="143" t="s">
        <v>237</v>
      </c>
      <c r="I6" s="144" t="s">
        <v>6</v>
      </c>
      <c r="J6" s="145" t="s">
        <v>232</v>
      </c>
      <c r="K6" s="139" t="s">
        <v>238</v>
      </c>
      <c r="L6" s="139" t="s">
        <v>135</v>
      </c>
      <c r="M6" s="139" t="s">
        <v>234</v>
      </c>
      <c r="N6" s="139" t="s">
        <v>233</v>
      </c>
      <c r="O6" s="139" t="s">
        <v>239</v>
      </c>
      <c r="P6" s="146" t="s">
        <v>240</v>
      </c>
      <c r="Q6" s="142" t="s">
        <v>6</v>
      </c>
      <c r="R6" s="140" t="s">
        <v>232</v>
      </c>
      <c r="S6" s="139" t="s">
        <v>241</v>
      </c>
      <c r="T6" s="139" t="s">
        <v>242</v>
      </c>
      <c r="U6" s="139" t="s">
        <v>234</v>
      </c>
      <c r="V6" s="139" t="s">
        <v>233</v>
      </c>
      <c r="W6" s="139" t="s">
        <v>239</v>
      </c>
      <c r="X6" s="144" t="s">
        <v>240</v>
      </c>
      <c r="Y6" s="147" t="s">
        <v>243</v>
      </c>
      <c r="Z6" s="140" t="s">
        <v>13</v>
      </c>
      <c r="AA6" s="139" t="s">
        <v>244</v>
      </c>
      <c r="AB6" s="139" t="s">
        <v>245</v>
      </c>
      <c r="AC6" s="609" t="s">
        <v>246</v>
      </c>
      <c r="AD6" s="610"/>
      <c r="AE6" s="140" t="s">
        <v>247</v>
      </c>
      <c r="AF6" s="148" t="s">
        <v>248</v>
      </c>
      <c r="AG6" s="149" t="s">
        <v>249</v>
      </c>
      <c r="AH6" s="141" t="s">
        <v>250</v>
      </c>
      <c r="AI6" s="150" t="s">
        <v>230</v>
      </c>
      <c r="AJ6" s="147" t="s">
        <v>251</v>
      </c>
      <c r="AK6" s="139" t="s">
        <v>252</v>
      </c>
      <c r="AL6" s="139" t="s">
        <v>253</v>
      </c>
      <c r="AM6" s="139" t="s">
        <v>14</v>
      </c>
      <c r="AN6" s="139" t="s">
        <v>254</v>
      </c>
      <c r="AO6" s="139" t="s">
        <v>255</v>
      </c>
      <c r="AP6" s="139" t="s">
        <v>256</v>
      </c>
      <c r="AQ6" s="139" t="s">
        <v>257</v>
      </c>
      <c r="AR6" s="139" t="s">
        <v>258</v>
      </c>
      <c r="AS6" s="139" t="s">
        <v>3</v>
      </c>
      <c r="AT6" s="141" t="s">
        <v>259</v>
      </c>
    </row>
    <row r="7" spans="1:46" x14ac:dyDescent="0.2">
      <c r="A7" s="605"/>
      <c r="B7" s="152" t="s">
        <v>260</v>
      </c>
      <c r="C7" s="152" t="s">
        <v>260</v>
      </c>
      <c r="D7" s="152" t="s">
        <v>261</v>
      </c>
      <c r="E7" s="153" t="s">
        <v>260</v>
      </c>
      <c r="F7" s="154"/>
      <c r="G7" s="152"/>
      <c r="H7" s="153"/>
      <c r="I7" s="155" t="s">
        <v>260</v>
      </c>
      <c r="J7" s="156" t="s">
        <v>260</v>
      </c>
      <c r="K7" s="152" t="s">
        <v>260</v>
      </c>
      <c r="L7" s="152" t="s">
        <v>260</v>
      </c>
      <c r="M7" s="152" t="s">
        <v>260</v>
      </c>
      <c r="N7" s="152" t="s">
        <v>262</v>
      </c>
      <c r="O7" s="152" t="s">
        <v>263</v>
      </c>
      <c r="P7" s="157" t="s">
        <v>264</v>
      </c>
      <c r="Q7" s="154" t="s">
        <v>260</v>
      </c>
      <c r="R7" s="152" t="s">
        <v>260</v>
      </c>
      <c r="S7" s="152" t="s">
        <v>260</v>
      </c>
      <c r="T7" s="152" t="s">
        <v>260</v>
      </c>
      <c r="U7" s="152" t="s">
        <v>260</v>
      </c>
      <c r="V7" s="152" t="s">
        <v>262</v>
      </c>
      <c r="W7" s="152" t="s">
        <v>263</v>
      </c>
      <c r="X7" s="155" t="s">
        <v>264</v>
      </c>
      <c r="Y7" s="156" t="s">
        <v>265</v>
      </c>
      <c r="Z7" s="152" t="s">
        <v>265</v>
      </c>
      <c r="AA7" s="152" t="s">
        <v>265</v>
      </c>
      <c r="AB7" s="152" t="s">
        <v>265</v>
      </c>
      <c r="AC7" s="152" t="s">
        <v>266</v>
      </c>
      <c r="AD7" s="152" t="s">
        <v>267</v>
      </c>
      <c r="AE7" s="152" t="s">
        <v>267</v>
      </c>
      <c r="AF7" s="158" t="s">
        <v>267</v>
      </c>
      <c r="AG7" s="159" t="s">
        <v>268</v>
      </c>
      <c r="AH7" s="160" t="s">
        <v>269</v>
      </c>
      <c r="AI7" s="161" t="s">
        <v>270</v>
      </c>
      <c r="AJ7" s="156" t="s">
        <v>271</v>
      </c>
      <c r="AK7" s="152" t="s">
        <v>271</v>
      </c>
      <c r="AL7" s="152" t="s">
        <v>271</v>
      </c>
      <c r="AM7" s="152" t="s">
        <v>271</v>
      </c>
      <c r="AN7" s="152" t="s">
        <v>271</v>
      </c>
      <c r="AO7" s="152" t="s">
        <v>271</v>
      </c>
      <c r="AP7" s="152" t="s">
        <v>271</v>
      </c>
      <c r="AQ7" s="152" t="s">
        <v>271</v>
      </c>
      <c r="AR7" s="152" t="s">
        <v>271</v>
      </c>
      <c r="AS7" s="152" t="s">
        <v>271</v>
      </c>
      <c r="AT7" s="160" t="s">
        <v>272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273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599" t="s">
        <v>223</v>
      </c>
      <c r="B21" s="601" t="s">
        <v>274</v>
      </c>
      <c r="C21" s="602"/>
      <c r="D21" s="597" t="s">
        <v>275</v>
      </c>
      <c r="E21" s="595"/>
      <c r="F21" s="596"/>
      <c r="G21" s="597" t="s">
        <v>276</v>
      </c>
      <c r="H21" s="596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0"/>
      <c r="B22" s="162" t="s">
        <v>277</v>
      </c>
      <c r="C22" s="221" t="s">
        <v>278</v>
      </c>
      <c r="D22" s="162" t="s">
        <v>279</v>
      </c>
      <c r="E22" s="222" t="s">
        <v>280</v>
      </c>
      <c r="F22" s="221" t="s">
        <v>281</v>
      </c>
      <c r="G22" s="162" t="s">
        <v>282</v>
      </c>
      <c r="H22" s="221" t="s">
        <v>283</v>
      </c>
      <c r="AE22" s="238"/>
    </row>
    <row r="23" spans="1:47" x14ac:dyDescent="0.2">
      <c r="A23" s="600"/>
      <c r="B23" s="154" t="s">
        <v>263</v>
      </c>
      <c r="C23" s="153" t="s">
        <v>263</v>
      </c>
      <c r="D23" s="154" t="s">
        <v>263</v>
      </c>
      <c r="E23" s="152" t="s">
        <v>263</v>
      </c>
      <c r="F23" s="153" t="s">
        <v>263</v>
      </c>
      <c r="G23" s="154" t="s">
        <v>263</v>
      </c>
      <c r="H23" s="153" t="s">
        <v>263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7"/>
      <c r="T26" s="607"/>
      <c r="U26" s="607"/>
      <c r="V26" s="607"/>
      <c r="W26" s="607"/>
      <c r="X26" s="60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244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284</v>
      </c>
      <c r="F40" s="13" t="s">
        <v>285</v>
      </c>
      <c r="G40" s="13" t="s">
        <v>285</v>
      </c>
      <c r="H40" s="13" t="s">
        <v>286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287</v>
      </c>
      <c r="D41" s="227">
        <f>J14*K15/J15</f>
        <v>2311.3657479095696</v>
      </c>
      <c r="K41" s="13" t="s">
        <v>135</v>
      </c>
      <c r="L41" s="13" t="s">
        <v>552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135</v>
      </c>
      <c r="D42" s="227">
        <f>J14-D41</f>
        <v>1242.6342520904304</v>
      </c>
      <c r="K42" s="13" t="s">
        <v>290</v>
      </c>
      <c r="L42" s="13" t="s">
        <v>552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288</v>
      </c>
      <c r="D43" s="228">
        <f>R14*(S15/R15)</f>
        <v>1290.0096411355116</v>
      </c>
      <c r="K43" s="13" t="s">
        <v>241</v>
      </c>
      <c r="L43" s="13" t="s">
        <v>475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289</v>
      </c>
      <c r="D44" s="227">
        <f>R14-D43</f>
        <v>245.99035886448837</v>
      </c>
      <c r="K44" s="13" t="s">
        <v>242</v>
      </c>
      <c r="L44" s="13" t="s">
        <v>475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139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189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1" t="s">
        <v>199</v>
      </c>
      <c r="F40" s="611"/>
      <c r="G40" s="611"/>
      <c r="H40" s="611"/>
      <c r="I40" s="611"/>
      <c r="J40" s="611"/>
      <c r="K40" s="611"/>
      <c r="L40" s="15"/>
      <c r="M40" s="611" t="s">
        <v>200</v>
      </c>
      <c r="N40" s="611"/>
      <c r="O40" s="612"/>
    </row>
    <row r="41" spans="3:17" x14ac:dyDescent="0.25">
      <c r="C41" s="4"/>
      <c r="E41" s="18" t="s">
        <v>13</v>
      </c>
      <c r="F41" s="18" t="s">
        <v>11</v>
      </c>
      <c r="G41" s="18" t="s">
        <v>191</v>
      </c>
      <c r="H41" s="18" t="s">
        <v>193</v>
      </c>
      <c r="I41" s="18" t="s">
        <v>198</v>
      </c>
      <c r="J41" s="18" t="s">
        <v>194</v>
      </c>
      <c r="K41" s="18" t="s">
        <v>192</v>
      </c>
      <c r="M41" s="18" t="s">
        <v>192</v>
      </c>
      <c r="N41" s="18" t="s">
        <v>197</v>
      </c>
      <c r="O41" s="131" t="s">
        <v>202</v>
      </c>
    </row>
    <row r="42" spans="3:17" x14ac:dyDescent="0.25">
      <c r="C42" s="613" t="s">
        <v>89</v>
      </c>
      <c r="D42" s="18" t="s">
        <v>190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195</v>
      </c>
      <c r="O42" s="5"/>
    </row>
    <row r="43" spans="3:17" x14ac:dyDescent="0.25">
      <c r="C43" s="613"/>
      <c r="D43" s="18" t="s">
        <v>196</v>
      </c>
      <c r="E43" s="1"/>
      <c r="F43" s="1"/>
      <c r="G43" s="1">
        <v>596000</v>
      </c>
      <c r="H43" s="1"/>
      <c r="I43" s="1">
        <v>297000</v>
      </c>
      <c r="J43" s="1" t="s">
        <v>195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201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338</v>
      </c>
      <c r="H51" s="19">
        <f>SUM(G42:G43,I42:I43)</f>
        <v>2010000</v>
      </c>
    </row>
    <row r="52" spans="2:21" x14ac:dyDescent="0.25">
      <c r="G52" t="s">
        <v>192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357</v>
      </c>
      <c r="G54" t="s">
        <v>190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358</v>
      </c>
      <c r="G55" t="s">
        <v>359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374</v>
      </c>
    </row>
    <row r="60" spans="2:21" x14ac:dyDescent="0.25">
      <c r="C60" t="s">
        <v>13</v>
      </c>
      <c r="D60" s="326">
        <f>E42/O47</f>
        <v>0.54441454869243722</v>
      </c>
      <c r="E60" t="s">
        <v>375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375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150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393</v>
      </c>
    </row>
    <row r="69" spans="1:14" x14ac:dyDescent="0.25">
      <c r="B69" s="18" t="s">
        <v>400</v>
      </c>
    </row>
    <row r="70" spans="1:14" x14ac:dyDescent="0.25">
      <c r="B70" t="s">
        <v>402</v>
      </c>
    </row>
    <row r="72" spans="1:14" x14ac:dyDescent="0.25">
      <c r="B72" s="285">
        <v>0.26</v>
      </c>
      <c r="C72" t="s">
        <v>394</v>
      </c>
    </row>
    <row r="73" spans="1:14" x14ac:dyDescent="0.25">
      <c r="B73">
        <v>1.5</v>
      </c>
      <c r="C73" t="s">
        <v>397</v>
      </c>
      <c r="H73">
        <v>12.3</v>
      </c>
      <c r="I73" t="s">
        <v>396</v>
      </c>
    </row>
    <row r="74" spans="1:14" x14ac:dyDescent="0.25">
      <c r="B74">
        <v>949570</v>
      </c>
      <c r="C74" t="s">
        <v>395</v>
      </c>
    </row>
    <row r="75" spans="1:14" x14ac:dyDescent="0.25">
      <c r="A75" t="s">
        <v>401</v>
      </c>
    </row>
    <row r="76" spans="1:14" x14ac:dyDescent="0.25">
      <c r="B76">
        <f>B73*B74</f>
        <v>1424355</v>
      </c>
      <c r="C76" t="s">
        <v>543</v>
      </c>
    </row>
    <row r="77" spans="1:14" x14ac:dyDescent="0.25">
      <c r="B77" s="119">
        <f>B76/B72</f>
        <v>5478288.461538461</v>
      </c>
      <c r="C77" t="s">
        <v>399</v>
      </c>
    </row>
    <row r="79" spans="1:14" x14ac:dyDescent="0.25">
      <c r="B79" s="320">
        <f>B77*H73/1000</f>
        <v>67382.948076923072</v>
      </c>
      <c r="C79" t="s">
        <v>398</v>
      </c>
    </row>
    <row r="81" spans="2:3" x14ac:dyDescent="0.25">
      <c r="B81" s="320">
        <f>B79*3.6/1000</f>
        <v>242.57861307692306</v>
      </c>
      <c r="C81" t="s">
        <v>320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335</v>
      </c>
    </row>
    <row r="3" spans="2:9" x14ac:dyDescent="0.25">
      <c r="B3" t="s">
        <v>336</v>
      </c>
    </row>
    <row r="6" spans="2:9" x14ac:dyDescent="0.25">
      <c r="B6" t="s">
        <v>542</v>
      </c>
    </row>
    <row r="7" spans="2:9" x14ac:dyDescent="0.25">
      <c r="B7" t="s">
        <v>337</v>
      </c>
    </row>
    <row r="8" spans="2:9" x14ac:dyDescent="0.25">
      <c r="E8" t="s">
        <v>324</v>
      </c>
    </row>
    <row r="9" spans="2:9" x14ac:dyDescent="0.25">
      <c r="C9" s="18" t="s">
        <v>321</v>
      </c>
    </row>
    <row r="10" spans="2:9" x14ac:dyDescent="0.25">
      <c r="C10" t="s">
        <v>322</v>
      </c>
      <c r="D10">
        <v>1600</v>
      </c>
      <c r="E10" t="s">
        <v>323</v>
      </c>
      <c r="I10" t="s">
        <v>461</v>
      </c>
    </row>
    <row r="11" spans="2:9" x14ac:dyDescent="0.25">
      <c r="C11" t="s">
        <v>325</v>
      </c>
      <c r="D11">
        <v>275</v>
      </c>
      <c r="E11" t="s">
        <v>326</v>
      </c>
      <c r="H11">
        <v>30</v>
      </c>
      <c r="I11">
        <f>H11*D11/1000</f>
        <v>8.25</v>
      </c>
    </row>
    <row r="12" spans="2:9" x14ac:dyDescent="0.25">
      <c r="C12" t="s">
        <v>327</v>
      </c>
      <c r="D12">
        <v>205</v>
      </c>
      <c r="E12" t="s">
        <v>326</v>
      </c>
      <c r="H12">
        <v>24</v>
      </c>
      <c r="I12">
        <f>H12*D12/1000</f>
        <v>4.92</v>
      </c>
    </row>
    <row r="13" spans="2:9" x14ac:dyDescent="0.25">
      <c r="C13" t="s">
        <v>328</v>
      </c>
      <c r="D13">
        <v>1000</v>
      </c>
      <c r="E13" t="s">
        <v>329</v>
      </c>
    </row>
    <row r="15" spans="2:9" x14ac:dyDescent="0.25">
      <c r="C15" s="18" t="s">
        <v>330</v>
      </c>
    </row>
    <row r="16" spans="2:9" x14ac:dyDescent="0.25">
      <c r="C16" t="s">
        <v>331</v>
      </c>
      <c r="D16">
        <v>12000</v>
      </c>
      <c r="E16" t="s">
        <v>332</v>
      </c>
    </row>
    <row r="17" spans="3:5" x14ac:dyDescent="0.25">
      <c r="C17" t="s">
        <v>333</v>
      </c>
      <c r="D17">
        <v>320</v>
      </c>
      <c r="E17" t="s">
        <v>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207</v>
      </c>
    </row>
    <row r="3" spans="2:10" x14ac:dyDescent="0.25">
      <c r="B3" t="s">
        <v>206</v>
      </c>
    </row>
    <row r="4" spans="2:10" x14ac:dyDescent="0.25">
      <c r="B4" s="132" t="s">
        <v>541</v>
      </c>
    </row>
    <row r="5" spans="2:10" x14ac:dyDescent="0.25">
      <c r="B5" t="s">
        <v>208</v>
      </c>
    </row>
    <row r="6" spans="2:10" x14ac:dyDescent="0.25">
      <c r="J6" t="s">
        <v>214</v>
      </c>
    </row>
    <row r="8" spans="2:10" x14ac:dyDescent="0.25">
      <c r="B8" s="134" t="s">
        <v>210</v>
      </c>
    </row>
    <row r="9" spans="2:10" x14ac:dyDescent="0.25">
      <c r="B9" t="s">
        <v>209</v>
      </c>
    </row>
    <row r="11" spans="2:10" x14ac:dyDescent="0.25">
      <c r="B11" s="133" t="s">
        <v>216</v>
      </c>
    </row>
    <row r="12" spans="2:10" x14ac:dyDescent="0.25">
      <c r="C12" t="s">
        <v>217</v>
      </c>
    </row>
    <row r="13" spans="2:10" x14ac:dyDescent="0.25">
      <c r="C13" t="s">
        <v>215</v>
      </c>
    </row>
    <row r="15" spans="2:10" x14ac:dyDescent="0.25">
      <c r="B15" s="133" t="s">
        <v>218</v>
      </c>
    </row>
    <row r="16" spans="2:10" x14ac:dyDescent="0.25">
      <c r="C16" t="s">
        <v>213</v>
      </c>
    </row>
    <row r="19" spans="2:3" x14ac:dyDescent="0.25">
      <c r="B19" s="134" t="s">
        <v>211</v>
      </c>
    </row>
    <row r="21" spans="2:3" x14ac:dyDescent="0.25">
      <c r="B21" s="119">
        <v>900000</v>
      </c>
      <c r="C21" t="s">
        <v>212</v>
      </c>
    </row>
    <row r="25" spans="2:3" x14ac:dyDescent="0.25">
      <c r="B25" s="18" t="s">
        <v>342</v>
      </c>
    </row>
    <row r="26" spans="2:3" x14ac:dyDescent="0.25">
      <c r="B26">
        <v>1915</v>
      </c>
      <c r="C26" t="s">
        <v>340</v>
      </c>
    </row>
    <row r="27" spans="2:3" x14ac:dyDescent="0.25">
      <c r="B27">
        <v>478</v>
      </c>
      <c r="C27" t="s">
        <v>341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2023-10-04T11:27:28Z</dcterms:modified>
</cp:coreProperties>
</file>